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User\Documents\METROCAL\Metrocal-admin-backend\src\modules\mail\templates\excels\"/>
    </mc:Choice>
  </mc:AlternateContent>
  <xr:revisionPtr revIDLastSave="0" documentId="13_ncr:1_{E04A1580-2578-4E73-87F7-4BB744A99467}" xr6:coauthVersionLast="47" xr6:coauthVersionMax="47" xr10:uidLastSave="{00000000-0000-0000-0000-000000000000}"/>
  <bookViews>
    <workbookView xWindow="-108" yWindow="-108" windowWidth="23256" windowHeight="12456" tabRatio="807" firstSheet="3" activeTab="11" xr2:uid="{00000000-000D-0000-FFFF-FFFF00000000}"/>
  </bookViews>
  <sheets>
    <sheet name="BD Clientes" sheetId="37" r:id="rId1"/>
    <sheet name="Usuarios &amp; Privilegios" sheetId="39" r:id="rId2"/>
    <sheet name="Home" sheetId="40" r:id="rId3"/>
    <sheet name="NI-R01-MCIT-D-01" sheetId="38" r:id="rId4"/>
    <sheet name="Identificaciones" sheetId="21" r:id="rId5"/>
    <sheet name="Resultados" sheetId="27" r:id="rId6"/>
    <sheet name="Error Abbe" sheetId="29" r:id="rId7"/>
    <sheet name="Grados Efectivos de Libertad" sheetId="30" r:id="rId8"/>
    <sheet name="Datos Patrones" sheetId="28" r:id="rId9"/>
    <sheet name="Datos Etiqueta" sheetId="33" r:id="rId10"/>
    <sheet name="DA (mm)" sheetId="31" r:id="rId11"/>
    <sheet name="FA (mm)" sheetId="36" r:id="rId12"/>
    <sheet name="MATRIZ DE REGISTRO" sheetId="32" r:id="rId13"/>
    <sheet name="Datos de Clientes" sheetId="2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CertDate">[1]General!$F$5</definedName>
    <definedName name="CertHR">[1]General!$I$13</definedName>
    <definedName name="CertHRIncerti">[1]General!$I$14</definedName>
    <definedName name="CertNum">[1]General!$F$3</definedName>
    <definedName name="CertPres">[1]General!$I$18</definedName>
    <definedName name="CertPresIncert">[1]General!$I$19</definedName>
    <definedName name="CertTempC">[1]General!$I$8</definedName>
    <definedName name="CertTempFin">[1]General!$I$7</definedName>
    <definedName name="CertTempIncerti">[1]General!$I$9</definedName>
    <definedName name="CertTempIni">[1]General!$I$6</definedName>
    <definedName name="coef_unidad">[1]Calibración!$D$8</definedName>
    <definedName name="decim">[1]Calibración!$E$9</definedName>
    <definedName name="dif_alt">[1]Calibración!$M$4</definedName>
    <definedName name="DivEscala">[1]General!$F$15</definedName>
    <definedName name="DivEscalaPatr">[1]Calibración!$I$4</definedName>
    <definedName name="EquipoCode">[1]General!$F$6</definedName>
    <definedName name="EquipoTipo">[1]General!$F$7</definedName>
    <definedName name="Incert_Pozo">[1]Calibración!#REF!</definedName>
    <definedName name="medio">[1]Calibración!$M$5</definedName>
    <definedName name="NumPuntosCalib">[1]Calibración!$V$52</definedName>
    <definedName name="NumPuntosCalib2">[1]Calibración!$AB$52</definedName>
    <definedName name="RangoMed_max">[1]General!$F$14</definedName>
    <definedName name="RangoMed_min">[1]General!$F$13</definedName>
    <definedName name="ResolInst">[1]Calibración!$E$4</definedName>
    <definedName name="tblComp_U">[1]!tblCompU[#Data]</definedName>
    <definedName name="Tipo_de_Indicador" localSheetId="9">'[2]Entrada de Datos'!$W$2:$W$3</definedName>
    <definedName name="Tipo_de_Indicador">'[3]Entrada de Datos'!$W$2:$W$3</definedName>
    <definedName name="uni">'[4]Entrada de datos'!$L$1:$L$3</definedName>
    <definedName name="unidad">[1]Calibración!$E$8</definedName>
    <definedName name="Unidad_de_med" localSheetId="9">'[2]Entrada de Datos'!$M$17:$M$18</definedName>
    <definedName name="Unidad_de_med">'[3]Entrada de Datos'!$M$17:$M$18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" i="38" l="1"/>
  <c r="A76" i="38"/>
  <c r="A75" i="38"/>
  <c r="A74" i="38"/>
  <c r="A73" i="38"/>
  <c r="A72" i="38"/>
  <c r="A56" i="38"/>
  <c r="L35" i="28"/>
  <c r="D45" i="21"/>
  <c r="B45" i="21"/>
  <c r="D44" i="21"/>
  <c r="F69" i="27"/>
  <c r="G69" i="27"/>
  <c r="H69" i="27"/>
  <c r="I69" i="27"/>
  <c r="F70" i="27"/>
  <c r="G70" i="27"/>
  <c r="H70" i="27"/>
  <c r="I70" i="27"/>
  <c r="F71" i="27"/>
  <c r="G71" i="27"/>
  <c r="H71" i="27"/>
  <c r="I71" i="27"/>
  <c r="F72" i="27"/>
  <c r="G72" i="27"/>
  <c r="H72" i="27"/>
  <c r="I72" i="27"/>
  <c r="F73" i="27"/>
  <c r="G73" i="27"/>
  <c r="H73" i="27"/>
  <c r="I73" i="27"/>
  <c r="F74" i="27"/>
  <c r="G74" i="27"/>
  <c r="H74" i="27"/>
  <c r="I74" i="27"/>
  <c r="E70" i="27"/>
  <c r="E71" i="27"/>
  <c r="E72" i="27"/>
  <c r="E73" i="27"/>
  <c r="E74" i="27"/>
  <c r="E69" i="27"/>
  <c r="G49" i="27"/>
  <c r="H49" i="27"/>
  <c r="I49" i="27"/>
  <c r="J49" i="27"/>
  <c r="G50" i="27"/>
  <c r="H50" i="27"/>
  <c r="I50" i="27"/>
  <c r="J50" i="27"/>
  <c r="F50" i="27"/>
  <c r="F49" i="27"/>
  <c r="J32" i="27"/>
  <c r="I32" i="27"/>
  <c r="H32" i="27"/>
  <c r="G32" i="27"/>
  <c r="J31" i="27"/>
  <c r="I31" i="27"/>
  <c r="H31" i="27"/>
  <c r="G31" i="27"/>
  <c r="J30" i="27"/>
  <c r="I30" i="27"/>
  <c r="H30" i="27"/>
  <c r="G30" i="27"/>
  <c r="J29" i="27"/>
  <c r="I29" i="27"/>
  <c r="H29" i="27"/>
  <c r="G29" i="27"/>
  <c r="J28" i="27"/>
  <c r="I28" i="27"/>
  <c r="H28" i="27"/>
  <c r="G28" i="27"/>
  <c r="J27" i="27"/>
  <c r="I27" i="27"/>
  <c r="H27" i="27"/>
  <c r="G27" i="27"/>
  <c r="J26" i="27"/>
  <c r="I26" i="27"/>
  <c r="H26" i="27"/>
  <c r="G26" i="27"/>
  <c r="J25" i="27"/>
  <c r="I25" i="27"/>
  <c r="H25" i="27"/>
  <c r="G25" i="27"/>
  <c r="J24" i="27"/>
  <c r="I24" i="27"/>
  <c r="H24" i="27"/>
  <c r="G24" i="27"/>
  <c r="J23" i="27"/>
  <c r="I23" i="27"/>
  <c r="H23" i="27"/>
  <c r="G23" i="27"/>
  <c r="J22" i="27"/>
  <c r="I22" i="27"/>
  <c r="H22" i="27"/>
  <c r="G22" i="27"/>
  <c r="J21" i="27"/>
  <c r="I21" i="27"/>
  <c r="H21" i="27"/>
  <c r="G21" i="27"/>
  <c r="F22" i="27"/>
  <c r="F23" i="27"/>
  <c r="F24" i="27"/>
  <c r="F25" i="27"/>
  <c r="F26" i="27"/>
  <c r="F27" i="27"/>
  <c r="F28" i="27"/>
  <c r="F29" i="27"/>
  <c r="F30" i="27"/>
  <c r="F31" i="27"/>
  <c r="F32" i="27"/>
  <c r="F21" i="27"/>
  <c r="C11" i="27"/>
  <c r="D11" i="27"/>
  <c r="E11" i="27"/>
  <c r="F11" i="27"/>
  <c r="B11" i="27"/>
  <c r="M27" i="21"/>
  <c r="H27" i="21"/>
  <c r="J31" i="21"/>
  <c r="M29" i="21"/>
  <c r="D27" i="21"/>
  <c r="D24" i="21"/>
  <c r="F22" i="21"/>
  <c r="B44" i="21"/>
  <c r="M4" i="21" l="1"/>
  <c r="F4" i="21"/>
  <c r="D6" i="21"/>
  <c r="D18" i="21"/>
  <c r="G16" i="21"/>
  <c r="D17" i="21" l="1"/>
  <c r="Q19" i="31"/>
  <c r="AC108" i="27"/>
  <c r="AC109" i="27"/>
  <c r="AC110" i="27"/>
  <c r="AC107" i="27"/>
  <c r="AC89" i="27"/>
  <c r="AC90" i="27"/>
  <c r="AC91" i="27"/>
  <c r="AC92" i="27"/>
  <c r="AC88" i="27"/>
  <c r="AC71" i="27"/>
  <c r="AC72" i="27"/>
  <c r="AC73" i="27"/>
  <c r="AC74" i="27"/>
  <c r="AC70" i="27"/>
  <c r="J68" i="31" l="1"/>
  <c r="J69" i="31"/>
  <c r="J68" i="36"/>
  <c r="J67" i="36"/>
  <c r="P52" i="27" l="1"/>
  <c r="AD8" i="28" l="1"/>
  <c r="AD9" i="28"/>
  <c r="AD10" i="28"/>
  <c r="AD11" i="28"/>
  <c r="AD12" i="28"/>
  <c r="AD13" i="28"/>
  <c r="AD14" i="28"/>
  <c r="AD15" i="28"/>
  <c r="AD16" i="28"/>
  <c r="AD17" i="28"/>
  <c r="AD18" i="28"/>
  <c r="AD19" i="28"/>
  <c r="AD20" i="28"/>
  <c r="AD21" i="28"/>
  <c r="AD22" i="28"/>
  <c r="AD23" i="28"/>
  <c r="AD24" i="28"/>
  <c r="AD25" i="28"/>
  <c r="AD26" i="28"/>
  <c r="AD27" i="28"/>
  <c r="AD28" i="28"/>
  <c r="AD29" i="28"/>
  <c r="AD30" i="28"/>
  <c r="AD31" i="28"/>
  <c r="AD32" i="28"/>
  <c r="AD33" i="28"/>
  <c r="AD34" i="28"/>
  <c r="AD35" i="28"/>
  <c r="AD7" i="28"/>
  <c r="AE7" i="28" s="1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7" i="28"/>
  <c r="AG7" i="28"/>
  <c r="AG8" i="28"/>
  <c r="AG9" i="28"/>
  <c r="Q9" i="31" l="1"/>
  <c r="U39" i="28" l="1"/>
  <c r="V39" i="28"/>
  <c r="W39" i="28"/>
  <c r="U40" i="28"/>
  <c r="V40" i="28"/>
  <c r="W40" i="28"/>
  <c r="U41" i="28"/>
  <c r="V41" i="28"/>
  <c r="W41" i="28"/>
  <c r="T41" i="28"/>
  <c r="T40" i="28"/>
  <c r="U31" i="28"/>
  <c r="V31" i="28"/>
  <c r="W31" i="28"/>
  <c r="U32" i="28"/>
  <c r="V32" i="28"/>
  <c r="W32" i="28"/>
  <c r="U33" i="28"/>
  <c r="V33" i="28"/>
  <c r="W33" i="28"/>
  <c r="T33" i="28"/>
  <c r="T32" i="28"/>
  <c r="U23" i="28"/>
  <c r="V23" i="28"/>
  <c r="W23" i="28"/>
  <c r="U24" i="28"/>
  <c r="V24" i="28"/>
  <c r="W24" i="28"/>
  <c r="U25" i="28"/>
  <c r="V25" i="28"/>
  <c r="W25" i="28"/>
  <c r="U26" i="28"/>
  <c r="V26" i="28"/>
  <c r="W26" i="28"/>
  <c r="T25" i="28"/>
  <c r="T24" i="28"/>
  <c r="U15" i="28"/>
  <c r="V15" i="28"/>
  <c r="W15" i="28"/>
  <c r="U16" i="28"/>
  <c r="V16" i="28"/>
  <c r="W16" i="28"/>
  <c r="U17" i="28"/>
  <c r="V17" i="28"/>
  <c r="W17" i="28"/>
  <c r="U18" i="28"/>
  <c r="V18" i="28"/>
  <c r="W18" i="28"/>
  <c r="T17" i="28"/>
  <c r="T16" i="28"/>
  <c r="U7" i="28"/>
  <c r="V7" i="28"/>
  <c r="W7" i="28"/>
  <c r="U8" i="28"/>
  <c r="V8" i="28"/>
  <c r="W8" i="28"/>
  <c r="U9" i="28"/>
  <c r="V9" i="28"/>
  <c r="W9" i="28"/>
  <c r="U10" i="28"/>
  <c r="V10" i="28"/>
  <c r="W10" i="28"/>
  <c r="T9" i="28"/>
  <c r="T8" i="28"/>
  <c r="T39" i="28"/>
  <c r="T31" i="28"/>
  <c r="T23" i="28"/>
  <c r="T15" i="28"/>
  <c r="T7" i="28"/>
  <c r="I35" i="28" l="1"/>
  <c r="I34" i="28"/>
  <c r="I33" i="28"/>
  <c r="I32" i="28"/>
  <c r="I31" i="28"/>
  <c r="I30" i="28"/>
  <c r="I29" i="28"/>
  <c r="I28" i="28"/>
  <c r="I27" i="28"/>
  <c r="U42" i="28" s="1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T42" i="28" l="1"/>
  <c r="T34" i="28"/>
  <c r="U34" i="28"/>
  <c r="T10" i="28"/>
  <c r="V34" i="28"/>
  <c r="T18" i="28"/>
  <c r="V42" i="28"/>
  <c r="W34" i="28"/>
  <c r="T26" i="28"/>
  <c r="W42" i="28"/>
  <c r="Q10" i="36"/>
  <c r="Q11" i="31"/>
  <c r="Q20" i="36"/>
  <c r="Q18" i="36"/>
  <c r="Q21" i="31"/>
  <c r="Q20" i="31"/>
  <c r="Q17" i="31"/>
  <c r="Q16" i="36"/>
  <c r="K98" i="36"/>
  <c r="A89" i="36"/>
  <c r="A88" i="36"/>
  <c r="G68" i="36"/>
  <c r="G67" i="36"/>
  <c r="H52" i="36"/>
  <c r="H51" i="36"/>
  <c r="Z40" i="36"/>
  <c r="W40" i="36"/>
  <c r="T40" i="36"/>
  <c r="L40" i="36"/>
  <c r="H40" i="36"/>
  <c r="E40" i="36"/>
  <c r="W34" i="36"/>
  <c r="S34" i="36"/>
  <c r="O34" i="36"/>
  <c r="K34" i="36"/>
  <c r="G34" i="36"/>
  <c r="K27" i="36"/>
  <c r="G27" i="36"/>
  <c r="S26" i="36"/>
  <c r="W26" i="36" s="1"/>
  <c r="O26" i="36"/>
  <c r="K26" i="36"/>
  <c r="G26" i="36"/>
  <c r="C26" i="36"/>
  <c r="Q17" i="36"/>
  <c r="Q15" i="36"/>
  <c r="Q14" i="36"/>
  <c r="Q13" i="36"/>
  <c r="Q12" i="36"/>
  <c r="Q11" i="36"/>
  <c r="Q9" i="36"/>
  <c r="Q8" i="36"/>
  <c r="R64" i="36" s="1"/>
  <c r="W35" i="31"/>
  <c r="S35" i="31"/>
  <c r="O35" i="31"/>
  <c r="K35" i="31"/>
  <c r="G35" i="31"/>
  <c r="X27" i="27"/>
  <c r="B103" i="30" s="1"/>
  <c r="E103" i="30" s="1"/>
  <c r="K74" i="27"/>
  <c r="M74" i="27" s="1"/>
  <c r="P27" i="27" s="1"/>
  <c r="B95" i="30" s="1"/>
  <c r="J74" i="27"/>
  <c r="O36" i="31" s="1"/>
  <c r="K31" i="27"/>
  <c r="H53" i="36" s="1"/>
  <c r="K32" i="27"/>
  <c r="H54" i="36" s="1"/>
  <c r="Q13" i="31"/>
  <c r="E3" i="33"/>
  <c r="D3" i="33"/>
  <c r="C3" i="33"/>
  <c r="B3" i="33"/>
  <c r="M246" i="32"/>
  <c r="M245" i="32"/>
  <c r="M244" i="32"/>
  <c r="M243" i="32"/>
  <c r="M242" i="32"/>
  <c r="M241" i="32"/>
  <c r="M240" i="32"/>
  <c r="M239" i="32"/>
  <c r="M238" i="32"/>
  <c r="M237" i="32"/>
  <c r="M236" i="32"/>
  <c r="M235" i="32"/>
  <c r="M234" i="32"/>
  <c r="M233" i="32"/>
  <c r="M232" i="32"/>
  <c r="M231" i="32"/>
  <c r="M230" i="32"/>
  <c r="M229" i="32"/>
  <c r="M228" i="32"/>
  <c r="M227" i="32"/>
  <c r="M226" i="32"/>
  <c r="M225" i="32"/>
  <c r="M224" i="32"/>
  <c r="M223" i="32"/>
  <c r="M222" i="32"/>
  <c r="M221" i="32"/>
  <c r="M220" i="32"/>
  <c r="M219" i="32"/>
  <c r="M218" i="32"/>
  <c r="M217" i="32"/>
  <c r="M216" i="32"/>
  <c r="M215" i="32"/>
  <c r="M214" i="32"/>
  <c r="M213" i="32"/>
  <c r="M212" i="32"/>
  <c r="M211" i="32"/>
  <c r="M210" i="32"/>
  <c r="M209" i="32"/>
  <c r="M208" i="32"/>
  <c r="M207" i="32"/>
  <c r="M206" i="32"/>
  <c r="M205" i="32"/>
  <c r="M204" i="32"/>
  <c r="M203" i="32"/>
  <c r="M202" i="32"/>
  <c r="M201" i="32"/>
  <c r="M200" i="32"/>
  <c r="M199" i="32"/>
  <c r="M198" i="32"/>
  <c r="M197" i="32"/>
  <c r="M196" i="32"/>
  <c r="M195" i="32"/>
  <c r="M194" i="32"/>
  <c r="M193" i="32"/>
  <c r="M192" i="32"/>
  <c r="M191" i="32"/>
  <c r="M190" i="32"/>
  <c r="M189" i="32"/>
  <c r="M188" i="32"/>
  <c r="M187" i="32"/>
  <c r="M186" i="32"/>
  <c r="M185" i="32"/>
  <c r="M184" i="32"/>
  <c r="M183" i="32"/>
  <c r="M182" i="32"/>
  <c r="M181" i="32"/>
  <c r="M180" i="32"/>
  <c r="M179" i="32"/>
  <c r="M178" i="32"/>
  <c r="M177" i="32"/>
  <c r="M176" i="32"/>
  <c r="M175" i="32"/>
  <c r="M174" i="32"/>
  <c r="M173" i="32"/>
  <c r="M172" i="32"/>
  <c r="M171" i="32"/>
  <c r="M170" i="32"/>
  <c r="M169" i="32"/>
  <c r="M168" i="32"/>
  <c r="M167" i="32"/>
  <c r="M166" i="32"/>
  <c r="M165" i="32"/>
  <c r="M164" i="32"/>
  <c r="M163" i="32"/>
  <c r="M162" i="32"/>
  <c r="M161" i="32"/>
  <c r="M160" i="32"/>
  <c r="M159" i="32"/>
  <c r="M158" i="32"/>
  <c r="M157" i="32"/>
  <c r="M156" i="32"/>
  <c r="M155" i="32"/>
  <c r="M154" i="32"/>
  <c r="M153" i="32"/>
  <c r="M152" i="32"/>
  <c r="M151" i="32"/>
  <c r="M150" i="32"/>
  <c r="M149" i="32"/>
  <c r="M148" i="32"/>
  <c r="M147" i="32"/>
  <c r="M146" i="32"/>
  <c r="M145" i="32"/>
  <c r="M144" i="32"/>
  <c r="M143" i="32"/>
  <c r="M142" i="32"/>
  <c r="M141" i="32"/>
  <c r="M140" i="32"/>
  <c r="M139" i="32"/>
  <c r="M138" i="32"/>
  <c r="M137" i="32"/>
  <c r="M136" i="32"/>
  <c r="M135" i="32"/>
  <c r="M134" i="32"/>
  <c r="M133" i="32"/>
  <c r="M132" i="32"/>
  <c r="M131" i="32"/>
  <c r="M130" i="32"/>
  <c r="M129" i="32"/>
  <c r="M128" i="32"/>
  <c r="M127" i="32"/>
  <c r="M126" i="32"/>
  <c r="M125" i="32"/>
  <c r="M124" i="32"/>
  <c r="M123" i="32"/>
  <c r="M122" i="32"/>
  <c r="M121" i="32"/>
  <c r="M120" i="32"/>
  <c r="M119" i="32"/>
  <c r="M118" i="32"/>
  <c r="M117" i="32"/>
  <c r="M116" i="32"/>
  <c r="M115" i="32"/>
  <c r="M114" i="32"/>
  <c r="M113" i="32"/>
  <c r="M112" i="32"/>
  <c r="M111" i="32"/>
  <c r="M110" i="32"/>
  <c r="M109" i="32"/>
  <c r="M108" i="32"/>
  <c r="M107" i="32"/>
  <c r="M106" i="32"/>
  <c r="M105" i="32"/>
  <c r="M104" i="32"/>
  <c r="M103" i="32"/>
  <c r="M102" i="32"/>
  <c r="M101" i="32"/>
  <c r="M100" i="32"/>
  <c r="M99" i="32"/>
  <c r="M98" i="32"/>
  <c r="M97" i="32"/>
  <c r="M96" i="32"/>
  <c r="M95" i="32"/>
  <c r="M94" i="32"/>
  <c r="M93" i="32"/>
  <c r="M92" i="32"/>
  <c r="M91" i="32"/>
  <c r="M90" i="32"/>
  <c r="M89" i="32"/>
  <c r="M88" i="32"/>
  <c r="M87" i="32"/>
  <c r="M86" i="32"/>
  <c r="M85" i="32"/>
  <c r="M84" i="32"/>
  <c r="M83" i="32"/>
  <c r="M82" i="32"/>
  <c r="M81" i="32"/>
  <c r="M80" i="32"/>
  <c r="M79" i="32"/>
  <c r="M78" i="32"/>
  <c r="M77" i="32"/>
  <c r="M76" i="32"/>
  <c r="M75" i="32"/>
  <c r="M74" i="32"/>
  <c r="M73" i="32"/>
  <c r="M72" i="32"/>
  <c r="M71" i="32"/>
  <c r="M70" i="32"/>
  <c r="M69" i="32"/>
  <c r="M68" i="32"/>
  <c r="M67" i="32"/>
  <c r="M66" i="32"/>
  <c r="M65" i="32"/>
  <c r="M64" i="32"/>
  <c r="M63" i="32"/>
  <c r="M62" i="32"/>
  <c r="M61" i="32"/>
  <c r="M60" i="32"/>
  <c r="M59" i="32"/>
  <c r="M58" i="32"/>
  <c r="M57" i="32"/>
  <c r="M56" i="32"/>
  <c r="M55" i="32"/>
  <c r="M54" i="32"/>
  <c r="M53" i="32"/>
  <c r="M52" i="32"/>
  <c r="M51" i="32"/>
  <c r="M50" i="32"/>
  <c r="M49" i="32"/>
  <c r="M48" i="32"/>
  <c r="M47" i="32"/>
  <c r="M46" i="32"/>
  <c r="M45" i="32"/>
  <c r="M44" i="32"/>
  <c r="M43" i="32"/>
  <c r="M42" i="32"/>
  <c r="M41" i="32"/>
  <c r="M40" i="32"/>
  <c r="M39" i="32"/>
  <c r="M38" i="32"/>
  <c r="M37" i="32"/>
  <c r="M36" i="32"/>
  <c r="M35" i="32"/>
  <c r="M34" i="32"/>
  <c r="M33" i="32"/>
  <c r="M32" i="32"/>
  <c r="M31" i="32"/>
  <c r="M30" i="32"/>
  <c r="M29" i="32"/>
  <c r="M28" i="32"/>
  <c r="M27" i="32"/>
  <c r="M26" i="32"/>
  <c r="M25" i="32"/>
  <c r="M24" i="32"/>
  <c r="E24" i="32"/>
  <c r="M23" i="32"/>
  <c r="E23" i="32"/>
  <c r="M22" i="32"/>
  <c r="E22" i="32"/>
  <c r="M21" i="32"/>
  <c r="E21" i="32"/>
  <c r="M20" i="32"/>
  <c r="E20" i="32"/>
  <c r="M19" i="32"/>
  <c r="E19" i="32"/>
  <c r="M18" i="32"/>
  <c r="E18" i="32"/>
  <c r="M17" i="32"/>
  <c r="E17" i="32"/>
  <c r="M16" i="32"/>
  <c r="E16" i="32"/>
  <c r="M15" i="32"/>
  <c r="E15" i="32"/>
  <c r="M14" i="32"/>
  <c r="M13" i="32"/>
  <c r="M12" i="32"/>
  <c r="M11" i="32"/>
  <c r="B11" i="32"/>
  <c r="M10" i="32"/>
  <c r="M9" i="32"/>
  <c r="M8" i="32"/>
  <c r="M7" i="32"/>
  <c r="M6" i="32"/>
  <c r="M5" i="32"/>
  <c r="K1" i="32"/>
  <c r="I1" i="32"/>
  <c r="K100" i="31"/>
  <c r="A91" i="31"/>
  <c r="A90" i="31"/>
  <c r="G69" i="31"/>
  <c r="G68" i="31"/>
  <c r="H53" i="31"/>
  <c r="H52" i="31"/>
  <c r="Z41" i="31"/>
  <c r="W41" i="31"/>
  <c r="T41" i="31"/>
  <c r="L41" i="31"/>
  <c r="H41" i="31"/>
  <c r="E41" i="31"/>
  <c r="K28" i="31"/>
  <c r="G28" i="31"/>
  <c r="S27" i="31"/>
  <c r="W27" i="31" s="1"/>
  <c r="O27" i="31"/>
  <c r="K27" i="31"/>
  <c r="G27" i="31"/>
  <c r="C27" i="31"/>
  <c r="Q18" i="31"/>
  <c r="Q16" i="31"/>
  <c r="Q15" i="31"/>
  <c r="Q14" i="31"/>
  <c r="Q12" i="31"/>
  <c r="Q10" i="31"/>
  <c r="Q8" i="31"/>
  <c r="R65" i="31" s="1"/>
  <c r="W82" i="28"/>
  <c r="V82" i="28"/>
  <c r="W81" i="28"/>
  <c r="V81" i="28"/>
  <c r="U81" i="28"/>
  <c r="T81" i="28"/>
  <c r="W80" i="28"/>
  <c r="V80" i="28"/>
  <c r="U80" i="28"/>
  <c r="T80" i="28"/>
  <c r="W79" i="28"/>
  <c r="V79" i="28"/>
  <c r="U79" i="28"/>
  <c r="T79" i="28"/>
  <c r="W77" i="28"/>
  <c r="V77" i="28"/>
  <c r="U77" i="28"/>
  <c r="T77" i="28"/>
  <c r="V74" i="28"/>
  <c r="U74" i="28"/>
  <c r="W73" i="28"/>
  <c r="V73" i="28"/>
  <c r="U73" i="28"/>
  <c r="T73" i="28"/>
  <c r="W72" i="28"/>
  <c r="V72" i="28"/>
  <c r="U72" i="28"/>
  <c r="T72" i="28"/>
  <c r="W71" i="28"/>
  <c r="V71" i="28"/>
  <c r="U71" i="28"/>
  <c r="T71" i="28"/>
  <c r="W69" i="28"/>
  <c r="V69" i="28"/>
  <c r="U69" i="28"/>
  <c r="T69" i="28"/>
  <c r="W66" i="28"/>
  <c r="V66" i="28"/>
  <c r="U66" i="28"/>
  <c r="W65" i="28"/>
  <c r="V65" i="28"/>
  <c r="U65" i="28"/>
  <c r="T65" i="28"/>
  <c r="W64" i="28"/>
  <c r="V64" i="28"/>
  <c r="U64" i="28"/>
  <c r="T64" i="28"/>
  <c r="W63" i="28"/>
  <c r="V63" i="28"/>
  <c r="U63" i="28"/>
  <c r="T63" i="28"/>
  <c r="W61" i="28"/>
  <c r="V61" i="28"/>
  <c r="U61" i="28"/>
  <c r="T61" i="28"/>
  <c r="W58" i="28"/>
  <c r="V58" i="28"/>
  <c r="U58" i="28"/>
  <c r="W57" i="28"/>
  <c r="V57" i="28"/>
  <c r="U57" i="28"/>
  <c r="T57" i="28"/>
  <c r="W56" i="28"/>
  <c r="V56" i="28"/>
  <c r="U56" i="28"/>
  <c r="T56" i="28"/>
  <c r="W55" i="28"/>
  <c r="V55" i="28"/>
  <c r="U55" i="28"/>
  <c r="T55" i="28"/>
  <c r="AH53" i="28"/>
  <c r="W53" i="28"/>
  <c r="V53" i="28"/>
  <c r="U53" i="28"/>
  <c r="T53" i="28"/>
  <c r="AH52" i="28"/>
  <c r="AH51" i="28"/>
  <c r="N51" i="28"/>
  <c r="M51" i="28"/>
  <c r="L51" i="28"/>
  <c r="AH50" i="28"/>
  <c r="W50" i="28"/>
  <c r="V50" i="28"/>
  <c r="N50" i="28"/>
  <c r="M50" i="28"/>
  <c r="L50" i="28"/>
  <c r="AH49" i="28"/>
  <c r="W49" i="28"/>
  <c r="V49" i="28"/>
  <c r="U49" i="28"/>
  <c r="T49" i="28"/>
  <c r="N49" i="28"/>
  <c r="M49" i="28"/>
  <c r="L49" i="28"/>
  <c r="AH48" i="28"/>
  <c r="W48" i="28"/>
  <c r="V48" i="28"/>
  <c r="U48" i="28"/>
  <c r="T48" i="28"/>
  <c r="AH47" i="28"/>
  <c r="W47" i="28"/>
  <c r="V47" i="28"/>
  <c r="U47" i="28"/>
  <c r="T47" i="28"/>
  <c r="N47" i="28"/>
  <c r="M47" i="28"/>
  <c r="L47" i="28"/>
  <c r="AH46" i="28"/>
  <c r="AH45" i="28"/>
  <c r="W45" i="28"/>
  <c r="V45" i="28"/>
  <c r="U45" i="28"/>
  <c r="T45" i="28"/>
  <c r="AH44" i="28"/>
  <c r="N44" i="28"/>
  <c r="M44" i="28"/>
  <c r="L44" i="28"/>
  <c r="AH43" i="28"/>
  <c r="N43" i="28"/>
  <c r="M43" i="28"/>
  <c r="L43" i="28"/>
  <c r="AH42" i="28"/>
  <c r="N42" i="28"/>
  <c r="M42" i="28"/>
  <c r="L42" i="28"/>
  <c r="AH41" i="28"/>
  <c r="AH40" i="28"/>
  <c r="N40" i="28"/>
  <c r="M40" i="28"/>
  <c r="L40" i="28"/>
  <c r="AH39" i="28"/>
  <c r="AH38" i="28"/>
  <c r="AH37" i="28"/>
  <c r="W37" i="28"/>
  <c r="V37" i="28"/>
  <c r="U37" i="28"/>
  <c r="T37" i="28"/>
  <c r="N37" i="28"/>
  <c r="M37" i="28"/>
  <c r="L37" i="28"/>
  <c r="AH36" i="28"/>
  <c r="N36" i="28"/>
  <c r="M36" i="28"/>
  <c r="L36" i="28"/>
  <c r="AG35" i="28"/>
  <c r="AE35" i="28"/>
  <c r="N35" i="28"/>
  <c r="M35" i="28"/>
  <c r="AG34" i="28"/>
  <c r="T82" i="28"/>
  <c r="AG33" i="28"/>
  <c r="AE33" i="28"/>
  <c r="N33" i="28"/>
  <c r="M33" i="28"/>
  <c r="L33" i="28"/>
  <c r="AG32" i="28"/>
  <c r="T58" i="28"/>
  <c r="AG31" i="28"/>
  <c r="AE31" i="28"/>
  <c r="T66" i="28"/>
  <c r="AG30" i="28"/>
  <c r="N30" i="28"/>
  <c r="M30" i="28"/>
  <c r="L30" i="28"/>
  <c r="U50" i="28"/>
  <c r="AG29" i="28"/>
  <c r="AE29" i="28"/>
  <c r="W29" i="28"/>
  <c r="V29" i="28"/>
  <c r="U29" i="28"/>
  <c r="T29" i="28"/>
  <c r="N29" i="28"/>
  <c r="M29" i="28"/>
  <c r="L29" i="28"/>
  <c r="T74" i="28"/>
  <c r="AG28" i="28"/>
  <c r="AE28" i="28"/>
  <c r="N28" i="28"/>
  <c r="M28" i="28"/>
  <c r="L28" i="28"/>
  <c r="AG27" i="28"/>
  <c r="AE27" i="28"/>
  <c r="AH27" i="28"/>
  <c r="AG26" i="28"/>
  <c r="AE26" i="28"/>
  <c r="N26" i="28"/>
  <c r="M26" i="28"/>
  <c r="L26" i="28"/>
  <c r="AG25" i="28"/>
  <c r="AE25" i="28"/>
  <c r="AG24" i="28"/>
  <c r="AG23" i="28"/>
  <c r="P23" i="28"/>
  <c r="Q23" i="28" s="1"/>
  <c r="E53" i="27" s="1"/>
  <c r="M23" i="28"/>
  <c r="L23" i="28"/>
  <c r="AG22" i="28"/>
  <c r="P22" i="28"/>
  <c r="Q22" i="28" s="1"/>
  <c r="M22" i="28"/>
  <c r="L22" i="28"/>
  <c r="AG21" i="28"/>
  <c r="W21" i="28"/>
  <c r="V21" i="28"/>
  <c r="U21" i="28"/>
  <c r="T21" i="28"/>
  <c r="P21" i="28"/>
  <c r="Q21" i="28" s="1"/>
  <c r="M21" i="28"/>
  <c r="L21" i="28"/>
  <c r="AG20" i="28"/>
  <c r="AG19" i="28"/>
  <c r="AE19" i="28"/>
  <c r="M19" i="28"/>
  <c r="L19" i="28"/>
  <c r="AG18" i="28"/>
  <c r="AE18" i="28"/>
  <c r="AG17" i="28"/>
  <c r="AG16" i="28"/>
  <c r="AE16" i="28"/>
  <c r="P16" i="28"/>
  <c r="Q16" i="28" s="1"/>
  <c r="E51" i="27" s="1"/>
  <c r="M16" i="28"/>
  <c r="L16" i="28"/>
  <c r="AG15" i="28"/>
  <c r="AE15" i="28"/>
  <c r="P15" i="28"/>
  <c r="Q15" i="28" s="1"/>
  <c r="M15" i="28"/>
  <c r="L15" i="28"/>
  <c r="AG14" i="28"/>
  <c r="AE14" i="28"/>
  <c r="P14" i="28"/>
  <c r="Q14" i="28" s="1"/>
  <c r="C51" i="27" s="1"/>
  <c r="M14" i="28"/>
  <c r="L14" i="28"/>
  <c r="AG13" i="28"/>
  <c r="AE13" i="28"/>
  <c r="W13" i="28"/>
  <c r="V13" i="28"/>
  <c r="U13" i="28"/>
  <c r="T13" i="28"/>
  <c r="AG12" i="28"/>
  <c r="AE12" i="28"/>
  <c r="M12" i="28"/>
  <c r="L12" i="28"/>
  <c r="AG11" i="28"/>
  <c r="AE11" i="28"/>
  <c r="AG10" i="28"/>
  <c r="AE10" i="28"/>
  <c r="AE9" i="28"/>
  <c r="P9" i="28"/>
  <c r="Q9" i="28" s="1"/>
  <c r="E49" i="27" s="1"/>
  <c r="M9" i="28"/>
  <c r="L9" i="28"/>
  <c r="P8" i="28"/>
  <c r="Q8" i="28" s="1"/>
  <c r="M8" i="28"/>
  <c r="L8" i="28"/>
  <c r="W74" i="28"/>
  <c r="X7" i="28"/>
  <c r="P7" i="28"/>
  <c r="Q7" i="28" s="1"/>
  <c r="M7" i="28"/>
  <c r="L7" i="28"/>
  <c r="W5" i="28"/>
  <c r="V5" i="28"/>
  <c r="U5" i="28"/>
  <c r="T5" i="28"/>
  <c r="M5" i="28"/>
  <c r="L5" i="28"/>
  <c r="M246" i="26"/>
  <c r="M245" i="26"/>
  <c r="M244" i="26"/>
  <c r="M243" i="26"/>
  <c r="M242" i="26"/>
  <c r="M241" i="26"/>
  <c r="M240" i="26"/>
  <c r="M239" i="26"/>
  <c r="M238" i="26"/>
  <c r="M237" i="26"/>
  <c r="M236" i="26"/>
  <c r="M235" i="26"/>
  <c r="M234" i="26"/>
  <c r="M233" i="26"/>
  <c r="M232" i="26"/>
  <c r="M231" i="26"/>
  <c r="M230" i="26"/>
  <c r="M229" i="26"/>
  <c r="M228" i="26"/>
  <c r="M227" i="26"/>
  <c r="M226" i="26"/>
  <c r="M225" i="26"/>
  <c r="M224" i="26"/>
  <c r="M223" i="26"/>
  <c r="M222" i="26"/>
  <c r="M221" i="26"/>
  <c r="M220" i="26"/>
  <c r="M219" i="26"/>
  <c r="M218" i="26"/>
  <c r="M217" i="26"/>
  <c r="M216" i="26"/>
  <c r="M215" i="26"/>
  <c r="M214" i="26"/>
  <c r="M213" i="26"/>
  <c r="M212" i="26"/>
  <c r="M211" i="26"/>
  <c r="M210" i="26"/>
  <c r="M209" i="26"/>
  <c r="M208" i="26"/>
  <c r="M207" i="26"/>
  <c r="M206" i="26"/>
  <c r="M205" i="26"/>
  <c r="M204" i="26"/>
  <c r="M203" i="26"/>
  <c r="M202" i="26"/>
  <c r="M201" i="26"/>
  <c r="M200" i="26"/>
  <c r="M199" i="26"/>
  <c r="M198" i="26"/>
  <c r="M197" i="26"/>
  <c r="M196" i="26"/>
  <c r="M195" i="26"/>
  <c r="M194" i="26"/>
  <c r="M193" i="26"/>
  <c r="M192" i="26"/>
  <c r="M191" i="26"/>
  <c r="M190" i="26"/>
  <c r="M189" i="26"/>
  <c r="M188" i="26"/>
  <c r="M187" i="26"/>
  <c r="M186" i="26"/>
  <c r="M185" i="26"/>
  <c r="M184" i="26"/>
  <c r="M183" i="26"/>
  <c r="M182" i="26"/>
  <c r="M181" i="26"/>
  <c r="M180" i="26"/>
  <c r="M179" i="26"/>
  <c r="M178" i="26"/>
  <c r="M177" i="26"/>
  <c r="M176" i="26"/>
  <c r="M175" i="26"/>
  <c r="M174" i="26"/>
  <c r="M173" i="26"/>
  <c r="M172" i="26"/>
  <c r="M171" i="26"/>
  <c r="M170" i="26"/>
  <c r="M169" i="26"/>
  <c r="M168" i="26"/>
  <c r="M167" i="26"/>
  <c r="M166" i="26"/>
  <c r="M165" i="26"/>
  <c r="M164" i="26"/>
  <c r="M163" i="26"/>
  <c r="M162" i="26"/>
  <c r="M161" i="26"/>
  <c r="M160" i="26"/>
  <c r="M159" i="26"/>
  <c r="M158" i="26"/>
  <c r="M157" i="26"/>
  <c r="M156" i="26"/>
  <c r="M155" i="26"/>
  <c r="M154" i="26"/>
  <c r="M153" i="26"/>
  <c r="M152" i="26"/>
  <c r="M151" i="26"/>
  <c r="M150" i="26"/>
  <c r="M149" i="26"/>
  <c r="M148" i="26"/>
  <c r="M147" i="26"/>
  <c r="M146" i="26"/>
  <c r="M145" i="26"/>
  <c r="M144" i="26"/>
  <c r="M143" i="26"/>
  <c r="M142" i="26"/>
  <c r="M141" i="26"/>
  <c r="M140" i="26"/>
  <c r="M139" i="26"/>
  <c r="M138" i="26"/>
  <c r="M137" i="26"/>
  <c r="M136" i="26"/>
  <c r="M135" i="26"/>
  <c r="M134" i="26"/>
  <c r="M133" i="26"/>
  <c r="M132" i="26"/>
  <c r="M131" i="26"/>
  <c r="M130" i="26"/>
  <c r="M129" i="26"/>
  <c r="M128" i="26"/>
  <c r="M127" i="26"/>
  <c r="M126" i="26"/>
  <c r="M125" i="26"/>
  <c r="M124" i="26"/>
  <c r="M123" i="26"/>
  <c r="M122" i="26"/>
  <c r="M121" i="26"/>
  <c r="M120" i="26"/>
  <c r="M119" i="26"/>
  <c r="M118" i="26"/>
  <c r="M117" i="26"/>
  <c r="M116" i="26"/>
  <c r="M115" i="26"/>
  <c r="M114" i="26"/>
  <c r="M113" i="26"/>
  <c r="M112" i="26"/>
  <c r="M111" i="26"/>
  <c r="M110" i="26"/>
  <c r="M109" i="26"/>
  <c r="M108" i="26"/>
  <c r="M107" i="26"/>
  <c r="M106" i="26"/>
  <c r="M105" i="26"/>
  <c r="M104" i="26"/>
  <c r="M103" i="26"/>
  <c r="M102" i="26"/>
  <c r="M101" i="26"/>
  <c r="M100" i="26"/>
  <c r="M99" i="26"/>
  <c r="M98" i="26"/>
  <c r="M97" i="26"/>
  <c r="M96" i="26"/>
  <c r="M95" i="26"/>
  <c r="M94" i="26"/>
  <c r="M93" i="26"/>
  <c r="M92" i="26"/>
  <c r="M91" i="26"/>
  <c r="M90" i="26"/>
  <c r="M89" i="26"/>
  <c r="M88" i="26"/>
  <c r="M87" i="26"/>
  <c r="M86" i="26"/>
  <c r="M85" i="26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8" i="26"/>
  <c r="M67" i="26"/>
  <c r="M66" i="26"/>
  <c r="M65" i="26"/>
  <c r="M64" i="26"/>
  <c r="M63" i="26"/>
  <c r="M62" i="26"/>
  <c r="M61" i="26"/>
  <c r="M60" i="26"/>
  <c r="M59" i="26"/>
  <c r="M58" i="26"/>
  <c r="M57" i="26"/>
  <c r="M56" i="26"/>
  <c r="M55" i="26"/>
  <c r="M54" i="26"/>
  <c r="M53" i="26"/>
  <c r="M52" i="26"/>
  <c r="M51" i="26"/>
  <c r="M50" i="26"/>
  <c r="M49" i="26"/>
  <c r="M48" i="26"/>
  <c r="M47" i="26"/>
  <c r="M46" i="26"/>
  <c r="M45" i="26"/>
  <c r="M44" i="26"/>
  <c r="M43" i="26"/>
  <c r="M42" i="26"/>
  <c r="M41" i="26"/>
  <c r="M40" i="26"/>
  <c r="M39" i="26"/>
  <c r="M38" i="26"/>
  <c r="M37" i="26"/>
  <c r="M36" i="26"/>
  <c r="M35" i="26"/>
  <c r="M34" i="26"/>
  <c r="M33" i="26"/>
  <c r="M32" i="26"/>
  <c r="M31" i="26"/>
  <c r="M30" i="26"/>
  <c r="M29" i="26"/>
  <c r="M28" i="26"/>
  <c r="M27" i="26"/>
  <c r="M26" i="26"/>
  <c r="M25" i="26"/>
  <c r="M24" i="26"/>
  <c r="E24" i="26"/>
  <c r="M23" i="26"/>
  <c r="E23" i="26"/>
  <c r="M22" i="26"/>
  <c r="E22" i="26"/>
  <c r="M21" i="26"/>
  <c r="E21" i="26"/>
  <c r="M20" i="26"/>
  <c r="E20" i="26"/>
  <c r="M19" i="26"/>
  <c r="E19" i="26"/>
  <c r="M18" i="26"/>
  <c r="E18" i="26"/>
  <c r="M17" i="26"/>
  <c r="E17" i="26"/>
  <c r="M16" i="26"/>
  <c r="E16" i="26"/>
  <c r="M15" i="26"/>
  <c r="E15" i="26"/>
  <c r="M14" i="26"/>
  <c r="M13" i="26"/>
  <c r="M12" i="26"/>
  <c r="M11" i="26"/>
  <c r="B11" i="26"/>
  <c r="M10" i="26"/>
  <c r="M9" i="26"/>
  <c r="M8" i="26"/>
  <c r="M7" i="26"/>
  <c r="M6" i="26"/>
  <c r="M5" i="26"/>
  <c r="K1" i="26"/>
  <c r="I1" i="26"/>
  <c r="B164" i="30"/>
  <c r="E164" i="30" s="1"/>
  <c r="A164" i="30"/>
  <c r="B163" i="30"/>
  <c r="E163" i="30" s="1"/>
  <c r="B162" i="30"/>
  <c r="E162" i="30" s="1"/>
  <c r="B161" i="30"/>
  <c r="E161" i="30" s="1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B149" i="30"/>
  <c r="E149" i="30" s="1"/>
  <c r="A149" i="30"/>
  <c r="B148" i="30"/>
  <c r="E148" i="30" s="1"/>
  <c r="B147" i="30"/>
  <c r="E147" i="30" s="1"/>
  <c r="B146" i="30"/>
  <c r="E146" i="30" s="1"/>
  <c r="B145" i="30"/>
  <c r="C144" i="30"/>
  <c r="B144" i="30"/>
  <c r="C143" i="30"/>
  <c r="B143" i="30"/>
  <c r="C142" i="30"/>
  <c r="B142" i="30"/>
  <c r="C141" i="30"/>
  <c r="B141" i="30"/>
  <c r="C140" i="30"/>
  <c r="B140" i="30"/>
  <c r="B134" i="30"/>
  <c r="E134" i="30" s="1"/>
  <c r="A134" i="30"/>
  <c r="B133" i="30"/>
  <c r="E133" i="30" s="1"/>
  <c r="B132" i="30"/>
  <c r="E132" i="30" s="1"/>
  <c r="B131" i="30"/>
  <c r="E131" i="30" s="1"/>
  <c r="C130" i="30"/>
  <c r="B130" i="30"/>
  <c r="C129" i="30"/>
  <c r="C128" i="30"/>
  <c r="B128" i="30"/>
  <c r="C127" i="30"/>
  <c r="B127" i="30"/>
  <c r="C126" i="30"/>
  <c r="B126" i="30"/>
  <c r="C125" i="30"/>
  <c r="B125" i="30"/>
  <c r="B119" i="30"/>
  <c r="E119" i="30" s="1"/>
  <c r="A119" i="30"/>
  <c r="B118" i="30"/>
  <c r="E118" i="30" s="1"/>
  <c r="B117" i="30"/>
  <c r="E117" i="30" s="1"/>
  <c r="B116" i="30"/>
  <c r="E116" i="30" s="1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A104" i="30"/>
  <c r="A89" i="30"/>
  <c r="A74" i="30"/>
  <c r="A59" i="30"/>
  <c r="A44" i="30"/>
  <c r="A28" i="30"/>
  <c r="A12" i="30"/>
  <c r="B10" i="30"/>
  <c r="E10" i="30" s="1"/>
  <c r="B9" i="30"/>
  <c r="E9" i="30" s="1"/>
  <c r="B6" i="30"/>
  <c r="G3" i="29"/>
  <c r="G2" i="29"/>
  <c r="U107" i="27"/>
  <c r="U106" i="27" s="1"/>
  <c r="U88" i="27"/>
  <c r="U87" i="27" s="1"/>
  <c r="K73" i="27"/>
  <c r="M73" i="27" s="1"/>
  <c r="P26" i="27" s="1"/>
  <c r="B80" i="30" s="1"/>
  <c r="J73" i="27"/>
  <c r="O32" i="36" s="1"/>
  <c r="K72" i="27"/>
  <c r="M72" i="27" s="1"/>
  <c r="P25" i="27" s="1"/>
  <c r="J72" i="27"/>
  <c r="O31" i="36" s="1"/>
  <c r="K71" i="27"/>
  <c r="M71" i="27" s="1"/>
  <c r="P24" i="27" s="1"/>
  <c r="B50" i="30" s="1"/>
  <c r="J71" i="27"/>
  <c r="O30" i="36" s="1"/>
  <c r="U70" i="27"/>
  <c r="K70" i="27"/>
  <c r="M70" i="27" s="1"/>
  <c r="P23" i="27" s="1"/>
  <c r="B35" i="30" s="1"/>
  <c r="J70" i="27"/>
  <c r="O29" i="36" s="1"/>
  <c r="K69" i="27"/>
  <c r="M69" i="27" s="1"/>
  <c r="P22" i="27" s="1"/>
  <c r="B19" i="30" s="1"/>
  <c r="J69" i="27"/>
  <c r="O29" i="31" s="1"/>
  <c r="K54" i="27"/>
  <c r="K53" i="27"/>
  <c r="K52" i="27"/>
  <c r="K51" i="27"/>
  <c r="K50" i="27"/>
  <c r="W42" i="36" s="1"/>
  <c r="P49" i="27"/>
  <c r="K49" i="27"/>
  <c r="W41" i="36" s="1"/>
  <c r="I38" i="27"/>
  <c r="U33" i="27"/>
  <c r="C8" i="30" s="1"/>
  <c r="O33" i="27"/>
  <c r="K30" i="27"/>
  <c r="H50" i="36" s="1"/>
  <c r="K29" i="27"/>
  <c r="H49" i="36" s="1"/>
  <c r="K28" i="27"/>
  <c r="H48" i="36" s="1"/>
  <c r="K27" i="27"/>
  <c r="H47" i="36" s="1"/>
  <c r="X26" i="27"/>
  <c r="B88" i="30" s="1"/>
  <c r="E88" i="30" s="1"/>
  <c r="K26" i="27"/>
  <c r="X25" i="27"/>
  <c r="B73" i="30" s="1"/>
  <c r="E73" i="30" s="1"/>
  <c r="K25" i="27"/>
  <c r="H46" i="31" s="1"/>
  <c r="X24" i="27"/>
  <c r="B58" i="30" s="1"/>
  <c r="E58" i="30" s="1"/>
  <c r="K24" i="27"/>
  <c r="H44" i="36" s="1"/>
  <c r="X23" i="27"/>
  <c r="B43" i="30" s="1"/>
  <c r="E43" i="30" s="1"/>
  <c r="K23" i="27"/>
  <c r="H43" i="36" s="1"/>
  <c r="X22" i="27"/>
  <c r="B27" i="30" s="1"/>
  <c r="E27" i="30" s="1"/>
  <c r="K22" i="27"/>
  <c r="H42" i="36" s="1"/>
  <c r="X21" i="27"/>
  <c r="B11" i="30" s="1"/>
  <c r="E11" i="30" s="1"/>
  <c r="O21" i="27"/>
  <c r="K21" i="27"/>
  <c r="H42" i="31" s="1"/>
  <c r="H11" i="27"/>
  <c r="S28" i="31" s="1"/>
  <c r="G11" i="27"/>
  <c r="O27" i="36" s="1"/>
  <c r="O37" i="21"/>
  <c r="T27" i="27" s="1"/>
  <c r="B99" i="30" s="1"/>
  <c r="N33" i="21"/>
  <c r="Q26" i="27" s="1"/>
  <c r="B81" i="30" s="1"/>
  <c r="L31" i="21"/>
  <c r="S16" i="36" s="1"/>
  <c r="Y23" i="28"/>
  <c r="V24" i="27" s="1"/>
  <c r="B56" i="30" s="1"/>
  <c r="E56" i="30" s="1"/>
  <c r="C145" i="30" l="1"/>
  <c r="E145" i="30" s="1"/>
  <c r="AE8" i="28"/>
  <c r="AH8" i="28"/>
  <c r="X74" i="28"/>
  <c r="Q24" i="27"/>
  <c r="B51" i="30" s="1"/>
  <c r="S17" i="31"/>
  <c r="L21" i="27"/>
  <c r="W22" i="27" s="1"/>
  <c r="B26" i="30" s="1"/>
  <c r="E26" i="30" s="1"/>
  <c r="O32" i="31"/>
  <c r="E156" i="30"/>
  <c r="E160" i="30"/>
  <c r="AH17" i="28"/>
  <c r="Q25" i="27"/>
  <c r="B66" i="30" s="1"/>
  <c r="Q22" i="27"/>
  <c r="B20" i="30" s="1"/>
  <c r="E115" i="30"/>
  <c r="E130" i="30"/>
  <c r="E144" i="30"/>
  <c r="O28" i="31"/>
  <c r="Q27" i="27"/>
  <c r="B96" i="30" s="1"/>
  <c r="AH12" i="28"/>
  <c r="O36" i="28"/>
  <c r="N16" i="28"/>
  <c r="E23" i="27" s="1"/>
  <c r="N22" i="28"/>
  <c r="L27" i="27"/>
  <c r="L47" i="36" s="1"/>
  <c r="N23" i="28"/>
  <c r="E25" i="27" s="1"/>
  <c r="I11" i="27"/>
  <c r="P21" i="27" s="1"/>
  <c r="B3" i="30" s="1"/>
  <c r="E155" i="30"/>
  <c r="R35" i="27"/>
  <c r="AH33" i="28"/>
  <c r="L49" i="27"/>
  <c r="Z41" i="36" s="1"/>
  <c r="X72" i="28"/>
  <c r="Y7" i="28"/>
  <c r="V22" i="27" s="1"/>
  <c r="B25" i="30" s="1"/>
  <c r="E25" i="30" s="1"/>
  <c r="R38" i="27"/>
  <c r="C81" i="30" s="1"/>
  <c r="E81" i="30" s="1"/>
  <c r="Q21" i="27"/>
  <c r="B4" i="30" s="1"/>
  <c r="U69" i="27"/>
  <c r="V69" i="27" s="1"/>
  <c r="X16" i="28"/>
  <c r="AH32" i="28"/>
  <c r="O30" i="31"/>
  <c r="Q23" i="27"/>
  <c r="B36" i="30" s="1"/>
  <c r="L23" i="27"/>
  <c r="L43" i="36" s="1"/>
  <c r="E128" i="30"/>
  <c r="E157" i="30"/>
  <c r="E140" i="30"/>
  <c r="G4" i="29"/>
  <c r="G5" i="29" s="1"/>
  <c r="Y23" i="27" s="1"/>
  <c r="B44" i="30" s="1"/>
  <c r="E44" i="30" s="1"/>
  <c r="AH9" i="28"/>
  <c r="AH20" i="28"/>
  <c r="T26" i="27"/>
  <c r="B84" i="30" s="1"/>
  <c r="O31" i="31"/>
  <c r="AH16" i="28"/>
  <c r="AE32" i="28"/>
  <c r="H45" i="31"/>
  <c r="W42" i="31"/>
  <c r="E113" i="30"/>
  <c r="X17" i="28"/>
  <c r="R33" i="27"/>
  <c r="T22" i="27"/>
  <c r="B23" i="30" s="1"/>
  <c r="E110" i="30"/>
  <c r="E112" i="30"/>
  <c r="E141" i="30"/>
  <c r="E143" i="30"/>
  <c r="N9" i="28"/>
  <c r="E21" i="27" s="1"/>
  <c r="AH11" i="28"/>
  <c r="AH21" i="28"/>
  <c r="T25" i="27"/>
  <c r="B69" i="30" s="1"/>
  <c r="H43" i="31"/>
  <c r="E125" i="30"/>
  <c r="E127" i="30"/>
  <c r="AH18" i="28"/>
  <c r="AH19" i="28"/>
  <c r="X23" i="28"/>
  <c r="B71" i="27" s="1"/>
  <c r="E82" i="27" s="1"/>
  <c r="X24" i="28"/>
  <c r="AH26" i="28"/>
  <c r="O28" i="28"/>
  <c r="X31" i="28"/>
  <c r="B72" i="27" s="1"/>
  <c r="Q19" i="36"/>
  <c r="H49" i="31"/>
  <c r="E142" i="30"/>
  <c r="N8" i="28"/>
  <c r="N15" i="28"/>
  <c r="AH15" i="28"/>
  <c r="O37" i="28"/>
  <c r="E29" i="27" s="1"/>
  <c r="X41" i="28"/>
  <c r="X47" i="28"/>
  <c r="B74" i="27" s="1"/>
  <c r="G34" i="31" s="1"/>
  <c r="O50" i="28"/>
  <c r="Y55" i="28"/>
  <c r="X71" i="28"/>
  <c r="X79" i="28"/>
  <c r="H55" i="31"/>
  <c r="E126" i="30"/>
  <c r="AE17" i="28"/>
  <c r="N21" i="28"/>
  <c r="C25" i="27" s="1"/>
  <c r="AE21" i="28"/>
  <c r="S27" i="36"/>
  <c r="O35" i="36"/>
  <c r="T23" i="27"/>
  <c r="B39" i="30" s="1"/>
  <c r="T21" i="27"/>
  <c r="B7" i="30" s="1"/>
  <c r="L29" i="27"/>
  <c r="L49" i="36" s="1"/>
  <c r="R34" i="27"/>
  <c r="E158" i="30"/>
  <c r="AH10" i="28"/>
  <c r="AH13" i="28"/>
  <c r="AE20" i="28"/>
  <c r="X25" i="28"/>
  <c r="O30" i="28"/>
  <c r="E27" i="27" s="1"/>
  <c r="O35" i="28"/>
  <c r="C29" i="27" s="1"/>
  <c r="AH35" i="28"/>
  <c r="Y47" i="28"/>
  <c r="V27" i="27" s="1"/>
  <c r="B101" i="30" s="1"/>
  <c r="E101" i="30" s="1"/>
  <c r="O49" i="28"/>
  <c r="X55" i="28"/>
  <c r="Y71" i="28"/>
  <c r="O33" i="36"/>
  <c r="D51" i="27"/>
  <c r="Y79" i="28"/>
  <c r="B69" i="27"/>
  <c r="O34" i="27" s="1"/>
  <c r="AH14" i="28"/>
  <c r="T24" i="27"/>
  <c r="B54" i="30" s="1"/>
  <c r="H44" i="31"/>
  <c r="H48" i="31"/>
  <c r="E159" i="30"/>
  <c r="N14" i="28"/>
  <c r="C23" i="27" s="1"/>
  <c r="X18" i="28"/>
  <c r="AH31" i="28"/>
  <c r="AH34" i="28"/>
  <c r="O43" i="28"/>
  <c r="O44" i="28"/>
  <c r="E31" i="27" s="1"/>
  <c r="R39" i="27"/>
  <c r="C97" i="30" s="1"/>
  <c r="X26" i="28"/>
  <c r="X57" i="28"/>
  <c r="N7" i="28"/>
  <c r="C21" i="27" s="1"/>
  <c r="X9" i="28"/>
  <c r="X66" i="28"/>
  <c r="X58" i="28"/>
  <c r="X34" i="28"/>
  <c r="Y31" i="28"/>
  <c r="V25" i="27" s="1"/>
  <c r="B71" i="30" s="1"/>
  <c r="E71" i="30" s="1"/>
  <c r="X48" i="28"/>
  <c r="X49" i="28"/>
  <c r="X65" i="28"/>
  <c r="O29" i="28"/>
  <c r="X32" i="28"/>
  <c r="X56" i="28"/>
  <c r="X8" i="28"/>
  <c r="C69" i="27" s="1"/>
  <c r="L69" i="27" s="1"/>
  <c r="X40" i="28"/>
  <c r="X80" i="28"/>
  <c r="O42" i="28"/>
  <c r="X15" i="28"/>
  <c r="B70" i="27" s="1"/>
  <c r="X64" i="28"/>
  <c r="B65" i="30"/>
  <c r="X33" i="28"/>
  <c r="H47" i="31"/>
  <c r="H46" i="36"/>
  <c r="L25" i="27"/>
  <c r="W106" i="27"/>
  <c r="T106" i="27"/>
  <c r="V106" i="27"/>
  <c r="E114" i="30"/>
  <c r="Y15" i="28"/>
  <c r="V23" i="27" s="1"/>
  <c r="B41" i="30" s="1"/>
  <c r="E41" i="30" s="1"/>
  <c r="Y63" i="28"/>
  <c r="X63" i="28"/>
  <c r="AE23" i="28"/>
  <c r="AH23" i="28"/>
  <c r="U82" i="28"/>
  <c r="X81" i="28" s="1"/>
  <c r="T50" i="28"/>
  <c r="X50" i="28" s="1"/>
  <c r="V87" i="27"/>
  <c r="T87" i="27"/>
  <c r="W87" i="27"/>
  <c r="AH22" i="28"/>
  <c r="AE22" i="28"/>
  <c r="AH30" i="28"/>
  <c r="AE30" i="28"/>
  <c r="AH24" i="28"/>
  <c r="AE24" i="28"/>
  <c r="AH25" i="28"/>
  <c r="E111" i="30"/>
  <c r="D49" i="27"/>
  <c r="C49" i="27"/>
  <c r="X39" i="28"/>
  <c r="Y39" i="28"/>
  <c r="V26" i="27" s="1"/>
  <c r="B86" i="30" s="1"/>
  <c r="E86" i="30" s="1"/>
  <c r="O51" i="28"/>
  <c r="D53" i="27"/>
  <c r="C53" i="27"/>
  <c r="X10" i="28"/>
  <c r="R37" i="27"/>
  <c r="AH28" i="28"/>
  <c r="O34" i="31"/>
  <c r="H41" i="36"/>
  <c r="H45" i="36"/>
  <c r="D58" i="27"/>
  <c r="H50" i="31"/>
  <c r="R36" i="27"/>
  <c r="H54" i="31"/>
  <c r="W43" i="31"/>
  <c r="O33" i="31"/>
  <c r="L31" i="27"/>
  <c r="O28" i="36"/>
  <c r="H51" i="31"/>
  <c r="AE34" i="28"/>
  <c r="AH29" i="28"/>
  <c r="Y21" i="27" l="1"/>
  <c r="B12" i="30" s="1"/>
  <c r="E12" i="30" s="1"/>
  <c r="W69" i="27"/>
  <c r="W25" i="27"/>
  <c r="B72" i="30" s="1"/>
  <c r="E72" i="30" s="1"/>
  <c r="Y26" i="27"/>
  <c r="B89" i="30" s="1"/>
  <c r="E89" i="30" s="1"/>
  <c r="L41" i="36"/>
  <c r="L42" i="31"/>
  <c r="C82" i="30"/>
  <c r="E135" i="30"/>
  <c r="E165" i="30"/>
  <c r="G165" i="30" s="1"/>
  <c r="G166" i="30" s="1"/>
  <c r="G167" i="30" s="1"/>
  <c r="E150" i="30"/>
  <c r="G150" i="30" s="1"/>
  <c r="G151" i="30" s="1"/>
  <c r="G152" i="30" s="1"/>
  <c r="D23" i="27"/>
  <c r="C72" i="27"/>
  <c r="K31" i="36" s="1"/>
  <c r="C74" i="27"/>
  <c r="L74" i="27" s="1"/>
  <c r="S33" i="36" s="1"/>
  <c r="D31" i="27"/>
  <c r="O39" i="27"/>
  <c r="G35" i="36"/>
  <c r="G33" i="36"/>
  <c r="O27" i="27"/>
  <c r="G36" i="31"/>
  <c r="C31" i="27"/>
  <c r="E53" i="36" s="1"/>
  <c r="H82" i="27"/>
  <c r="Y27" i="27"/>
  <c r="B104" i="30" s="1"/>
  <c r="E104" i="30" s="1"/>
  <c r="D21" i="27"/>
  <c r="Y22" i="27"/>
  <c r="B28" i="30" s="1"/>
  <c r="E28" i="30" s="1"/>
  <c r="C36" i="30"/>
  <c r="E36" i="30" s="1"/>
  <c r="C37" i="30"/>
  <c r="D29" i="27"/>
  <c r="L48" i="31"/>
  <c r="Y25" i="27"/>
  <c r="B74" i="30" s="1"/>
  <c r="E74" i="30" s="1"/>
  <c r="D25" i="27"/>
  <c r="Z42" i="31"/>
  <c r="Y24" i="27"/>
  <c r="B59" i="30" s="1"/>
  <c r="E59" i="30" s="1"/>
  <c r="E49" i="36"/>
  <c r="G38" i="27"/>
  <c r="A47" i="38" s="1"/>
  <c r="E50" i="31"/>
  <c r="D70" i="27"/>
  <c r="S23" i="27" s="1"/>
  <c r="B38" i="30" s="1"/>
  <c r="W26" i="27"/>
  <c r="B87" i="30" s="1"/>
  <c r="E87" i="30" s="1"/>
  <c r="W27" i="27"/>
  <c r="B102" i="30" s="1"/>
  <c r="E102" i="30" s="1"/>
  <c r="O24" i="27"/>
  <c r="W23" i="27"/>
  <c r="B42" i="30" s="1"/>
  <c r="E42" i="30" s="1"/>
  <c r="L50" i="31"/>
  <c r="G31" i="31"/>
  <c r="G30" i="36"/>
  <c r="L44" i="31"/>
  <c r="D27" i="27"/>
  <c r="T69" i="27"/>
  <c r="O36" i="27"/>
  <c r="C71" i="27"/>
  <c r="C27" i="27"/>
  <c r="E48" i="31" s="1"/>
  <c r="C96" i="30"/>
  <c r="E96" i="30" s="1"/>
  <c r="C70" i="27"/>
  <c r="K30" i="31" s="1"/>
  <c r="C4" i="30"/>
  <c r="E4" i="30" s="1"/>
  <c r="C5" i="30"/>
  <c r="X42" i="28"/>
  <c r="D73" i="27" s="1"/>
  <c r="S26" i="27" s="1"/>
  <c r="B83" i="30" s="1"/>
  <c r="C82" i="27"/>
  <c r="O22" i="27"/>
  <c r="G28" i="36"/>
  <c r="U34" i="27"/>
  <c r="C24" i="30" s="1"/>
  <c r="D72" i="27"/>
  <c r="S25" i="27" s="1"/>
  <c r="B68" i="30" s="1"/>
  <c r="G29" i="31"/>
  <c r="C21" i="30"/>
  <c r="C20" i="30"/>
  <c r="E20" i="30" s="1"/>
  <c r="K28" i="36"/>
  <c r="D71" i="27"/>
  <c r="S24" i="27" s="1"/>
  <c r="B53" i="30" s="1"/>
  <c r="K29" i="31"/>
  <c r="D69" i="27"/>
  <c r="S22" i="27" s="1"/>
  <c r="B22" i="30" s="1"/>
  <c r="D74" i="27"/>
  <c r="S27" i="27" s="1"/>
  <c r="B98" i="30" s="1"/>
  <c r="E46" i="31"/>
  <c r="E38" i="27"/>
  <c r="A43" i="38" s="1"/>
  <c r="E45" i="36"/>
  <c r="E58" i="27"/>
  <c r="U89" i="27"/>
  <c r="V89" i="27" s="1"/>
  <c r="V88" i="27" s="1"/>
  <c r="T89" i="27"/>
  <c r="E44" i="31"/>
  <c r="D38" i="27"/>
  <c r="A41" i="38" s="1"/>
  <c r="E43" i="36"/>
  <c r="C66" i="30"/>
  <c r="E66" i="30" s="1"/>
  <c r="C67" i="30"/>
  <c r="B73" i="27"/>
  <c r="C73" i="27"/>
  <c r="E42" i="31"/>
  <c r="C38" i="27"/>
  <c r="A39" i="38" s="1"/>
  <c r="E41" i="36"/>
  <c r="C52" i="30"/>
  <c r="C51" i="30"/>
  <c r="E51" i="30" s="1"/>
  <c r="U108" i="27"/>
  <c r="T108" i="27"/>
  <c r="D82" i="27"/>
  <c r="G29" i="36"/>
  <c r="O23" i="27"/>
  <c r="G30" i="31"/>
  <c r="O35" i="27"/>
  <c r="S28" i="36"/>
  <c r="S29" i="31"/>
  <c r="F82" i="27"/>
  <c r="G31" i="36"/>
  <c r="G32" i="31"/>
  <c r="O37" i="27"/>
  <c r="O25" i="27"/>
  <c r="L53" i="36"/>
  <c r="L54" i="31"/>
  <c r="L52" i="31"/>
  <c r="L51" i="36"/>
  <c r="T41" i="36"/>
  <c r="C58" i="27"/>
  <c r="T42" i="31"/>
  <c r="E120" i="30"/>
  <c r="G120" i="30" s="1"/>
  <c r="G121" i="30" s="1"/>
  <c r="G122" i="30" s="1"/>
  <c r="L45" i="36"/>
  <c r="L46" i="31"/>
  <c r="W24" i="27"/>
  <c r="B57" i="30" s="1"/>
  <c r="E57" i="30" s="1"/>
  <c r="K32" i="31" l="1"/>
  <c r="L72" i="27"/>
  <c r="S32" i="31" s="1"/>
  <c r="E52" i="31"/>
  <c r="U37" i="27"/>
  <c r="C70" i="30" s="1"/>
  <c r="E51" i="36"/>
  <c r="S34" i="31"/>
  <c r="K36" i="31"/>
  <c r="K34" i="31"/>
  <c r="K33" i="36"/>
  <c r="U39" i="27"/>
  <c r="C100" i="30" s="1"/>
  <c r="S35" i="36"/>
  <c r="S36" i="31"/>
  <c r="K35" i="36"/>
  <c r="E54" i="31"/>
  <c r="H38" i="27"/>
  <c r="A49" i="38" s="1"/>
  <c r="E47" i="36"/>
  <c r="F38" i="27"/>
  <c r="A45" i="38" s="1"/>
  <c r="U35" i="27"/>
  <c r="C40" i="30" s="1"/>
  <c r="K29" i="36"/>
  <c r="L70" i="27"/>
  <c r="S30" i="31" s="1"/>
  <c r="L71" i="27"/>
  <c r="U36" i="27"/>
  <c r="C55" i="30" s="1"/>
  <c r="K31" i="31"/>
  <c r="K30" i="36"/>
  <c r="U71" i="27"/>
  <c r="T71" i="27"/>
  <c r="V108" i="27"/>
  <c r="V107" i="27" s="1"/>
  <c r="W108" i="27"/>
  <c r="W107" i="27" s="1"/>
  <c r="O26" i="27"/>
  <c r="O38" i="27"/>
  <c r="G32" i="36"/>
  <c r="G82" i="27"/>
  <c r="G33" i="31"/>
  <c r="W89" i="27"/>
  <c r="W88" i="27" s="1"/>
  <c r="K33" i="31"/>
  <c r="L73" i="27"/>
  <c r="K32" i="36"/>
  <c r="U38" i="27"/>
  <c r="C85" i="30" s="1"/>
  <c r="S31" i="36" l="1"/>
  <c r="S29" i="36"/>
  <c r="V71" i="27"/>
  <c r="V70" i="27" s="1"/>
  <c r="T43" i="27" s="1"/>
  <c r="W71" i="27"/>
  <c r="W70" i="27" s="1"/>
  <c r="S30" i="36"/>
  <c r="S31" i="31"/>
  <c r="S33" i="31"/>
  <c r="S32" i="36"/>
  <c r="P47" i="27" l="1"/>
  <c r="P44" i="27"/>
  <c r="P54" i="27" l="1"/>
  <c r="R22" i="27" s="1"/>
  <c r="T35" i="27"/>
  <c r="C39" i="30" s="1"/>
  <c r="E39" i="30" s="1"/>
  <c r="B129" i="30"/>
  <c r="E129" i="30" s="1"/>
  <c r="G135" i="30" s="1"/>
  <c r="G136" i="30" s="1"/>
  <c r="G137" i="30" s="1"/>
  <c r="S39" i="27"/>
  <c r="C98" i="30" s="1"/>
  <c r="E98" i="30" s="1"/>
  <c r="S38" i="27"/>
  <c r="C83" i="30" s="1"/>
  <c r="E83" i="30" s="1"/>
  <c r="T37" i="27"/>
  <c r="C69" i="30" s="1"/>
  <c r="E69" i="30" s="1"/>
  <c r="S36" i="27"/>
  <c r="C53" i="30" s="1"/>
  <c r="E53" i="30" s="1"/>
  <c r="T33" i="27"/>
  <c r="C7" i="30" s="1"/>
  <c r="E7" i="30" s="1"/>
  <c r="Q35" i="27"/>
  <c r="T34" i="27"/>
  <c r="C23" i="30" s="1"/>
  <c r="E23" i="30" s="1"/>
  <c r="P33" i="27"/>
  <c r="T39" i="27"/>
  <c r="C99" i="30" s="1"/>
  <c r="E99" i="30" s="1"/>
  <c r="P34" i="27"/>
  <c r="C19" i="30" s="1"/>
  <c r="E19" i="30" s="1"/>
  <c r="Q38" i="27"/>
  <c r="S34" i="27"/>
  <c r="C22" i="30" s="1"/>
  <c r="E22" i="30" s="1"/>
  <c r="Q34" i="27"/>
  <c r="S37" i="27"/>
  <c r="C68" i="30" s="1"/>
  <c r="E68" i="30" s="1"/>
  <c r="T38" i="27"/>
  <c r="C84" i="30" s="1"/>
  <c r="E84" i="30" s="1"/>
  <c r="S35" i="27"/>
  <c r="C38" i="30" s="1"/>
  <c r="E38" i="30" s="1"/>
  <c r="P39" i="27"/>
  <c r="C95" i="30" s="1"/>
  <c r="E95" i="30" s="1"/>
  <c r="S33" i="27"/>
  <c r="C6" i="30" s="1"/>
  <c r="E6" i="30" s="1"/>
  <c r="P36" i="27"/>
  <c r="C50" i="30" s="1"/>
  <c r="E50" i="30" s="1"/>
  <c r="P38" i="27"/>
  <c r="C80" i="30" s="1"/>
  <c r="E80" i="30" s="1"/>
  <c r="Q39" i="27"/>
  <c r="T36" i="27"/>
  <c r="C54" i="30" s="1"/>
  <c r="E54" i="30" s="1"/>
  <c r="Q36" i="27"/>
  <c r="Q37" i="27"/>
  <c r="P37" i="27"/>
  <c r="C65" i="30" s="1"/>
  <c r="E65" i="30" s="1"/>
  <c r="Q33" i="27"/>
  <c r="P35" i="27"/>
  <c r="R27" i="27" l="1"/>
  <c r="U27" i="27" s="1"/>
  <c r="R24" i="27"/>
  <c r="U24" i="27" s="1"/>
  <c r="B55" i="30" s="1"/>
  <c r="E55" i="30" s="1"/>
  <c r="R21" i="27"/>
  <c r="B5" i="30" s="1"/>
  <c r="E5" i="30" s="1"/>
  <c r="R23" i="27"/>
  <c r="U23" i="27" s="1"/>
  <c r="R26" i="27"/>
  <c r="B82" i="30" s="1"/>
  <c r="E82" i="30" s="1"/>
  <c r="R25" i="27"/>
  <c r="B67" i="30" s="1"/>
  <c r="E67" i="30" s="1"/>
  <c r="C35" i="30"/>
  <c r="E35" i="30" s="1"/>
  <c r="C3" i="30"/>
  <c r="E3" i="30" s="1"/>
  <c r="U22" i="27"/>
  <c r="B21" i="30"/>
  <c r="E21" i="30" s="1"/>
  <c r="U21" i="27" l="1"/>
  <c r="B8" i="30" s="1"/>
  <c r="E8" i="30" s="1"/>
  <c r="E13" i="30" s="1"/>
  <c r="B97" i="30"/>
  <c r="E97" i="30" s="1"/>
  <c r="B52" i="30"/>
  <c r="E52" i="30" s="1"/>
  <c r="E60" i="30" s="1"/>
  <c r="G60" i="30" s="1"/>
  <c r="G61" i="30" s="1"/>
  <c r="G62" i="30" s="1"/>
  <c r="U26" i="27"/>
  <c r="B37" i="30"/>
  <c r="E37" i="30" s="1"/>
  <c r="B40" i="30"/>
  <c r="E40" i="30" s="1"/>
  <c r="Z23" i="27"/>
  <c r="U25" i="27"/>
  <c r="B70" i="30" s="1"/>
  <c r="E70" i="30" s="1"/>
  <c r="E75" i="30" s="1"/>
  <c r="G75" i="30" s="1"/>
  <c r="G76" i="30" s="1"/>
  <c r="G77" i="30" s="1"/>
  <c r="B100" i="30"/>
  <c r="E100" i="30" s="1"/>
  <c r="Z27" i="27"/>
  <c r="B24" i="30"/>
  <c r="E24" i="30" s="1"/>
  <c r="E29" i="30" s="1"/>
  <c r="G29" i="30" s="1"/>
  <c r="G30" i="30" s="1"/>
  <c r="G31" i="30" s="1"/>
  <c r="Z22" i="27"/>
  <c r="Z24" i="27"/>
  <c r="Z21" i="27" l="1"/>
  <c r="E105" i="30"/>
  <c r="G105" i="30" s="1"/>
  <c r="G106" i="30" s="1"/>
  <c r="G107" i="30" s="1"/>
  <c r="AA27" i="27" s="1"/>
  <c r="E45" i="30"/>
  <c r="G45" i="30" s="1"/>
  <c r="G46" i="30" s="1"/>
  <c r="G47" i="30" s="1"/>
  <c r="AA23" i="27" s="1"/>
  <c r="AA24" i="27"/>
  <c r="W31" i="31" s="1"/>
  <c r="B85" i="30"/>
  <c r="E85" i="30" s="1"/>
  <c r="E90" i="30" s="1"/>
  <c r="G90" i="30" s="1"/>
  <c r="G91" i="30" s="1"/>
  <c r="G92" i="30" s="1"/>
  <c r="Z26" i="27"/>
  <c r="Z25" i="27"/>
  <c r="AA25" i="27" s="1"/>
  <c r="W31" i="36" s="1"/>
  <c r="AA22" i="27"/>
  <c r="W29" i="31" s="1"/>
  <c r="F40" i="30"/>
  <c r="F97" i="30"/>
  <c r="F3" i="30"/>
  <c r="F8" i="30"/>
  <c r="F21" i="30"/>
  <c r="F37" i="30"/>
  <c r="F100" i="30"/>
  <c r="F5" i="30"/>
  <c r="F82" i="30"/>
  <c r="F19" i="30"/>
  <c r="F102" i="30"/>
  <c r="F65" i="30"/>
  <c r="F10" i="30"/>
  <c r="F164" i="30"/>
  <c r="F11" i="30"/>
  <c r="F42" i="30"/>
  <c r="G13" i="30"/>
  <c r="G14" i="30" s="1"/>
  <c r="G15" i="30" s="1"/>
  <c r="AA21" i="27" s="1"/>
  <c r="F27" i="30"/>
  <c r="F134" i="30"/>
  <c r="F28" i="30"/>
  <c r="F20" i="30"/>
  <c r="F84" i="30"/>
  <c r="F83" i="30"/>
  <c r="F148" i="30"/>
  <c r="F111" i="30"/>
  <c r="F68" i="30"/>
  <c r="F22" i="30"/>
  <c r="F23" i="30"/>
  <c r="F158" i="30"/>
  <c r="F116" i="30"/>
  <c r="F80" i="30"/>
  <c r="F12" i="30"/>
  <c r="F130" i="30"/>
  <c r="F81" i="30"/>
  <c r="F117" i="30"/>
  <c r="F133" i="30"/>
  <c r="F44" i="30"/>
  <c r="F73" i="30"/>
  <c r="F51" i="30"/>
  <c r="F39" i="30"/>
  <c r="F129" i="30"/>
  <c r="F146" i="30"/>
  <c r="F54" i="30"/>
  <c r="F127" i="30"/>
  <c r="F140" i="30"/>
  <c r="F128" i="30"/>
  <c r="F119" i="30"/>
  <c r="F144" i="30"/>
  <c r="F4" i="30"/>
  <c r="F156" i="30"/>
  <c r="F143" i="30"/>
  <c r="F96" i="30"/>
  <c r="F57" i="30"/>
  <c r="F99" i="30"/>
  <c r="F112" i="30"/>
  <c r="F141" i="30"/>
  <c r="F56" i="30"/>
  <c r="F74" i="30"/>
  <c r="F58" i="30"/>
  <c r="F59" i="30"/>
  <c r="F160" i="30"/>
  <c r="F9" i="30"/>
  <c r="F147" i="30"/>
  <c r="F114" i="30"/>
  <c r="F159" i="30"/>
  <c r="F95" i="30"/>
  <c r="F126" i="30"/>
  <c r="F89" i="30"/>
  <c r="F132" i="30"/>
  <c r="F149" i="30"/>
  <c r="F131" i="30"/>
  <c r="F101" i="30"/>
  <c r="F155" i="30"/>
  <c r="F36" i="30"/>
  <c r="F86" i="30"/>
  <c r="F69" i="30"/>
  <c r="F7" i="30"/>
  <c r="F6" i="30"/>
  <c r="F71" i="30"/>
  <c r="F162" i="30"/>
  <c r="F157" i="30"/>
  <c r="F88" i="30"/>
  <c r="F115" i="30"/>
  <c r="F43" i="30"/>
  <c r="F103" i="30"/>
  <c r="F145" i="30"/>
  <c r="F41" i="30"/>
  <c r="F66" i="30"/>
  <c r="F98" i="30"/>
  <c r="F50" i="30"/>
  <c r="F87" i="30"/>
  <c r="F110" i="30"/>
  <c r="F113" i="30"/>
  <c r="F142" i="30"/>
  <c r="F72" i="30"/>
  <c r="F118" i="30"/>
  <c r="F25" i="30"/>
  <c r="F104" i="30"/>
  <c r="F125" i="30"/>
  <c r="F53" i="30"/>
  <c r="F163" i="30"/>
  <c r="F161" i="30"/>
  <c r="F26" i="30"/>
  <c r="F38" i="30"/>
  <c r="F52" i="30"/>
  <c r="F35" i="30"/>
  <c r="F70" i="30"/>
  <c r="F67" i="30"/>
  <c r="F24" i="30"/>
  <c r="F55" i="30"/>
  <c r="W30" i="36" l="1"/>
  <c r="W29" i="36"/>
  <c r="W30" i="31"/>
  <c r="F85" i="30"/>
  <c r="F90" i="30" s="1"/>
  <c r="AA26" i="27"/>
  <c r="F165" i="30"/>
  <c r="W32" i="31"/>
  <c r="W28" i="36"/>
  <c r="W27" i="36"/>
  <c r="W28" i="31"/>
  <c r="W33" i="36"/>
  <c r="W35" i="36"/>
  <c r="W34" i="31"/>
  <c r="W36" i="31"/>
  <c r="F60" i="30"/>
  <c r="F13" i="30"/>
  <c r="F150" i="30"/>
  <c r="F120" i="30"/>
  <c r="F75" i="30"/>
  <c r="F45" i="30"/>
  <c r="F135" i="30"/>
  <c r="F105" i="30"/>
  <c r="F29" i="30"/>
  <c r="W33" i="31" l="1"/>
  <c r="W3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S2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la incertidumbre por patrón es igual a cero porque no se ha utilizado un patrón
por que no tenes patrón </t>
        </r>
      </text>
    </comment>
    <comment ref="S3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la incertidumbre por patrón es igual a cero porque no se ha utilizado un patrón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Morales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Carlos Morales:</t>
        </r>
        <r>
          <rPr>
            <sz val="9"/>
            <color indexed="81"/>
            <rFont val="Tahoma"/>
            <family val="2"/>
          </rPr>
          <t xml:space="preserve">
Este valor es dado de tabla según procedimiento CEM EN EL NUMERAL 5.2.11 TABLA 4 PARA PIE DE REY CON LONGITUDES DE 150 A 300 mm 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F14" authorId="0" shapeId="0" xr:uid="{00000000-0006-0000-0400-00000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5" authorId="0" shapeId="0" xr:uid="{00000000-0006-0000-0400-00000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0" authorId="0" shapeId="0" xr:uid="{00000000-0006-0000-0400-00000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31" authorId="0" shapeId="0" xr:uid="{00000000-0006-0000-0400-00000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6" authorId="0" shapeId="0" xr:uid="{00000000-0006-0000-0400-00000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7" authorId="0" shapeId="0" xr:uid="{00000000-0006-0000-0400-00000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61" authorId="0" shapeId="0" xr:uid="{00000000-0006-0000-0400-00000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62" authorId="0" shapeId="0" xr:uid="{00000000-0006-0000-0400-00000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6" authorId="0" shapeId="0" xr:uid="{00000000-0006-0000-0400-00000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7" authorId="0" shapeId="0" xr:uid="{00000000-0006-0000-0400-00000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91" authorId="0" shapeId="0" xr:uid="{00000000-0006-0000-0400-00000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92" authorId="0" shapeId="0" xr:uid="{00000000-0006-0000-0400-00000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6" authorId="0" shapeId="0" xr:uid="{00000000-0006-0000-0400-00000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7" authorId="0" shapeId="0" xr:uid="{00000000-0006-0000-0400-00000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1" authorId="0" shapeId="0" xr:uid="{00000000-0006-0000-0400-00000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22" authorId="0" shapeId="0" xr:uid="{00000000-0006-0000-0400-00001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6" authorId="0" shapeId="0" xr:uid="{00000000-0006-0000-0400-00001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37" authorId="0" shapeId="0" xr:uid="{00000000-0006-0000-0400-00001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51" authorId="0" shapeId="0" xr:uid="{00000000-0006-0000-0400-00001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52" authorId="0" shapeId="0" xr:uid="{00000000-0006-0000-0400-00001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6" authorId="0" shapeId="0" xr:uid="{00000000-0006-0000-0400-00001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67" authorId="0" shapeId="0" xr:uid="{00000000-0006-0000-0400-00001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<sst xmlns="http://schemas.openxmlformats.org/spreadsheetml/2006/main" count="2809" uniqueCount="1537">
  <si>
    <t>Rango de Calibración</t>
  </si>
  <si>
    <t>LISTA DE CLIENTES</t>
  </si>
  <si>
    <t>Dirección 1</t>
  </si>
  <si>
    <t>Dirección 2</t>
  </si>
  <si>
    <t>Escoja una</t>
  </si>
  <si>
    <t>CONDICIONES AMBIENTALES DE PRUEBA</t>
  </si>
  <si>
    <t>Temperatura:</t>
  </si>
  <si>
    <t>Magnitud</t>
  </si>
  <si>
    <t>Humedad:</t>
  </si>
  <si>
    <t>%RH</t>
  </si>
  <si>
    <t>±</t>
  </si>
  <si>
    <t>Patrón</t>
  </si>
  <si>
    <t>Lecturas</t>
  </si>
  <si>
    <t>promedio</t>
  </si>
  <si>
    <t>desvsta</t>
  </si>
  <si>
    <t>Incertidumbre</t>
  </si>
  <si>
    <t>Nominal</t>
  </si>
  <si>
    <t>Uexp</t>
  </si>
  <si>
    <r>
      <t>X</t>
    </r>
    <r>
      <rPr>
        <b/>
        <vertAlign val="subscript"/>
        <sz val="10"/>
        <rFont val="Arial"/>
        <family val="2"/>
      </rPr>
      <t>1</t>
    </r>
  </si>
  <si>
    <r>
      <t>X</t>
    </r>
    <r>
      <rPr>
        <b/>
        <vertAlign val="subscript"/>
        <sz val="10"/>
        <rFont val="Arial"/>
        <family val="2"/>
      </rPr>
      <t>2</t>
    </r>
  </si>
  <si>
    <t>X</t>
  </si>
  <si>
    <t>σ</t>
  </si>
  <si>
    <t>X - Patrón</t>
  </si>
  <si>
    <t>DesvSt / raiz(n)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</si>
  <si>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m)</t>
    </r>
  </si>
  <si>
    <t>Rango de Medición</t>
  </si>
  <si>
    <t>Fecha de Medición</t>
  </si>
  <si>
    <t>Tipo de Servicio</t>
  </si>
  <si>
    <r>
      <t>Tipo de Servicio</t>
    </r>
    <r>
      <rPr>
        <b/>
        <sz val="10"/>
        <rFont val="Arial"/>
        <family val="2"/>
      </rPr>
      <t>:</t>
    </r>
  </si>
  <si>
    <t>Realizó</t>
  </si>
  <si>
    <t>Incertidumbre estándar</t>
  </si>
  <si>
    <t>U</t>
  </si>
  <si>
    <t>Valor Nominal</t>
  </si>
  <si>
    <t>Longitud</t>
  </si>
  <si>
    <t>Mitutoyo</t>
  </si>
  <si>
    <t>Temperatura</t>
  </si>
  <si>
    <t>(μm)</t>
  </si>
  <si>
    <t>Error</t>
  </si>
  <si>
    <t>Calibración</t>
  </si>
  <si>
    <t>Marca</t>
  </si>
  <si>
    <t>LISTA DE FABRICANTES</t>
  </si>
  <si>
    <t>Fabricante</t>
  </si>
  <si>
    <t>NO DISPONIBLE</t>
  </si>
  <si>
    <t>Modelo:</t>
  </si>
  <si>
    <t>Serie:</t>
  </si>
  <si>
    <t>mm</t>
  </si>
  <si>
    <t>Mínima División:</t>
  </si>
  <si>
    <t>Resolución:</t>
  </si>
  <si>
    <t>No. Serie:</t>
  </si>
  <si>
    <t>Final</t>
  </si>
  <si>
    <t>Inicial</t>
  </si>
  <si>
    <t>No Disponible</t>
  </si>
  <si>
    <t>No disponible</t>
  </si>
  <si>
    <t>Siglas-Nombre completo</t>
  </si>
  <si>
    <t>siglas - fabricante</t>
  </si>
  <si>
    <t>CERTIFICADO DE CALIBRACION</t>
  </si>
  <si>
    <t>Fecha de Calibración</t>
  </si>
  <si>
    <t>Unidad de medida</t>
  </si>
  <si>
    <t>Dirección fabricante:</t>
  </si>
  <si>
    <t>Dirección:</t>
  </si>
  <si>
    <t>No.</t>
  </si>
  <si>
    <t>Incertidumbre expandida</t>
  </si>
  <si>
    <t>Inventario:</t>
  </si>
  <si>
    <t>Fecha de calibración:</t>
  </si>
  <si>
    <t>Calibró:</t>
  </si>
  <si>
    <t>Revisó:</t>
  </si>
  <si>
    <t>DATOS DEL CLIENTE</t>
  </si>
  <si>
    <t>Marca:</t>
  </si>
  <si>
    <t>ºC</t>
  </si>
  <si>
    <t>Calibró</t>
  </si>
  <si>
    <t>Revisó</t>
  </si>
  <si>
    <t>Cargo</t>
  </si>
  <si>
    <t>Institución/Empresa</t>
  </si>
  <si>
    <t>Siglas</t>
  </si>
  <si>
    <t>Teléfono</t>
  </si>
  <si>
    <t>(mm)</t>
  </si>
  <si>
    <t>Alcance de medición:</t>
  </si>
  <si>
    <t>Resolución</t>
  </si>
  <si>
    <t>CERTIFICADO DE CALIBRACIÓN</t>
  </si>
  <si>
    <t>Verificación</t>
  </si>
  <si>
    <t>Fisher Scientific</t>
  </si>
  <si>
    <t>DATOS DEL PATRÓN</t>
  </si>
  <si>
    <t>Patrón:</t>
  </si>
  <si>
    <t>Longitud Nominal</t>
  </si>
  <si>
    <t>Número de identificación</t>
  </si>
  <si>
    <t xml:space="preserve">Bloques Patrón </t>
  </si>
  <si>
    <t>Mensurando Pie de Rey</t>
  </si>
  <si>
    <t>Diferencia</t>
  </si>
  <si>
    <t>Valor nom</t>
  </si>
  <si>
    <t>X1</t>
  </si>
  <si>
    <t>X2</t>
  </si>
  <si>
    <t>X3</t>
  </si>
  <si>
    <t>X4</t>
  </si>
  <si>
    <t>X5</t>
  </si>
  <si>
    <t>Superior</t>
  </si>
  <si>
    <t>Inferior</t>
  </si>
  <si>
    <t>N/A</t>
  </si>
  <si>
    <t>Valores Nominales →</t>
  </si>
  <si>
    <t>Longitud Nom. (mm)</t>
  </si>
  <si>
    <t>Desviación (nm)</t>
  </si>
  <si>
    <t>TOTAL</t>
  </si>
  <si>
    <t>Medición de paralelismo (caras de medición de exteriores)</t>
  </si>
  <si>
    <t>Medición de paralelismo (caras de medición de interiores)</t>
  </si>
  <si>
    <t>Valor Nom</t>
  </si>
  <si>
    <t>PARALELISMO CARAS EXTERIORES</t>
  </si>
  <si>
    <t>PARALELISMO CARAS INTERIORES</t>
  </si>
  <si>
    <t>Bloques Patrón</t>
  </si>
  <si>
    <t>BP - 1.5</t>
  </si>
  <si>
    <t>BP - 1</t>
  </si>
  <si>
    <t>BP - 2</t>
  </si>
  <si>
    <t>BP - 3</t>
  </si>
  <si>
    <t>BP - 4</t>
  </si>
  <si>
    <t>BP - 5</t>
  </si>
  <si>
    <t>BP - 6</t>
  </si>
  <si>
    <t>BP - 7</t>
  </si>
  <si>
    <t>BP - 8</t>
  </si>
  <si>
    <t>BP - 9</t>
  </si>
  <si>
    <t>BP - 10</t>
  </si>
  <si>
    <t>BP - 20</t>
  </si>
  <si>
    <t>BP - 30</t>
  </si>
  <si>
    <t>BP - 40</t>
  </si>
  <si>
    <t>BP - 50</t>
  </si>
  <si>
    <t>BP - 60</t>
  </si>
  <si>
    <t>BP - 70</t>
  </si>
  <si>
    <t>BP - 80</t>
  </si>
  <si>
    <t>BP - 90</t>
  </si>
  <si>
    <t>BP - 100</t>
  </si>
  <si>
    <r>
      <t>(</t>
    </r>
    <r>
      <rPr>
        <b/>
        <sz val="10"/>
        <rFont val="Arial"/>
        <family val="2"/>
      </rPr>
      <t>μ</t>
    </r>
    <r>
      <rPr>
        <b/>
        <sz val="10"/>
        <rFont val="Arial"/>
        <family val="2"/>
      </rPr>
      <t>m)</t>
    </r>
  </si>
  <si>
    <r>
      <t>X</t>
    </r>
    <r>
      <rPr>
        <b/>
        <vertAlign val="subscript"/>
        <sz val="10"/>
        <rFont val="Arial"/>
        <family val="2"/>
      </rPr>
      <t>3</t>
    </r>
  </si>
  <si>
    <r>
      <t>X</t>
    </r>
    <r>
      <rPr>
        <b/>
        <vertAlign val="subscript"/>
        <sz val="10"/>
        <rFont val="Arial"/>
        <family val="2"/>
      </rPr>
      <t>4</t>
    </r>
  </si>
  <si>
    <r>
      <t>X</t>
    </r>
    <r>
      <rPr>
        <b/>
        <vertAlign val="subscript"/>
        <sz val="10"/>
        <rFont val="Arial"/>
        <family val="2"/>
      </rPr>
      <t>5</t>
    </r>
  </si>
  <si>
    <r>
      <t>X</t>
    </r>
    <r>
      <rPr>
        <b/>
        <vertAlign val="subscript"/>
        <sz val="10"/>
        <rFont val="Arial"/>
        <family val="2"/>
      </rPr>
      <t>Sup</t>
    </r>
    <r>
      <rPr>
        <b/>
        <sz val="10"/>
        <rFont val="Arial"/>
        <family val="2"/>
      </rPr>
      <t xml:space="preserve"> - X</t>
    </r>
    <r>
      <rPr>
        <b/>
        <vertAlign val="subscript"/>
        <sz val="10"/>
        <rFont val="Arial"/>
        <family val="2"/>
      </rPr>
      <t>Inf</t>
    </r>
  </si>
  <si>
    <r>
      <t>V</t>
    </r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 xml:space="preserve"> - V</t>
    </r>
    <r>
      <rPr>
        <b/>
        <vertAlign val="subscript"/>
        <sz val="10"/>
        <rFont val="Arial"/>
        <family val="2"/>
      </rPr>
      <t>Min</t>
    </r>
  </si>
  <si>
    <t>Prueba de Exactitud de las caras de medición de exteriores</t>
  </si>
  <si>
    <t>Bloque Patrón</t>
  </si>
  <si>
    <t xml:space="preserve">Mensurando Pie de rey </t>
  </si>
  <si>
    <t>PRUEBA DE EXACTITUD (CARAS EXTERIORES)</t>
  </si>
  <si>
    <t>Referencia inicial "Puesta a Cero", Verificación del cero</t>
  </si>
  <si>
    <t>Promedio</t>
  </si>
  <si>
    <t>Desv. E.</t>
  </si>
  <si>
    <t>u de mediciones</t>
  </si>
  <si>
    <t>Mediciones</t>
  </si>
  <si>
    <t>Puntos de Calibración</t>
  </si>
  <si>
    <t>Cálculo de Incertidumbre Expandida</t>
  </si>
  <si>
    <t>Bloques Patrón Grado 0</t>
  </si>
  <si>
    <t xml:space="preserve">DATOS DEL INSTRUMENTO A CALIBRAR </t>
  </si>
  <si>
    <t>INFORME DE CALIBRACIÓN</t>
  </si>
  <si>
    <t>INFORME DE VERIFICACIÓN</t>
  </si>
  <si>
    <t>Descripción del instrumento a calibrar:</t>
  </si>
  <si>
    <t>Fowler&amp;NSK</t>
  </si>
  <si>
    <t>Deriva</t>
  </si>
  <si>
    <t xml:space="preserve">Bloques ´patron </t>
  </si>
  <si>
    <t>Incertidumbre por deriva</t>
  </si>
  <si>
    <t xml:space="preserve">Unión de bloques </t>
  </si>
  <si>
    <t>EMT (µm)</t>
  </si>
  <si>
    <t>µm</t>
  </si>
  <si>
    <t>1/3 EMT  (nm)</t>
  </si>
  <si>
    <t>Tabla 4.- Longitudes mínimas de las bocas de medida</t>
  </si>
  <si>
    <t>de exteriores e interiores, para pies de rey de</t>
  </si>
  <si>
    <t>resolución 0,01 mm y 0,02 mm</t>
  </si>
  <si>
    <t>Capacidad de medidas para exteriores (mm)</t>
  </si>
  <si>
    <t>Longitud mínima de las caras de medidas para interiores h</t>
  </si>
  <si>
    <t>Longitud minimas de las bocas  H</t>
  </si>
  <si>
    <t>Error de abbe (µm)</t>
  </si>
  <si>
    <r>
      <t>c</t>
    </r>
    <r>
      <rPr>
        <b/>
        <vertAlign val="subscript"/>
        <sz val="10"/>
        <rFont val="Arial"/>
        <family val="2"/>
      </rPr>
      <t>xi</t>
    </r>
  </si>
  <si>
    <r>
      <t>unidades de c</t>
    </r>
    <r>
      <rPr>
        <b/>
        <vertAlign val="subscript"/>
        <sz val="10"/>
        <rFont val="Arial"/>
        <family val="2"/>
      </rPr>
      <t>xi</t>
    </r>
  </si>
  <si>
    <t>Incertidumbre estandar (k=1)</t>
  </si>
  <si>
    <t>aporte (%)</t>
  </si>
  <si>
    <t>Grados de libertad ʋi</t>
  </si>
  <si>
    <r>
      <t>n</t>
    </r>
    <r>
      <rPr>
        <b/>
        <sz val="7"/>
        <rFont val="Arial"/>
        <family val="2"/>
      </rPr>
      <t>eff</t>
    </r>
  </si>
  <si>
    <t>k</t>
  </si>
  <si>
    <t>¥</t>
  </si>
  <si>
    <t>primer punto 0</t>
  </si>
  <si>
    <t>Resultados</t>
  </si>
  <si>
    <t>Paralelismo</t>
  </si>
  <si>
    <t>°C</t>
  </si>
  <si>
    <r>
      <t>°C</t>
    </r>
    <r>
      <rPr>
        <vertAlign val="superscript"/>
        <sz val="10"/>
        <rFont val="Arial"/>
        <family val="2"/>
      </rPr>
      <t>-1</t>
    </r>
  </si>
  <si>
    <r>
      <t>e</t>
    </r>
    <r>
      <rPr>
        <vertAlign val="subscript"/>
        <sz val="10"/>
        <rFont val="Arial"/>
        <family val="2"/>
      </rPr>
      <t>Abbe</t>
    </r>
    <r>
      <rPr>
        <sz val="10"/>
        <rFont val="Arial"/>
        <family val="2"/>
      </rPr>
      <t xml:space="preserve"> =</t>
    </r>
  </si>
  <si>
    <r>
      <t xml:space="preserve">b </t>
    </r>
    <r>
      <rPr>
        <sz val="10"/>
        <rFont val="Arial"/>
        <family val="2"/>
      </rPr>
      <t>=</t>
    </r>
  </si>
  <si>
    <t>Coeficiente de dilatación térmica:</t>
  </si>
  <si>
    <t>Incertidumbre del Coeficiente de dilatación térmica:</t>
  </si>
  <si>
    <t>Incertidumbre Coef. Dilat. térmica:</t>
  </si>
  <si>
    <r>
      <t>u</t>
    </r>
    <r>
      <rPr>
        <b/>
        <vertAlign val="subscript"/>
        <sz val="10"/>
        <rFont val="Arial"/>
        <family val="2"/>
      </rPr>
      <t>p</t>
    </r>
  </si>
  <si>
    <t>H =</t>
  </si>
  <si>
    <t>r =</t>
  </si>
  <si>
    <t>HARDENED</t>
  </si>
  <si>
    <t>Truper</t>
  </si>
  <si>
    <t>Segundo punto 1</t>
  </si>
  <si>
    <t>Tercer punto 2</t>
  </si>
  <si>
    <r>
      <rPr>
        <b/>
        <i/>
        <sz val="10"/>
        <rFont val="Cambria"/>
        <family val="1"/>
        <scheme val="major"/>
      </rPr>
      <t>u</t>
    </r>
    <r>
      <rPr>
        <b/>
        <vertAlign val="subscript"/>
        <sz val="10"/>
        <rFont val="Cambria"/>
        <family val="1"/>
        <scheme val="major"/>
      </rPr>
      <t>c</t>
    </r>
  </si>
  <si>
    <r>
      <rPr>
        <b/>
        <sz val="10"/>
        <rFont val="Cambria"/>
        <family val="1"/>
        <scheme val="major"/>
      </rPr>
      <t>u</t>
    </r>
    <r>
      <rPr>
        <b/>
        <vertAlign val="subscript"/>
        <sz val="10"/>
        <rFont val="Cambria"/>
        <family val="1"/>
        <scheme val="major"/>
      </rPr>
      <t>xi</t>
    </r>
    <r>
      <rPr>
        <b/>
        <sz val="10"/>
        <rFont val="Cambria"/>
        <family val="1"/>
        <scheme val="major"/>
      </rPr>
      <t xml:space="preserve"> </t>
    </r>
  </si>
  <si>
    <t>Fuente</t>
  </si>
  <si>
    <r>
      <t>Patrón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</si>
  <si>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Unión de bloques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</si>
  <si>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Paralelismo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</si>
  <si>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Resolución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</si>
  <si>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 xml:space="preserve">Factor de cobertura,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</si>
  <si>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t>2563-0960</t>
  </si>
  <si>
    <t>070472</t>
  </si>
  <si>
    <t>070151</t>
  </si>
  <si>
    <t>070330</t>
  </si>
  <si>
    <t>070493</t>
  </si>
  <si>
    <t>070887</t>
  </si>
  <si>
    <t>070445</t>
  </si>
  <si>
    <t>070422</t>
  </si>
  <si>
    <t>070307</t>
  </si>
  <si>
    <t>070091</t>
  </si>
  <si>
    <t>070406</t>
  </si>
  <si>
    <t>075190</t>
  </si>
  <si>
    <t>070899</t>
  </si>
  <si>
    <t>074859</t>
  </si>
  <si>
    <t>070895</t>
  </si>
  <si>
    <t>072258</t>
  </si>
  <si>
    <t>072243</t>
  </si>
  <si>
    <t>074643</t>
  </si>
  <si>
    <t>072043</t>
  </si>
  <si>
    <t>070081</t>
  </si>
  <si>
    <t>077827</t>
  </si>
  <si>
    <t>071690</t>
  </si>
  <si>
    <t>072498</t>
  </si>
  <si>
    <t>075003</t>
  </si>
  <si>
    <t>071343</t>
  </si>
  <si>
    <t>061560</t>
  </si>
  <si>
    <t>070149</t>
  </si>
  <si>
    <t>070860</t>
  </si>
  <si>
    <t>074347</t>
  </si>
  <si>
    <t>BP - 2.5</t>
  </si>
  <si>
    <t>BP - 3.5</t>
  </si>
  <si>
    <t>BP - 4.5</t>
  </si>
  <si>
    <t>BP - 5.5</t>
  </si>
  <si>
    <t>BP - 6.5</t>
  </si>
  <si>
    <t>BP - 7.5</t>
  </si>
  <si>
    <t>BP - 8.5</t>
  </si>
  <si>
    <t>BP - 9.5</t>
  </si>
  <si>
    <t xml:space="preserve">A &amp; T Nicaragua, S.A.                                       </t>
  </si>
  <si>
    <t xml:space="preserve">Aceitera EL Real, S.A.                                      </t>
  </si>
  <si>
    <t>ACI-ACN</t>
  </si>
  <si>
    <t xml:space="preserve">AGMIN SRL                                                   </t>
  </si>
  <si>
    <t xml:space="preserve">Agrobiotek Nicaragua, S.A.                                  </t>
  </si>
  <si>
    <t>Agrosa - Indegrasa - Harinisa</t>
  </si>
  <si>
    <t xml:space="preserve">Aje Nicaragua, S.A.                                         </t>
  </si>
  <si>
    <t xml:space="preserve">Alba de Nicaragua, S.A.                                     </t>
  </si>
  <si>
    <t xml:space="preserve">ALBALINISA                                                  </t>
  </si>
  <si>
    <t xml:space="preserve">Alfredo Vargas                                         </t>
  </si>
  <si>
    <t xml:space="preserve">Alpla  Nicaragua, S.A.                                      </t>
  </si>
  <si>
    <t xml:space="preserve">Alta Research                                      </t>
  </si>
  <si>
    <t xml:space="preserve">ANNIC II, S.A.                                              </t>
  </si>
  <si>
    <t xml:space="preserve">Arnecom El Salvador S.A. DE C.V.                         </t>
  </si>
  <si>
    <t xml:space="preserve">Articulos y Construcciones  Eléctricas de Nic, S.A.          </t>
  </si>
  <si>
    <t xml:space="preserve">Astaldi SPA                                                 </t>
  </si>
  <si>
    <t>Básculas y Balanzas</t>
  </si>
  <si>
    <t xml:space="preserve">Bayer, S.A.                                                 </t>
  </si>
  <si>
    <t>Beneficiadora "OLAM"</t>
  </si>
  <si>
    <t xml:space="preserve">Beneficiadora Norteña de Café, S.A.                         </t>
  </si>
  <si>
    <t>Beneficio Las Tejas</t>
  </si>
  <si>
    <t>Beneficio San Rafael</t>
  </si>
  <si>
    <t>Biotecnica</t>
  </si>
  <si>
    <t xml:space="preserve">Biwater International, LTD.                                 </t>
  </si>
  <si>
    <t xml:space="preserve">Burke Agro                  </t>
  </si>
  <si>
    <t xml:space="preserve">Café Soluble, S.A.                                          </t>
  </si>
  <si>
    <t xml:space="preserve">Callejas Sequeira e Hijos                        </t>
  </si>
  <si>
    <t xml:space="preserve">CAM Interntional                               </t>
  </si>
  <si>
    <t xml:space="preserve">Camanica Zona Franca, S.A.                                  </t>
  </si>
  <si>
    <t>Cambridge International, S.A.</t>
  </si>
  <si>
    <t>Caribbean Blue S.A</t>
  </si>
  <si>
    <t xml:space="preserve">Carlos Gutierrez Mairena                        </t>
  </si>
  <si>
    <t xml:space="preserve">Casa del Café, S.A.                                         </t>
  </si>
  <si>
    <t xml:space="preserve">CCG Nicaragua, S.A.                                         </t>
  </si>
  <si>
    <t xml:space="preserve">CECNA - INATEC                                              </t>
  </si>
  <si>
    <t xml:space="preserve">CEGA Nicaragua, S.A.                                        </t>
  </si>
  <si>
    <t xml:space="preserve">CENSA                                                       </t>
  </si>
  <si>
    <t>Central American Fisheries S.A.</t>
  </si>
  <si>
    <t>Centrolac</t>
  </si>
  <si>
    <t xml:space="preserve">Cereales de Centroamérica, S.A.                  </t>
  </si>
  <si>
    <t>Certificadores de Carga General (CCG)</t>
  </si>
  <si>
    <t xml:space="preserve">Cerveceria Panama Barú, S.A.                                     </t>
  </si>
  <si>
    <t xml:space="preserve">CIA. Azucarera del Sur, S.A.                                </t>
  </si>
  <si>
    <t xml:space="preserve">CIA. Centroamericana de Productos Lacteos S.A.             </t>
  </si>
  <si>
    <t>Command Medical Nicaragua</t>
  </si>
  <si>
    <t xml:space="preserve">Compañía Licorera de Nicaragua, S.A.                        </t>
  </si>
  <si>
    <t xml:space="preserve">Compañía Cervecera de Nicaragua, S.A.                       </t>
  </si>
  <si>
    <t>Concretera Total, S.A.</t>
  </si>
  <si>
    <t>Conipisos</t>
  </si>
  <si>
    <t xml:space="preserve">Cooperativa de Exportacion de Cafe de Matagalpa </t>
  </si>
  <si>
    <t>Cooperativa Esperanza</t>
  </si>
  <si>
    <t xml:space="preserve">Corporación Agroindustrial del Pacifico S.A. (CAIPSA) </t>
  </si>
  <si>
    <t xml:space="preserve">Coorporación Eléctrica Nicaragüense                          </t>
  </si>
  <si>
    <t xml:space="preserve">Coorporación Montelimar, S.A.                                </t>
  </si>
  <si>
    <t xml:space="preserve">Cotton Ace Nicaragua, S.A.                                  </t>
  </si>
  <si>
    <t xml:space="preserve">Cruz Roja Nicaragüense                       </t>
  </si>
  <si>
    <t>Dasoltex, S.A.</t>
  </si>
  <si>
    <t xml:space="preserve">DHL Global Forwarding                                       </t>
  </si>
  <si>
    <t xml:space="preserve">Dicegsa                                                 </t>
  </si>
  <si>
    <t xml:space="preserve">Distribuidora Cesar Argüello                                </t>
  </si>
  <si>
    <t xml:space="preserve">Draexlmaier Partes Automotrices, S.A.                       </t>
  </si>
  <si>
    <t xml:space="preserve">Drogueria Rocha                                             </t>
  </si>
  <si>
    <t>Ecocycle Nicaragua</t>
  </si>
  <si>
    <t xml:space="preserve">Electromecánica Especializada                              </t>
  </si>
  <si>
    <t xml:space="preserve">Empaques Santo Domingo, S.A.                                </t>
  </si>
  <si>
    <t xml:space="preserve">Empresa Energética C, LTD.                            </t>
  </si>
  <si>
    <t>Enimport/ Prog. de Gestión de Calidad y Validación de Método</t>
  </si>
  <si>
    <t xml:space="preserve">Enimport/ Prog. Fort.  los Lab. Centrales del IPSA          </t>
  </si>
  <si>
    <t>Expoim-Rilu, S.A.</t>
  </si>
  <si>
    <t>Exportadora Panamericana Norte, S.A.</t>
  </si>
  <si>
    <t>Fara Coffee, S.A.</t>
  </si>
  <si>
    <t>Finca Los Papales</t>
  </si>
  <si>
    <t xml:space="preserve">Futec Industrial                                            </t>
  </si>
  <si>
    <t>Genaro Medina</t>
  </si>
  <si>
    <t xml:space="preserve">General Coil, S.A.                                          </t>
  </si>
  <si>
    <t xml:space="preserve">Gildan Activewear San Marcos II, S.A.                      </t>
  </si>
  <si>
    <t xml:space="preserve">Gildan Activewear Rivas II, S.A.                            </t>
  </si>
  <si>
    <t>Giovanni Granja Rivera</t>
  </si>
  <si>
    <t xml:space="preserve">Granja La Hammonia </t>
  </si>
  <si>
    <t>Grupo Industrial El Granjero</t>
  </si>
  <si>
    <t xml:space="preserve">Holcim Nicaragua, S.A                                       </t>
  </si>
  <si>
    <t>Hortycast</t>
  </si>
  <si>
    <t>Impelsa</t>
  </si>
  <si>
    <t>Inconsa</t>
  </si>
  <si>
    <t>Industria Ganadera de Oriente, S.A. (IGOSA) - Establecimiento número 6</t>
  </si>
  <si>
    <t xml:space="preserve">Industría Nacional de Refrescos, S.A. (FEMSA)               </t>
  </si>
  <si>
    <t xml:space="preserve">Industrial Comercial San Martin, S.A.                       </t>
  </si>
  <si>
    <t xml:space="preserve">Industrias Cárnicas                                         </t>
  </si>
  <si>
    <t>Industrias Delmor, S.A.</t>
  </si>
  <si>
    <t xml:space="preserve">Ingenieros Consultores Centroamericanos                     </t>
  </si>
  <si>
    <t>Inmaconsa</t>
  </si>
  <si>
    <t>Insuma</t>
  </si>
  <si>
    <t>Insumos Disagro</t>
  </si>
  <si>
    <t>Intek Nicaragua, S.A.</t>
  </si>
  <si>
    <t>Invercasa</t>
  </si>
  <si>
    <t xml:space="preserve">Inversiones en Concreto, S.A.                               </t>
  </si>
  <si>
    <t xml:space="preserve">Iprocen, S.A.                                               </t>
  </si>
  <si>
    <t>IPSA - Veterinario</t>
  </si>
  <si>
    <t>Julio César Montealegre</t>
  </si>
  <si>
    <t xml:space="preserve">Juan López Matute                                         </t>
  </si>
  <si>
    <t>Kentex, S.A.</t>
  </si>
  <si>
    <t>KM Internacional</t>
  </si>
  <si>
    <t xml:space="preserve">Kola Shaler Industrial, S.A.                                </t>
  </si>
  <si>
    <t xml:space="preserve">Kufferath Nicaragua, S.A.                                   </t>
  </si>
  <si>
    <t>Laboratorios Ramos, S.A.</t>
  </si>
  <si>
    <t xml:space="preserve">Laboratorios Rarpe     </t>
  </si>
  <si>
    <t>Laboratorios Solka</t>
  </si>
  <si>
    <t>Lacteos, S.A.</t>
  </si>
  <si>
    <t>Langostinos de Centroamérica, S.A.</t>
  </si>
  <si>
    <t xml:space="preserve">Logistica Comercial                      </t>
  </si>
  <si>
    <t xml:space="preserve">Marbel Gutierrez Martinez                   </t>
  </si>
  <si>
    <t>Margumar</t>
  </si>
  <si>
    <t>María Sánchez</t>
  </si>
  <si>
    <t xml:space="preserve">Medisut, S.A.                                               </t>
  </si>
  <si>
    <t xml:space="preserve">Meedsa                                                      </t>
  </si>
  <si>
    <t>Metro Garment Nicaragua, S.A</t>
  </si>
  <si>
    <t>MJ ApparelL, S.A.</t>
  </si>
  <si>
    <t xml:space="preserve">Montacargas y Accesorios de Nicaragua, S.A.                 </t>
  </si>
  <si>
    <t>Mundo de Frutas</t>
  </si>
  <si>
    <t>My Fathers Cigars</t>
  </si>
  <si>
    <t xml:space="preserve">Navinic     </t>
  </si>
  <si>
    <t xml:space="preserve">Nestle de Nicaragua, S.A.                                      </t>
  </si>
  <si>
    <t>Next Level Apparel</t>
  </si>
  <si>
    <t>Nica Manos, S.A.</t>
  </si>
  <si>
    <t>Nicabanana</t>
  </si>
  <si>
    <t>Nicamex, S.A.</t>
  </si>
  <si>
    <t>Nicaragua American Cigars S.A.</t>
  </si>
  <si>
    <t>Nicaragua Sugar State Limited</t>
  </si>
  <si>
    <t>Nicasolum</t>
  </si>
  <si>
    <t>Nicastarch Agro</t>
  </si>
  <si>
    <t xml:space="preserve">Novaterra                    </t>
  </si>
  <si>
    <t xml:space="preserve">Nova Honduras Zona Libre S.A.                             </t>
  </si>
  <si>
    <t xml:space="preserve">Nuevo Carnic, S.A.                                          </t>
  </si>
  <si>
    <t>Oil Test Internacional de Nicaragua, S.A.</t>
  </si>
  <si>
    <t>Opportunity International Nicaragua</t>
  </si>
  <si>
    <t>Orgoma</t>
  </si>
  <si>
    <t xml:space="preserve">Panzyma Laboratories, S.A.                                  </t>
  </si>
  <si>
    <t xml:space="preserve">Parmalat Centroamerica, S.A.                                </t>
  </si>
  <si>
    <t>Pasenic, S.A. Managua</t>
  </si>
  <si>
    <t xml:space="preserve">Peninsula Maritima Corp., S.A.                              </t>
  </si>
  <si>
    <t>Peralta Coffee</t>
  </si>
  <si>
    <t>Petrogas</t>
  </si>
  <si>
    <t>Pinula, S.A.</t>
  </si>
  <si>
    <t xml:space="preserve">Polaris Energy Nicaragua, S.A.                              </t>
  </si>
  <si>
    <t xml:space="preserve">Precon Nicaragua, S.A.                                      </t>
  </si>
  <si>
    <t>Premet</t>
  </si>
  <si>
    <t xml:space="preserve">Productos del Aire Nicaragua, S.A.                       </t>
  </si>
  <si>
    <t xml:space="preserve">Protena, S.A. </t>
  </si>
  <si>
    <t>Provesa</t>
  </si>
  <si>
    <t>Provisave/Prog. de Gestión de la Calidad y Validación de Métodos</t>
  </si>
  <si>
    <t>Proyeco de Saneamiento del Lago de la Ciudad de Managua</t>
  </si>
  <si>
    <t xml:space="preserve">Proyectos y Automatización PYASA                            </t>
  </si>
  <si>
    <t>Puros de Estelí</t>
  </si>
  <si>
    <t>Rainbow Apparel Trading S,A</t>
  </si>
  <si>
    <t>Ramón Duriez González</t>
  </si>
  <si>
    <t>Ramón Nicoya</t>
  </si>
  <si>
    <t>Rocedes, S.A.</t>
  </si>
  <si>
    <t>Roger Moreno</t>
  </si>
  <si>
    <t xml:space="preserve">Roo Hsing Co. Nicaragua, S.A.                               </t>
  </si>
  <si>
    <t>Royal Shrimp, S.A.</t>
  </si>
  <si>
    <t>Sae Technotex S.A.</t>
  </si>
  <si>
    <t>Sahlman Seafoods Nicaragua</t>
  </si>
  <si>
    <t>Seratex Nicaragua. S.A</t>
  </si>
  <si>
    <t xml:space="preserve">Servicios Técnicos de Básculas </t>
  </si>
  <si>
    <t>Simplementemadera</t>
  </si>
  <si>
    <t>Sovereign Logistics S.A.</t>
  </si>
  <si>
    <t xml:space="preserve">Suministros Químicos Industriales, S.A.(SUQUISA)            </t>
  </si>
  <si>
    <t>Tabacos Cubanica, S.A.</t>
  </si>
  <si>
    <t>Tabacos del Sol</t>
  </si>
  <si>
    <t>Tecniprocesos de Nicaragua, S.A.</t>
  </si>
  <si>
    <t xml:space="preserve">Tecnodiagnóstica, S.A.                                      </t>
  </si>
  <si>
    <t>Tecshoes Latinoamérica</t>
  </si>
  <si>
    <t>Terraexport S.A. (Planta Matagalpa)</t>
  </si>
  <si>
    <t>Terraexport S.A. (Planta Nueva Guinea)</t>
  </si>
  <si>
    <t xml:space="preserve">Tical, S.A.                                                 </t>
  </si>
  <si>
    <t xml:space="preserve">Tipitapa Power Company                            </t>
  </si>
  <si>
    <t>Transimport, S.A.</t>
  </si>
  <si>
    <t>Tropicana Fruit Farms Inc.</t>
  </si>
  <si>
    <t>Universal Leaf Nicaragua, S.A.</t>
  </si>
  <si>
    <t>Universidad Nacional de Ingeniería</t>
  </si>
  <si>
    <t>UNO</t>
  </si>
  <si>
    <t>Vegyfrut</t>
  </si>
  <si>
    <t xml:space="preserve">Yazaki de Nicaragua, S.A.                                   </t>
  </si>
  <si>
    <t xml:space="preserve">Zeas Apicola y Cia. LTDA.                                   </t>
  </si>
  <si>
    <t>Labnicsa</t>
  </si>
  <si>
    <t xml:space="preserve">Coyotepe, 800 m norte               </t>
  </si>
  <si>
    <t xml:space="preserve">Rotonda Los Encuentros, 300 m sur      </t>
  </si>
  <si>
    <t>Lotería Nacional, 300 m oeste. Entrada a Edificio Agricorp</t>
  </si>
  <si>
    <t xml:space="preserve">Stradone San Fermo, n.19 37121 Verona   </t>
  </si>
  <si>
    <t xml:space="preserve">Hyundai Montoya, 200 m este           </t>
  </si>
  <si>
    <t>km 91,5 By pass Carretera León-Chinandega. Contiguo a Yazaki</t>
  </si>
  <si>
    <t xml:space="preserve">km 3,5 Carretera Norte                  </t>
  </si>
  <si>
    <t xml:space="preserve">Rotonda CentroAmerica 700 m oeste. Contiguo a Autonica Villa Fontana  </t>
  </si>
  <si>
    <t>Portón Principal del Colegio Americano 100 m oeste, 200 m norte, 20 m este</t>
  </si>
  <si>
    <t xml:space="preserve">Porton del Cementerio, 100 Sur           </t>
  </si>
  <si>
    <t xml:space="preserve">km 4,5 Carretera Norte                </t>
  </si>
  <si>
    <t>Sinsa Altamira, 100 m al sur, 100 m este</t>
  </si>
  <si>
    <t xml:space="preserve">km 45,5 Carretera Norte              </t>
  </si>
  <si>
    <t>km 71,5 Carretera Metapan, Frente a Urbani</t>
  </si>
  <si>
    <t>No Aplica (N/A)</t>
  </si>
  <si>
    <t xml:space="preserve">Semáforos Club Terraza 150 m oeste, Casa #38  </t>
  </si>
  <si>
    <t>Talleres Modernos, 100 m norte, 50 m oeste, Barrio Riguero</t>
  </si>
  <si>
    <t xml:space="preserve">km 11,5 Carretera a Masaya           </t>
  </si>
  <si>
    <t>km 122,5 Carretera Managua, Matagalpa Entrada a Tejerina 500 m al norte</t>
  </si>
  <si>
    <t>km 107 Carretera Sebaco-Matagalpa Frente a camp</t>
  </si>
  <si>
    <t>3 km antes de Matagalpa, frente a Restaurante el Pullazo</t>
  </si>
  <si>
    <t>km 115,2 Carretera Sébaco - Matagalpa</t>
  </si>
  <si>
    <t xml:space="preserve">Subasta, 1 200 m noroeste           </t>
  </si>
  <si>
    <t xml:space="preserve">3 Cruces, 400 m oeste, San Marcos   </t>
  </si>
  <si>
    <t>km 8,5 carretera norte, 800 m al norte</t>
  </si>
  <si>
    <t xml:space="preserve">Final Calle Santa Lucía, 200 m norte    </t>
  </si>
  <si>
    <t xml:space="preserve">Plaza El Sol 450 m sur # 213            </t>
  </si>
  <si>
    <t xml:space="preserve">km 130 Carretera a Chinandega           </t>
  </si>
  <si>
    <t>km 3,5 Carretera Norte. El Nuevo Diario 150 m oeste</t>
  </si>
  <si>
    <t>km 35 Carretera Nueva a León, frente a Cementera Holcim</t>
  </si>
  <si>
    <t xml:space="preserve">Lomas del Valle, Calle Corona Casa #66  </t>
  </si>
  <si>
    <t xml:space="preserve">Planteles Claro, 25 m oeste No. 206    </t>
  </si>
  <si>
    <t xml:space="preserve">Rotonda El Güegüense, 250 m oeste         </t>
  </si>
  <si>
    <t>km 95, Laboratorios Divina, 800 m oeste. León</t>
  </si>
  <si>
    <t xml:space="preserve">km 68 Carretera a El Velero       </t>
  </si>
  <si>
    <t xml:space="preserve">Bluefields-Nicaragua </t>
  </si>
  <si>
    <t xml:space="preserve">km 46,5 Carretera Masaya-Tipitapa </t>
  </si>
  <si>
    <t xml:space="preserve">Paso a desnivel Portezuelo, 150 m norte        </t>
  </si>
  <si>
    <t xml:space="preserve">Rotonda El Güegüense 200 m oeste         </t>
  </si>
  <si>
    <t xml:space="preserve">Parque Industrial San Cristobal         </t>
  </si>
  <si>
    <t xml:space="preserve">Potosí - Rivas                </t>
  </si>
  <si>
    <t xml:space="preserve">Planta Aguadora 200 m norte         </t>
  </si>
  <si>
    <t>Parque Industrial Las Mercedes, km 12,5 Carretera Norte</t>
  </si>
  <si>
    <t>km 119 Carretera a Chinandega, Gasolinera UNO</t>
  </si>
  <si>
    <t xml:space="preserve">km 6,5 Carretera Norte, Cruz Lorena 800 m norte </t>
  </si>
  <si>
    <t>km 12 Carretera a Masaya</t>
  </si>
  <si>
    <t>Carretera a Masaya km 12,5</t>
  </si>
  <si>
    <t>Sebaco, km 101 Carretera Managua - Sebaco</t>
  </si>
  <si>
    <t>El Viejo, Chinandega</t>
  </si>
  <si>
    <t xml:space="preserve">Hospital Salud Integral, Montoya 75 m sur  </t>
  </si>
  <si>
    <t xml:space="preserve">km 62,5 Carretera a Montelimar          </t>
  </si>
  <si>
    <t xml:space="preserve">km 7 Carretera Sur                   </t>
  </si>
  <si>
    <t>Carretera Norte, km 12,5 Módulo 2. Zona Franca Las Mercedes</t>
  </si>
  <si>
    <t>Frente Antiguo Lobo Jack, Camino Oriente</t>
  </si>
  <si>
    <t xml:space="preserve">Carretera Sur, km 7, 800 m al este    </t>
  </si>
  <si>
    <t xml:space="preserve">km 25,5 Carretera a Masaya            </t>
  </si>
  <si>
    <t xml:space="preserve">km 15,2 Carretera Managua-Masaya       </t>
  </si>
  <si>
    <t xml:space="preserve">Costado Sur de Distribuidora La Universal       </t>
  </si>
  <si>
    <t xml:space="preserve">Semáforos del Mercado El Mayoreo, 300 m sur </t>
  </si>
  <si>
    <t xml:space="preserve">Planta Electríca Margarita II           </t>
  </si>
  <si>
    <t xml:space="preserve">Antigua Aduana Managua                  </t>
  </si>
  <si>
    <t xml:space="preserve">Edificio Antigua Aduana Managua             </t>
  </si>
  <si>
    <t>km 104,5 Carretera Sebaco a Estelí. Contiguo a Gasolinera Inés Galeano. Empresa OFLETAGRO.</t>
  </si>
  <si>
    <t>Carretera Panamericana km 215,5</t>
  </si>
  <si>
    <t>km 121 Carretera Managua - Matagalpa</t>
  </si>
  <si>
    <t>Estadio Municipal 300 m norte, 5 km este. Comunidad Aventina, Finca Los Papales</t>
  </si>
  <si>
    <t>Estelí</t>
  </si>
  <si>
    <t xml:space="preserve">km 4 Carretera Leon - Poneloya         </t>
  </si>
  <si>
    <t xml:space="preserve">km 45 Carretera a San Marcos           </t>
  </si>
  <si>
    <t>km 109,5 Carretera Panamericana Sur 300 m oeste</t>
  </si>
  <si>
    <t>Hospital Bautista, 100 m sur, 25 m oeste</t>
  </si>
  <si>
    <t>Selva Negra, Matagalpa</t>
  </si>
  <si>
    <t>Masatepe, Masaya</t>
  </si>
  <si>
    <t>km 6,5 Carretera Norte, Contiguo a Bodega Pollo Estrella</t>
  </si>
  <si>
    <t>km 107,5 Carretera Panamericana Sur</t>
  </si>
  <si>
    <t xml:space="preserve">km 67,5 Carretera Panamericana Sur    </t>
  </si>
  <si>
    <t xml:space="preserve">km 7,5 Carretera Norte               </t>
  </si>
  <si>
    <t xml:space="preserve">km 7 Carretera Sur, contiguo a UNO 7 Sur             </t>
  </si>
  <si>
    <t xml:space="preserve">Detrás de Hospital Monte España         </t>
  </si>
  <si>
    <t>km 24,5 Carretera Panamericana Norte, Contiguo a AGRICORP</t>
  </si>
  <si>
    <t>Frente al portón Lugo Renta Car, Bolonia.</t>
  </si>
  <si>
    <t>Paso a Desnivel Portezuelo 300 m norte</t>
  </si>
  <si>
    <t>Iglesia El Carmen 50 m sur, Reparto el Carmen. Managua, Nicaragua.</t>
  </si>
  <si>
    <t>Puente El Edén 100 m norte, 100 m este, 75 m norte</t>
  </si>
  <si>
    <t>Entrada a Serranía</t>
  </si>
  <si>
    <t>Residencial Las Sierritas de Santo Domingo, Condominio Los Andes Casa No. 19</t>
  </si>
  <si>
    <t xml:space="preserve">Restaurante El Madroño, 100 m oeste, 50 m norte  </t>
  </si>
  <si>
    <t xml:space="preserve">km 14,5 Carretera Nueva a León , Edificio No. 8, Parque Industrial Saratoga </t>
  </si>
  <si>
    <t>Parque Industrial el Transito. Km 8 Carretera Norte. Kativo 500 m sur bodega #11</t>
  </si>
  <si>
    <t xml:space="preserve">km 2 Carretera a Sabana Grande          </t>
  </si>
  <si>
    <t xml:space="preserve">km 7,5 Carretera Norte                </t>
  </si>
  <si>
    <t>km 6 Carretera Norte, Managua.</t>
  </si>
  <si>
    <t xml:space="preserve">km 4 Carretera Norte                    </t>
  </si>
  <si>
    <t xml:space="preserve">km 16,5 Carretera Masaya             </t>
  </si>
  <si>
    <t>km 18,5 carretera a Xiloá, Portón Principal 800 m norte</t>
  </si>
  <si>
    <t>km 151 Carretera Chinandega al Guasuale, 2 km oeste</t>
  </si>
  <si>
    <t xml:space="preserve">Edificio Delta                          </t>
  </si>
  <si>
    <t xml:space="preserve">km 16.8 Carretera Ticuantepe, Pozo Enacal  </t>
  </si>
  <si>
    <t>km 44,5 Carretera Vieja a León, empalme El Transito, 5 km sur. Puente Apompoa, 500 m s M/D.</t>
  </si>
  <si>
    <t>Zona Franca Las Mercedes, km 12,5 Carretera Norte</t>
  </si>
  <si>
    <t>km 95 Carretera León-Chinandega</t>
  </si>
  <si>
    <t>km 5 Carretera Norte, semáforos de la Parmalat  800 m norte, 200 m este. Zona Franca Portezuelo</t>
  </si>
  <si>
    <t xml:space="preserve">Puente El Edén, 250 m al Norte         </t>
  </si>
  <si>
    <t>km 104,8 Carretera Panamericana Sur, Rivas.</t>
  </si>
  <si>
    <t>Gasolinera UNO norte, 500 m al norte</t>
  </si>
  <si>
    <t xml:space="preserve">Ingenio Montelimar                      </t>
  </si>
  <si>
    <t xml:space="preserve">Costado oeste Hospital Bertha Calderón  </t>
  </si>
  <si>
    <t>Parque Industrial Las Mercedes. Módulo 30.31</t>
  </si>
  <si>
    <t>km 68,7 Carretera León, M.D.</t>
  </si>
  <si>
    <t>El Realejo - Chinandega</t>
  </si>
  <si>
    <t>Gasolinera Uno Plaza El Sol 100 m sur, 150 m oeste. Casa # 113 contiguo a SEVASA Los Robles</t>
  </si>
  <si>
    <t>Rotonda el CEPAD 100 m este, 25 m sur</t>
  </si>
  <si>
    <t>km 14 Carretera Nueva a León</t>
  </si>
  <si>
    <t>Carretera Norte, Portezuelo 400 m sur, 50 m oeste</t>
  </si>
  <si>
    <t>km 275,8 Carretera a Nueva Guinea</t>
  </si>
  <si>
    <t xml:space="preserve">km 42 Carretera Panamericana Norte      </t>
  </si>
  <si>
    <t>Valle de San Lorenzo</t>
  </si>
  <si>
    <t>km 10,5 Carretera Norte, 800 m al norte</t>
  </si>
  <si>
    <t>Semáforos de Lozelsa 50 m al oeste, Colonia Centroamérica, Managua</t>
  </si>
  <si>
    <t>km 48 Carretera a Nandaime, Granada</t>
  </si>
  <si>
    <t>Cuerpo de Bomberos 175 m oeste, Managua</t>
  </si>
  <si>
    <t>km 23,5 Carretera Sur, El Crucero.</t>
  </si>
  <si>
    <t xml:space="preserve">Miramar Punta La Flor                   </t>
  </si>
  <si>
    <t>Ocotal, Nueva Segovia - km 233  (Ocotal - Jalapa)</t>
  </si>
  <si>
    <t>Semáforos de El Mayoreo 500 m al sur, contiguo a Cooperativa 2 de Agosto</t>
  </si>
  <si>
    <t>km 121 Carretera León-Chinandega</t>
  </si>
  <si>
    <t xml:space="preserve">km 114 Carretera León-Malpaisillo       </t>
  </si>
  <si>
    <t xml:space="preserve">km 17,5 Carretera Nueva a León        </t>
  </si>
  <si>
    <t>Semáforos de Plaza El Sol 180 m sur, N° 167.</t>
  </si>
  <si>
    <t xml:space="preserve">km 26,5 Carretera Panamericana Norte  </t>
  </si>
  <si>
    <t xml:space="preserve">MAGFOR                                  </t>
  </si>
  <si>
    <t xml:space="preserve">Ptas - Managua - 2da Etapa              </t>
  </si>
  <si>
    <t xml:space="preserve">Plaza Maranhao Local No. 7              </t>
  </si>
  <si>
    <t>Estelí costado Norte de la Universidad Farem</t>
  </si>
  <si>
    <t xml:space="preserve">Banpro 150 m norte,50 m este          </t>
  </si>
  <si>
    <t>Donde fue la Policía, 100 m este, 100 m norte</t>
  </si>
  <si>
    <t xml:space="preserve">Entrada a la Subasta, 800 m norte      </t>
  </si>
  <si>
    <t>Managua</t>
  </si>
  <si>
    <t>km 48,5  carretera Masaya-Tipitapa, Nicaragua</t>
  </si>
  <si>
    <t>km 12,5 Carreterra Nueva Leon</t>
  </si>
  <si>
    <t>Edificio Torres Zamora oficina 7</t>
  </si>
  <si>
    <t xml:space="preserve">Carretera norte, Semáforos Antigua PEPSI, 200 m norte, 200 m este </t>
  </si>
  <si>
    <t>Estelí, km 147 Carretera Panamericana Norte, Frente Operaciones Policía Nacional</t>
  </si>
  <si>
    <t>Enitel, 100 m oeste, 200 m norte, Barrio 20 de Septiembre, Condega</t>
  </si>
  <si>
    <t xml:space="preserve">Hospital Militar 100 m oeste, 100 m sur       </t>
  </si>
  <si>
    <t>km 47,5 Carretera Tipitapa-Masaya.</t>
  </si>
  <si>
    <t>km 104,5 Carretera Sebaco a Estelí</t>
  </si>
  <si>
    <t>Dirección km 283 Salida a colonia Rio Plata</t>
  </si>
  <si>
    <t xml:space="preserve">km 8 Carretera Norte                   </t>
  </si>
  <si>
    <t xml:space="preserve">km 19 Carretera vieja a Tipitapa        </t>
  </si>
  <si>
    <t xml:space="preserve">Complejo Buenos Aires, frente a Ministerio de Defensa, 
Mercado Oriental. Managua, Nicaragua.
</t>
  </si>
  <si>
    <t>Estelí, De los Bancos 2c al Este 1/2 c al Norte</t>
  </si>
  <si>
    <t>UNI-RUSBA, Avenida Universitaria</t>
  </si>
  <si>
    <t xml:space="preserve">Carreterra Refinería </t>
  </si>
  <si>
    <t>km 19,9 Carretera a Masaya</t>
  </si>
  <si>
    <t>km 90,5 Carretera Managua - León</t>
  </si>
  <si>
    <t xml:space="preserve">Gasolinera Uno, 100 m Oeste, 50 m Sur       </t>
  </si>
  <si>
    <t xml:space="preserve">Rotonda Rubén Darío 100 m al Sur 50 m al Oeste </t>
  </si>
  <si>
    <t xml:space="preserve"> </t>
  </si>
  <si>
    <t>Codigo de Servicio:</t>
  </si>
  <si>
    <t>Identificacion del certificado</t>
  </si>
  <si>
    <t xml:space="preserve">Pedro A Mayorga </t>
  </si>
  <si>
    <t>Cyrus Anthony Duriez</t>
  </si>
  <si>
    <t>Carlos Castro Cajina</t>
  </si>
  <si>
    <t>Fredman A Mendez M</t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</si>
  <si>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x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</si>
  <si>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tX</t>
    </r>
  </si>
  <si>
    <r>
      <t>(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</t>
    </r>
    <r>
      <rPr>
        <b/>
        <vertAlign val="superscript"/>
        <sz val="10"/>
        <rFont val="Symbol"/>
        <family val="1"/>
        <charset val="2"/>
      </rPr>
      <t>-1</t>
    </r>
    <r>
      <rPr>
        <b/>
        <sz val="10"/>
        <rFont val="Arial"/>
        <family val="2"/>
      </rPr>
      <t>)</t>
    </r>
  </si>
  <si>
    <t>Certificado</t>
  </si>
  <si>
    <t>Fecha Calibración</t>
  </si>
  <si>
    <t>Laboratorio/Certificado</t>
  </si>
  <si>
    <t>#</t>
  </si>
  <si>
    <t>Código</t>
  </si>
  <si>
    <r>
      <t xml:space="preserve">t max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0"/>
        <rFont val="Arial"/>
        <family val="2"/>
      </rPr>
      <t>C</t>
    </r>
  </si>
  <si>
    <r>
      <t xml:space="preserve">Resolución t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0"/>
        <rFont val="Arial"/>
        <family val="2"/>
      </rPr>
      <t>C</t>
    </r>
  </si>
  <si>
    <t>Resolución RH %</t>
  </si>
  <si>
    <r>
      <t>Exactitud ± &lt;45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0"/>
        <rFont val="Arial"/>
        <family val="2"/>
      </rPr>
      <t>C</t>
    </r>
  </si>
  <si>
    <t>Exactitud ± % HR</t>
  </si>
  <si>
    <r>
      <t>Exactitud</t>
    </r>
    <r>
      <rPr>
        <sz val="10"/>
        <rFont val="Arial"/>
        <family val="2"/>
      </rPr>
      <t>± &lt;45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0"/>
        <rFont val="Arial"/>
        <family val="2"/>
      </rPr>
      <t>C</t>
    </r>
  </si>
  <si>
    <t>Exactitud ±% HR</t>
  </si>
  <si>
    <t xml:space="preserve">Fluke 971 </t>
  </si>
  <si>
    <t>NI-MCPPT-02</t>
  </si>
  <si>
    <t xml:space="preserve">Testo 608-H1 </t>
  </si>
  <si>
    <t>termometro</t>
  </si>
  <si>
    <t>Fila correspondiente</t>
  </si>
  <si>
    <t xml:space="preserve">Error </t>
  </si>
  <si>
    <t>incertidumbre</t>
  </si>
  <si>
    <t>%</t>
  </si>
  <si>
    <r>
      <t>(</t>
    </r>
    <r>
      <rPr>
        <b/>
        <sz val="10"/>
        <rFont val="Arial"/>
        <family val="2"/>
      </rPr>
      <t>°C)</t>
    </r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</si>
  <si>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</si>
  <si>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tpatrón</t>
    </r>
  </si>
  <si>
    <t>coeficiente de sensibilidad</t>
  </si>
  <si>
    <t>〖Δt〗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</si>
  <si>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</si>
  <si>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</si>
  <si>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m°C)</t>
    </r>
  </si>
  <si>
    <t xml:space="preserve">Error de abbe </t>
  </si>
  <si>
    <r>
      <t>x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</si>
  <si>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x'(°C-1)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</si>
  <si>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tX'(°C)</t>
    </r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</si>
  <si>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P</t>
    </r>
    <r>
      <rPr>
        <sz val="10"/>
        <rFont val="Arial"/>
        <family val="2"/>
      </rPr>
      <t>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</si>
  <si>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tP(°C)</t>
    </r>
  </si>
  <si>
    <t>(µm°C)</t>
  </si>
  <si>
    <t>(µm°C-1)</t>
  </si>
  <si>
    <t>Tercer punto 3</t>
  </si>
  <si>
    <t>Tercer punto 4</t>
  </si>
  <si>
    <t>Tercer punto 5</t>
  </si>
  <si>
    <t>Tercer punto 6</t>
  </si>
  <si>
    <t>Tercer punto 7</t>
  </si>
  <si>
    <t>Tercer punto 8</t>
  </si>
  <si>
    <t>Tercer punto 9</t>
  </si>
  <si>
    <t>Tercer punto 10</t>
  </si>
  <si>
    <r>
      <t>Incertidumbre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</si>
  <si>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Incertidumbre por deriva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</si>
  <si>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Desviación (mm)</t>
  </si>
  <si>
    <r>
      <t>Desviación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</si>
  <si>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Micrometro para la prueba de interiores</t>
  </si>
  <si>
    <t>Incertidumbre (mm)</t>
  </si>
  <si>
    <r>
      <t xml:space="preserve">Nombre de usuario </t>
    </r>
    <r>
      <rPr>
        <sz val="7"/>
        <color indexed="12"/>
        <rFont val="Aharoni"/>
      </rPr>
      <t>[Nombre como va el certificado (natural o jurídico)]</t>
    </r>
    <r>
      <rPr>
        <b/>
        <sz val="10"/>
        <color indexed="12"/>
        <rFont val="Aharoni"/>
      </rPr>
      <t>:</t>
    </r>
  </si>
  <si>
    <t>Director Tcnico</t>
  </si>
  <si>
    <t>Managua, Nicaragua</t>
  </si>
  <si>
    <t>Chinandega</t>
  </si>
  <si>
    <t>Metrología Consultores de Nicaragua S.A.</t>
  </si>
  <si>
    <t>METROCAL</t>
  </si>
  <si>
    <t>Bello Horizonte Casa #135</t>
  </si>
  <si>
    <t>NI-MCPD-03</t>
  </si>
  <si>
    <t>Código:</t>
  </si>
  <si>
    <t>u(X)</t>
  </si>
  <si>
    <r>
      <t>u(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x)</t>
    </r>
  </si>
  <si>
    <r>
      <t>u(</t>
    </r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tX)</t>
    </r>
  </si>
  <si>
    <t>u(Patrón)</t>
  </si>
  <si>
    <r>
      <t>u(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patrón)</t>
    </r>
  </si>
  <si>
    <t xml:space="preserve">U por deriva del patrón </t>
  </si>
  <si>
    <t xml:space="preserve"> .................Fin del certificado................</t>
  </si>
  <si>
    <t>Nulo sin sello y firma</t>
  </si>
  <si>
    <t>Ing. Fredman A. Méndez M.</t>
  </si>
  <si>
    <t>especificadas al momento de realizar el servicio.</t>
  </si>
  <si>
    <t>Los resultados emitidos en este certificado corresponden únicamente al objeto calibrado y a las magnitudes</t>
  </si>
  <si>
    <t>Es responsabilidad del encargado del instrumento establecer la frecuencia del servicio de calibración.</t>
  </si>
  <si>
    <t>Observaciones</t>
  </si>
  <si>
    <t>Próxima Calibración</t>
  </si>
  <si>
    <t>Trazabilidad</t>
  </si>
  <si>
    <t>Equipo</t>
  </si>
  <si>
    <t>Descripción de patrones utilizados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</si>
  <si>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</si>
  <si>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Incertidumbre de los datos</t>
  </si>
  <si>
    <t>Método de calibración</t>
  </si>
  <si>
    <t>% HR</t>
  </si>
  <si>
    <t>)</t>
  </si>
  <si>
    <t>Humedad relativa: (</t>
  </si>
  <si>
    <t>Temperatura: (</t>
  </si>
  <si>
    <t xml:space="preserve">Condiciones ambientales  </t>
  </si>
  <si>
    <t>Identificación del certificado:</t>
  </si>
  <si>
    <t>Valor nominal</t>
  </si>
  <si>
    <t>Resultados de la calibración</t>
  </si>
  <si>
    <t>Lugar de calibración:</t>
  </si>
  <si>
    <t>Dirección del solicitante:</t>
  </si>
  <si>
    <t>Solicitante:</t>
  </si>
  <si>
    <t>Código de identificación:</t>
  </si>
  <si>
    <t>Rango de medida:</t>
  </si>
  <si>
    <t xml:space="preserve">Fabricante/Marca: </t>
  </si>
  <si>
    <t>Objeto de calibración:</t>
  </si>
  <si>
    <t>Valor Real</t>
  </si>
  <si>
    <t>Lectura Actual</t>
  </si>
  <si>
    <t>Desviación</t>
  </si>
  <si>
    <t>Incertidumbre Expandida                 k=2</t>
  </si>
  <si>
    <t>Caras de medición de exteriores</t>
  </si>
  <si>
    <t>Caras de medición de interiores</t>
  </si>
  <si>
    <t>Puntos</t>
  </si>
  <si>
    <t>Lectura actual</t>
  </si>
  <si>
    <t>Lugar de Calibración:</t>
  </si>
  <si>
    <t>Convencional</t>
  </si>
  <si>
    <t>Director Técnico</t>
  </si>
  <si>
    <t>Identificación del Equipo</t>
  </si>
  <si>
    <t>Código del Certificado</t>
  </si>
  <si>
    <t>??????</t>
  </si>
  <si>
    <t>0 mm a 150 mm</t>
  </si>
  <si>
    <t>METROLOGÍA CONSULTORES DE NICARAGUA, S.A.</t>
  </si>
  <si>
    <t>Base de datos de clientes</t>
  </si>
  <si>
    <t>Clave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</si>
  <si>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</si>
  <si>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</si>
  <si>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</si>
  <si>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</si>
  <si>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</si>
  <si>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</si>
  <si>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</si>
  <si>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Apen</t>
  </si>
  <si>
    <t xml:space="preserve">ABASA Coca-Cola </t>
  </si>
  <si>
    <t>km 126,5 ruta al Atlántico, Rio Hondo, Zacapa - Guatemala</t>
  </si>
  <si>
    <t>Agencia Aduanera GRH S,A.</t>
  </si>
  <si>
    <t>De Los Semáforos de Sabana Grande 1 500 m Este.</t>
  </si>
  <si>
    <t>Plaza España, Edificio Malaga Módulo E8</t>
  </si>
  <si>
    <t xml:space="preserve">ATB TRADING </t>
  </si>
  <si>
    <t>km 11,5 Carretera Masaya, contiguo Bayer</t>
  </si>
  <si>
    <t>Banco de Sangre</t>
  </si>
  <si>
    <t>Reparto Belmonte 7 Sur, Contiguo a La Cruz Roja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</si>
  <si>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</si>
  <si>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</si>
  <si>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</si>
  <si>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</si>
  <si>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</si>
  <si>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</si>
  <si>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>km 8,5 Carretera Masaya, 100 m Oeste, Managua</t>
  </si>
  <si>
    <t>De Los Semáforos del Hotel Fronteras 800 m Oeste, Ocotal-Nueva Segovia</t>
  </si>
  <si>
    <t>Inspectorate America corp</t>
  </si>
  <si>
    <t>Km 17 Carretera a Masaya</t>
  </si>
  <si>
    <t>Jinotega, Banpro 100 m Este</t>
  </si>
  <si>
    <t>CIRA/UNAN-Managua</t>
  </si>
  <si>
    <t>Hospital España 5 km al Oeste</t>
  </si>
  <si>
    <t>Puerto Sandino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</si>
  <si>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</si>
  <si>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</si>
  <si>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</si>
  <si>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</si>
  <si>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</si>
  <si>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</si>
  <si>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</si>
  <si>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</si>
  <si>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</si>
  <si>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</si>
  <si>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</si>
  <si>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</si>
  <si>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</si>
  <si>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</si>
  <si>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</si>
  <si>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</si>
  <si>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12,5 Carretera Norte, Parque Industrial Las Mercedes, modulo # 35</t>
  </si>
  <si>
    <t>km 121 Carretera Sebaco-Matagalpa, frente a portones de SOLCAFE</t>
  </si>
  <si>
    <t>Hacienda la Hammonia y Cia. Ltda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</si>
  <si>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</si>
  <si>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</si>
  <si>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</si>
  <si>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</si>
  <si>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</si>
  <si>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</si>
  <si>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</si>
  <si>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</si>
  <si>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</si>
  <si>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</si>
  <si>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</si>
  <si>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</si>
  <si>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</si>
  <si>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</si>
  <si>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km 4 Carretera Norte, Managua.</t>
  </si>
  <si>
    <t>Laboratorios Ceguel</t>
  </si>
  <si>
    <t>Carretera Masaya km 45,5 Granada</t>
  </si>
  <si>
    <t>Laboratorio Nacional de Diagnostico Veterinario y Microbiología de los Alimentos</t>
  </si>
  <si>
    <t>km 138 Carretera a Corinto, Chinandega</t>
  </si>
  <si>
    <t>km 83 Carretera León</t>
  </si>
  <si>
    <t>Carretera Panamericana, km 153 Estelí, Nicaragua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</si>
  <si>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</si>
  <si>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</si>
  <si>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</si>
  <si>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</si>
  <si>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</si>
  <si>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</si>
  <si>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</si>
  <si>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</si>
  <si>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</si>
  <si>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</si>
  <si>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</si>
  <si>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</si>
  <si>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</si>
  <si>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</si>
  <si>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</si>
  <si>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</si>
  <si>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</si>
  <si>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</si>
  <si>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</si>
  <si>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</si>
  <si>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Orgoma-Nicaragua</t>
  </si>
  <si>
    <t>ORTYCAST</t>
  </si>
  <si>
    <t>Semaforos Delicias del Volga, 200 m Norte, 200 m Oeste</t>
  </si>
  <si>
    <t>Del puesto de buses (terminal) Masatepe 800 m Sur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</si>
  <si>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</si>
  <si>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</si>
  <si>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</si>
  <si>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</si>
  <si>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</si>
  <si>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</si>
  <si>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</si>
  <si>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</si>
  <si>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</si>
  <si>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</si>
  <si>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</si>
  <si>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</si>
  <si>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</si>
  <si>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Lomas del Valle N°13 B</t>
  </si>
  <si>
    <t>Simplemente Madera Millworks S.A.</t>
  </si>
  <si>
    <t>km 12,5 Carretera Nueva León, Entrada a Xiloa 300 m Hacia La Laguna</t>
  </si>
  <si>
    <t>Tabacalera Tavicusa S,A.</t>
  </si>
  <si>
    <t>Surtidora El Oriental 50 m Este,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</si>
  <si>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</si>
  <si>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</si>
  <si>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</si>
  <si>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</si>
  <si>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</si>
  <si>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</si>
  <si>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</si>
  <si>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</si>
  <si>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</si>
  <si>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</si>
  <si>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</si>
  <si>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NI-MCPPT-05</t>
  </si>
  <si>
    <t>SCM Metrología y Laboratorios 20180507-28-3</t>
  </si>
  <si>
    <t>NI-MCPPT-06</t>
  </si>
  <si>
    <t>Extech</t>
  </si>
  <si>
    <t>SCM Metrología y Laboratorios 20180507-28-4</t>
  </si>
  <si>
    <t>km 82,5 Carretera León - Managua</t>
  </si>
  <si>
    <t>Cocesna</t>
  </si>
  <si>
    <t>Consorcio Europeo Hospital de Chinandega</t>
  </si>
  <si>
    <t>ENEL</t>
  </si>
  <si>
    <t>Km 14,5 Carrtera Nueva a León</t>
  </si>
  <si>
    <t>Mina La India, km 174 Carretera León-San Isidro</t>
  </si>
  <si>
    <t>Laboratorio Nacional de Residuos Químicos y Biológicos</t>
  </si>
  <si>
    <t>Bo. Casimiro Sotelo Enel Central 300 vrs Sur, Managua</t>
  </si>
  <si>
    <t>Productos Frescos del Mar San Carlos</t>
  </si>
  <si>
    <t>De La Aldea Santa Elena Choluteca, Honduras, km 2 Carretera hacia Balneario Cedeño</t>
  </si>
  <si>
    <t>Puerto Cabezas, Nicaragua</t>
  </si>
  <si>
    <t>Este certificado de calibración no debe ser reproducido sin la aprobación del laboratorio, excepto cuando se</t>
  </si>
  <si>
    <t>reproduce en su totalidad.</t>
  </si>
  <si>
    <t>Fecha de emisión del certificado:</t>
  </si>
  <si>
    <t>Desviación (2019)</t>
  </si>
  <si>
    <t>BP - 0,5</t>
  </si>
  <si>
    <t>Las pruebas se realizaron según NI-MCIT-D-01 Instrucción para calibración de calibradores universales.</t>
  </si>
  <si>
    <t>Instituto Mechnikov S.A.</t>
  </si>
  <si>
    <t>Código de servicio: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</si>
  <si>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</si>
  <si>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</si>
  <si>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</si>
  <si>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</si>
  <si>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</si>
  <si>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</si>
  <si>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</si>
  <si>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</si>
  <si>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</si>
  <si>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</si>
  <si>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</si>
  <si>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</si>
  <si>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</si>
  <si>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</si>
  <si>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</si>
  <si>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</si>
  <si>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</si>
  <si>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</si>
  <si>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</si>
  <si>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Aje Nicaragua S.A.</t>
  </si>
  <si>
    <t>km 3,5 Carretera Norte</t>
  </si>
  <si>
    <t>Albanisa</t>
  </si>
  <si>
    <t>Terminal Benjamín Zeledon Corinto.</t>
  </si>
  <si>
    <t>Alejandro Alonso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</si>
  <si>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</si>
  <si>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</si>
  <si>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</si>
  <si>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</si>
  <si>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</si>
  <si>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</si>
  <si>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</si>
  <si>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</si>
  <si>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</si>
  <si>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km 45,5 Carretera San Marcos-Masatepe, Parque Industrial Las Palmeras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</si>
  <si>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</si>
  <si>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</si>
  <si>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</si>
  <si>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</si>
  <si>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</si>
  <si>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</si>
  <si>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</si>
  <si>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</si>
  <si>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</si>
  <si>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</si>
  <si>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</si>
  <si>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</si>
  <si>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</si>
  <si>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</si>
  <si>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</si>
  <si>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</si>
  <si>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</si>
  <si>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</si>
  <si>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</si>
  <si>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</si>
  <si>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</si>
  <si>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</si>
  <si>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</si>
  <si>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</si>
  <si>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</si>
  <si>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</si>
  <si>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</si>
  <si>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</si>
  <si>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</si>
  <si>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</si>
  <si>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</si>
  <si>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</si>
  <si>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</si>
  <si>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</si>
  <si>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</si>
  <si>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</si>
  <si>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</si>
  <si>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</si>
  <si>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</si>
  <si>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</si>
  <si>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</si>
  <si>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</si>
  <si>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</si>
  <si>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</si>
  <si>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</si>
  <si>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</si>
  <si>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</si>
  <si>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</si>
  <si>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</si>
  <si>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</si>
  <si>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</si>
  <si>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</si>
  <si>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</si>
  <si>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</si>
  <si>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</si>
  <si>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</si>
  <si>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</si>
  <si>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</si>
  <si>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</si>
  <si>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</si>
  <si>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</si>
  <si>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</si>
  <si>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</si>
  <si>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</si>
  <si>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</si>
  <si>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</si>
  <si>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</si>
  <si>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</si>
  <si>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</si>
  <si>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</si>
  <si>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</si>
  <si>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</si>
  <si>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</si>
  <si>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</si>
  <si>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</si>
  <si>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</si>
  <si>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</si>
  <si>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</si>
  <si>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</si>
  <si>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</si>
  <si>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</si>
  <si>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</si>
  <si>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</si>
  <si>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</si>
  <si>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</si>
  <si>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</si>
  <si>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</si>
  <si>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</si>
  <si>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</si>
  <si>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</si>
  <si>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</si>
  <si>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</si>
  <si>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</si>
  <si>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</si>
  <si>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</si>
  <si>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</si>
  <si>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</si>
  <si>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</si>
  <si>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</si>
  <si>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</si>
  <si>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</si>
  <si>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</si>
  <si>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</si>
  <si>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</si>
  <si>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</si>
  <si>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</si>
  <si>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</si>
  <si>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</si>
  <si>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</si>
  <si>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</si>
  <si>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</si>
  <si>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</si>
  <si>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</si>
  <si>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</si>
  <si>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</si>
  <si>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</si>
  <si>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</si>
  <si>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</si>
  <si>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</si>
  <si>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</si>
  <si>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</si>
  <si>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</si>
  <si>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</si>
  <si>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</si>
  <si>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</si>
  <si>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</si>
  <si>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</si>
  <si>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</si>
  <si>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</si>
  <si>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</si>
  <si>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</si>
  <si>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</si>
  <si>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</si>
  <si>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</si>
  <si>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</si>
  <si>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</si>
  <si>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</si>
  <si>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</si>
  <si>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</si>
  <si>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</si>
  <si>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</si>
  <si>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</si>
  <si>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</si>
  <si>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</si>
  <si>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</si>
  <si>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</si>
  <si>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</si>
  <si>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</si>
  <si>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</si>
  <si>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</si>
  <si>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</si>
  <si>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</si>
  <si>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</si>
  <si>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</si>
  <si>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</si>
  <si>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</si>
  <si>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</si>
  <si>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</si>
  <si>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</si>
  <si>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</si>
  <si>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</si>
  <si>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</si>
  <si>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</si>
  <si>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</si>
  <si>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</si>
  <si>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</si>
  <si>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</si>
  <si>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</si>
  <si>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</si>
  <si>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</si>
  <si>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</si>
  <si>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</si>
  <si>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</si>
  <si>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</si>
  <si>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</si>
  <si>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</si>
  <si>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</si>
  <si>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</si>
  <si>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</si>
  <si>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</si>
  <si>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</si>
  <si>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</si>
  <si>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</si>
  <si>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</si>
  <si>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</si>
  <si>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</si>
  <si>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</si>
  <si>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</si>
  <si>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</si>
  <si>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</si>
  <si>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</si>
  <si>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</si>
  <si>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</si>
  <si>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</si>
  <si>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</si>
  <si>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</si>
  <si>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</si>
  <si>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</si>
  <si>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</si>
  <si>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</si>
  <si>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</si>
  <si>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</si>
  <si>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</si>
  <si>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</si>
  <si>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</si>
  <si>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</si>
  <si>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</si>
  <si>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</si>
  <si>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</si>
  <si>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</si>
  <si>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</si>
  <si>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</si>
  <si>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</si>
  <si>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</si>
  <si>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</si>
  <si>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</si>
  <si>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</si>
  <si>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</si>
  <si>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</si>
  <si>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</si>
  <si>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</si>
  <si>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</si>
  <si>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</si>
  <si>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</si>
  <si>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</si>
  <si>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</si>
  <si>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</si>
  <si>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</si>
  <si>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</si>
  <si>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</si>
  <si>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</si>
  <si>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</si>
  <si>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</si>
  <si>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</si>
  <si>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</si>
  <si>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</si>
  <si>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</si>
  <si>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</si>
  <si>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</si>
  <si>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</si>
  <si>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</si>
  <si>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</si>
  <si>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</si>
  <si>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</si>
  <si>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</si>
  <si>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</si>
  <si>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</si>
  <si>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</si>
  <si>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</si>
  <si>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</si>
  <si>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</si>
  <si>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</si>
  <si>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</si>
  <si>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</si>
  <si>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</si>
  <si>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</si>
  <si>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</si>
  <si>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</si>
  <si>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</si>
  <si>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</si>
  <si>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</si>
  <si>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</si>
  <si>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</si>
  <si>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</si>
  <si>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</si>
  <si>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</si>
  <si>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</si>
  <si>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</si>
  <si>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</si>
  <si>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</si>
  <si>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</si>
  <si>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</si>
  <si>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</si>
  <si>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</si>
  <si>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</si>
  <si>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</si>
  <si>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</si>
  <si>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</si>
  <si>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</si>
  <si>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</si>
  <si>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</si>
  <si>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</si>
  <si>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</si>
  <si>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</si>
  <si>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</si>
  <si>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</si>
  <si>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</si>
  <si>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</si>
  <si>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</si>
  <si>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</si>
  <si>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</si>
  <si>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</si>
  <si>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</si>
  <si>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</si>
  <si>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</si>
  <si>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</si>
  <si>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</si>
  <si>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</si>
  <si>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</si>
  <si>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</si>
  <si>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</si>
  <si>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</si>
  <si>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</si>
  <si>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</si>
  <si>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</si>
  <si>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</si>
  <si>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</si>
  <si>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</si>
  <si>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</si>
  <si>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</si>
  <si>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</si>
  <si>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</si>
  <si>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</si>
  <si>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</si>
  <si>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</si>
  <si>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</si>
  <si>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</si>
  <si>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</si>
  <si>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</si>
  <si>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</si>
  <si>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</si>
  <si>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</si>
  <si>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</si>
  <si>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</si>
  <si>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</si>
  <si>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</si>
  <si>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</si>
  <si>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</si>
  <si>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</si>
  <si>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</si>
  <si>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</si>
  <si>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</si>
  <si>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</si>
  <si>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</si>
  <si>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</si>
  <si>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</si>
  <si>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</si>
  <si>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</si>
  <si>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</si>
  <si>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</si>
  <si>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</si>
  <si>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</si>
  <si>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</si>
  <si>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</si>
  <si>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</si>
  <si>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</si>
  <si>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</si>
  <si>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</si>
  <si>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</si>
  <si>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</si>
  <si>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</si>
  <si>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</si>
  <si>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</si>
  <si>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</si>
  <si>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</si>
  <si>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</si>
  <si>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</si>
  <si>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</si>
  <si>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</si>
  <si>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</si>
  <si>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</si>
  <si>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</si>
  <si>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</si>
  <si>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</si>
  <si>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</si>
  <si>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</si>
  <si>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</si>
  <si>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</si>
  <si>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</si>
  <si>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</si>
  <si>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</si>
  <si>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</si>
  <si>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</si>
  <si>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</si>
  <si>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</si>
  <si>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</si>
  <si>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</si>
  <si>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</si>
  <si>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</si>
  <si>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</si>
  <si>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</si>
  <si>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</si>
  <si>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</si>
  <si>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</si>
  <si>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</si>
  <si>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</si>
  <si>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</si>
  <si>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</si>
  <si>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</si>
  <si>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</si>
  <si>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</si>
  <si>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</si>
  <si>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</si>
  <si>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</si>
  <si>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</si>
  <si>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</si>
  <si>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</si>
  <si>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</si>
  <si>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</si>
  <si>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</si>
  <si>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</si>
  <si>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</si>
  <si>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</si>
  <si>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</si>
  <si>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</si>
  <si>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</si>
  <si>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</si>
  <si>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</si>
  <si>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</si>
  <si>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</si>
  <si>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</si>
  <si>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</si>
  <si>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</si>
  <si>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</si>
  <si>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</si>
  <si>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</si>
  <si>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</si>
  <si>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</si>
  <si>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</si>
  <si>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</si>
  <si>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</si>
  <si>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</si>
  <si>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</si>
  <si>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</si>
  <si>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</si>
  <si>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</si>
  <si>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</si>
  <si>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</si>
  <si>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</si>
  <si>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</si>
  <si>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</si>
  <si>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</si>
  <si>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</si>
  <si>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</si>
  <si>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</si>
  <si>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</si>
  <si>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</si>
  <si>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</si>
  <si>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</si>
  <si>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</si>
  <si>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</si>
  <si>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</si>
  <si>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</si>
  <si>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</si>
  <si>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</si>
  <si>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</si>
  <si>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</si>
  <si>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</si>
  <si>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</si>
  <si>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</si>
  <si>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</si>
  <si>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</si>
  <si>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</si>
  <si>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</si>
  <si>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</si>
  <si>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</si>
  <si>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</si>
  <si>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</si>
  <si>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</si>
  <si>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</si>
  <si>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</si>
  <si>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</si>
  <si>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</si>
  <si>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</si>
  <si>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</si>
  <si>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</si>
  <si>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</si>
  <si>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</si>
  <si>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</si>
  <si>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</si>
  <si>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</si>
  <si>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</si>
  <si>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</si>
  <si>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</si>
  <si>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</si>
  <si>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</si>
  <si>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</si>
  <si>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</si>
  <si>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</si>
  <si>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</si>
  <si>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</si>
  <si>
    <t>Laboratorio #1 Metrocal</t>
  </si>
  <si>
    <t>080565</t>
  </si>
  <si>
    <t>Desviación (2022)</t>
  </si>
  <si>
    <t>SCM Metrología y Laboratorios SCM-00039468</t>
  </si>
  <si>
    <t>SCM Metrología y Laboratorios SCM-00039467</t>
  </si>
  <si>
    <t>Luis A. Guevara Meza</t>
  </si>
  <si>
    <t>EXTECH</t>
  </si>
  <si>
    <t>SCM Metrología y Laboratorios SCM-00039471</t>
  </si>
  <si>
    <t>Cáclulo de Deriva NI-MCPPT-02</t>
  </si>
  <si>
    <t>Corrección 2019</t>
  </si>
  <si>
    <t>Corrección 2022</t>
  </si>
  <si>
    <t>D</t>
  </si>
  <si>
    <t>Cáclulo de Deriva NI-MCPPT-05</t>
  </si>
  <si>
    <t>Cáclulo de Deriva NI-MCPPT-06</t>
  </si>
  <si>
    <t>Empresa</t>
  </si>
  <si>
    <t>Fecha</t>
  </si>
  <si>
    <t>Lugar de calibración</t>
  </si>
  <si>
    <t>NI-CS-</t>
  </si>
  <si>
    <t>Descripción dispositivo</t>
  </si>
  <si>
    <t>Modelo</t>
  </si>
  <si>
    <t>No de serie</t>
  </si>
  <si>
    <t>Analógico</t>
  </si>
  <si>
    <t>Digital</t>
  </si>
  <si>
    <t>Iniciales</t>
  </si>
  <si>
    <t>T. A. (ºC):</t>
  </si>
  <si>
    <t>H R (%):</t>
  </si>
  <si>
    <t>Equipo utilizado:</t>
  </si>
  <si>
    <t>Finales</t>
  </si>
  <si>
    <t>Lugar de estabilización</t>
  </si>
  <si>
    <t>NI-MCPD-</t>
  </si>
  <si>
    <t>Valor Nominal (mm)</t>
  </si>
  <si>
    <t>Mediciones (     )</t>
  </si>
  <si>
    <t>Longitudes de verificación (mm)</t>
  </si>
  <si>
    <t>Exterior</t>
  </si>
  <si>
    <t>Interior</t>
  </si>
  <si>
    <t>Longitudes de verificación (     )</t>
  </si>
  <si>
    <t>Valor Nominal del Patrón (   )</t>
  </si>
  <si>
    <t>Mediciones (   )</t>
  </si>
  <si>
    <t>REVISADO Y APROBADO</t>
  </si>
  <si>
    <t>Firma:</t>
  </si>
  <si>
    <t xml:space="preserve">EMITIÓ </t>
  </si>
  <si>
    <t>FECHA</t>
  </si>
  <si>
    <t>FIN DEL DOCUMENTO</t>
  </si>
  <si>
    <t>AIVEPET Inspecciones Nicaragua, S.A</t>
  </si>
  <si>
    <t>Alfa Industrial, S.A</t>
  </si>
  <si>
    <t>Anatomic Solutions</t>
  </si>
  <si>
    <t>Bolsa de comercio S.A</t>
  </si>
  <si>
    <t>Borinquen, S.A</t>
  </si>
  <si>
    <t>Cooperativa de Producción Industrial Nicarao, R.L.</t>
  </si>
  <si>
    <t>Doselva, S.A</t>
  </si>
  <si>
    <t>GD MAQUILADOR DE NICARAGUA S.A</t>
  </si>
  <si>
    <t>Gildan Activewear Chinandega S.A</t>
  </si>
  <si>
    <t>Grupo Delpin Nicaragua, S.A</t>
  </si>
  <si>
    <t>Hansae International S.A</t>
  </si>
  <si>
    <t>Harley Moreno</t>
  </si>
  <si>
    <t>ICTSA CONSULTORES</t>
  </si>
  <si>
    <t>Ingenieria de Materiales y Pavimento</t>
  </si>
  <si>
    <t>INPESA</t>
  </si>
  <si>
    <t>Ingenieria de Calidad, S.A</t>
  </si>
  <si>
    <t>INELCON, S.A</t>
  </si>
  <si>
    <t>Josué Arauz</t>
  </si>
  <si>
    <t>Kuali prosis</t>
  </si>
  <si>
    <t>Lácteos la Norteña</t>
  </si>
  <si>
    <t>MANUQUINSA (H&amp;H Manufacturas Químicas y Servicios S.A.)</t>
  </si>
  <si>
    <t>Marsa, S.A</t>
  </si>
  <si>
    <t>MEDLAB</t>
  </si>
  <si>
    <t>Mombacho Cigars</t>
  </si>
  <si>
    <t>Mundotex de Nicaragua, S.A</t>
  </si>
  <si>
    <t>Mt Cargo Express Nicaragua, S.A</t>
  </si>
  <si>
    <t xml:space="preserve">Natalia Molina </t>
  </si>
  <si>
    <t>NIMAC</t>
  </si>
  <si>
    <t>PAME, S.A</t>
  </si>
  <si>
    <t>Plastimaq Nicaragua, S.A.</t>
  </si>
  <si>
    <t>Productos e Inversiones Industriales S.A</t>
  </si>
  <si>
    <t>Recicladora y Exportadores Cielo, S.A</t>
  </si>
  <si>
    <t>ARTURO JOSE CASTELLON LOTHROP </t>
  </si>
  <si>
    <t>Signature Apparel Group, S.A</t>
  </si>
  <si>
    <t xml:space="preserve">Transporte la Luz </t>
  </si>
  <si>
    <t>TRANSCARGO LTD</t>
  </si>
  <si>
    <t>WOOJOO TEXTIL NICARAGUA S.A</t>
  </si>
  <si>
    <t>Yolanda Eugenia Sevilla Luco</t>
  </si>
  <si>
    <t>EINS,S.A</t>
  </si>
  <si>
    <t>Reparto Las Palmas, del Banpro 2 cuadras al Norte, 1 Cuadra al Oeste y 0.5 cuadras al Sur, Casa #123, Managua, Nicaragua.</t>
  </si>
  <si>
    <t>De los semáforos de los rieles de Sabana Grande 2.1 km al sur 600 metros. Managua, Nicaragua</t>
  </si>
  <si>
    <t>Edificio Discover II, 2do piso, Módulo 2D, Villa Fontana, Managua Nicaragua.</t>
  </si>
  <si>
    <t>Sabana Grande, del puente Villa Sol 500 m al Sur-Oeste</t>
  </si>
  <si>
    <t>Km 179, carretera a Muy Muy, El Plomo, San Ramón, Matagalpa</t>
  </si>
  <si>
    <t>Carretera Panamericana Sur, Rivas, Nicaragua</t>
  </si>
  <si>
    <t>km 212.5 carretera hacia el Ayote. Santo Domingo, Chontales</t>
  </si>
  <si>
    <t>Granada, de Laboratorio Ceguel 300 metros carretera los malacos</t>
  </si>
  <si>
    <t>Km 19 ctra. Vieja Tipitapa. Tipitapa - Nicaragua</t>
  </si>
  <si>
    <t>KM 14.10 Carretera Norte, entrada a San Cristobal 626.50 metros al Sur</t>
  </si>
  <si>
    <t xml:space="preserve">km 124 Carretera a León, Chinandega   </t>
  </si>
  <si>
    <t>Semáforos Hospital Vivian Pellas 100 metros al Oeste. Managua-Reparto Elizabeth Casa #103</t>
  </si>
  <si>
    <t>Niquinohomo, Km. 53 carretera hacia Catarina, costado este del nuevo cementerio</t>
  </si>
  <si>
    <t>Terminar de la Ruta 118, 1 1/2 al sur, Managua</t>
  </si>
  <si>
    <t>Veracruz, Managua</t>
  </si>
  <si>
    <t>Del madroño 1 cuadra abajo, 2 al lago.</t>
  </si>
  <si>
    <t>De la rotonda de Bello Horizonte 1 c al este, 1 c al sur, 0.5 c al este, 1 c al sur, casa BIV40, Managua, Nicaragua</t>
  </si>
  <si>
    <t>Semaforos Colegio Americano, 100m oeste 600m norte, Managua Nicaragua</t>
  </si>
  <si>
    <t>Somoto</t>
  </si>
  <si>
    <t>Frente Iglesia el Calvario 75 varas abajo, Chinandega</t>
  </si>
  <si>
    <t xml:space="preserve">Jinotega </t>
  </si>
  <si>
    <t xml:space="preserve"> Km 8 carretera sur enfrente de los tanques de ENACAL</t>
  </si>
  <si>
    <t>De los semaforos del Jonathan González 20 mts al sur.</t>
  </si>
  <si>
    <t>Granada, Parque Sandino 1 c al Sur.</t>
  </si>
  <si>
    <t>Puente Desnivel Portezuelo 900 mts al Norte</t>
  </si>
  <si>
    <t>De los semaforos de la entrada a Sabana Grande 200mts al Este, mano derecha sobre la pista portón crema - Bodegas generales</t>
  </si>
  <si>
    <t>Nicaragua</t>
  </si>
  <si>
    <t>KM 7 1/2 Carretera Norte, Estación de servicio UNO , 150 metros al sur</t>
  </si>
  <si>
    <t>km 90.6 By Pass ½ KM al Este Carretera Comarca Chacraseca, León- Nicaragua</t>
  </si>
  <si>
    <t>km 15.5 Carretera vieja a Tipitapa 1400 mts al sur Camino a Cofradía, Tipitapa</t>
  </si>
  <si>
    <t>Km 17 Carretera Nueva a León Bodegas Grupo Prolacsa, 800 mts al Norte</t>
  </si>
  <si>
    <t>Km 45 Carretera la Boquita Carazo</t>
  </si>
  <si>
    <t>Cementerio milagro de Dios 4c Este. 1c al sur 2c este 1c sur 2c este</t>
  </si>
  <si>
    <t>Km 9 ½  carretera Nueva a Leon, Frente a Residencial Satelite de Asososca, Complejo de Bodegas Martinez</t>
  </si>
  <si>
    <t>Km 12.5 Carretera Norte, Zona Franca Industrial Las Mercedes, Módulo 33</t>
  </si>
  <si>
    <t>Catarina, Masaya</t>
  </si>
  <si>
    <t>Km 48 ½ carretera Masaya- Tipitapa</t>
  </si>
  <si>
    <t>NI-MC-D-1233-2023</t>
  </si>
  <si>
    <t>Tiempo de estabilización (minutos)</t>
  </si>
  <si>
    <t>Vernier Digital</t>
  </si>
  <si>
    <t>Quantum Mike</t>
  </si>
  <si>
    <t>NI-CS-0062-23</t>
  </si>
  <si>
    <r>
      <t>1.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INFORMACIÓN DEL CLIENTE</t>
    </r>
    <r>
      <rPr>
        <sz val="8"/>
        <rFont val="Arial"/>
        <family val="2"/>
      </rPr>
      <t xml:space="preserve"> </t>
    </r>
  </si>
  <si>
    <r>
      <t>2.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 xml:space="preserve"> INFORMACIÓN DEL EQUIPO</t>
    </r>
  </si>
  <si>
    <r>
      <t>Fabricante/</t>
    </r>
    <r>
      <rPr>
        <sz val="8"/>
        <rFont val="Arial"/>
        <family val="2"/>
      </rPr>
      <t>Marca</t>
    </r>
  </si>
  <si>
    <r>
      <t xml:space="preserve">Rango </t>
    </r>
    <r>
      <rPr>
        <u/>
        <sz val="8"/>
        <rFont val="Arial"/>
        <family val="2"/>
      </rPr>
      <t>de medida</t>
    </r>
  </si>
  <si>
    <r>
      <t>3.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 xml:space="preserve"> CONDICIONES AMBIENTALES </t>
    </r>
  </si>
  <si>
    <r>
      <t>4.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DESCRIPCIÓN DEL PATRÓN</t>
    </r>
  </si>
  <si>
    <r>
      <t>5.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OBSERVACIONES PREVIO A LA CALIBRACIÓN</t>
    </r>
  </si>
  <si>
    <r>
      <t>6.</t>
    </r>
    <r>
      <rPr>
        <b/>
        <i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COMPROBACIÓN DEL CERO DEL INSTRUMENTO</t>
    </r>
  </si>
  <si>
    <r>
      <t>X</t>
    </r>
    <r>
      <rPr>
        <vertAlign val="subscript"/>
        <sz val="8"/>
        <rFont val="Arial"/>
        <family val="2"/>
      </rPr>
      <t>1</t>
    </r>
  </si>
  <si>
    <r>
      <t>X</t>
    </r>
    <r>
      <rPr>
        <vertAlign val="subscript"/>
        <sz val="8"/>
        <rFont val="Arial"/>
        <family val="2"/>
      </rPr>
      <t>2</t>
    </r>
  </si>
  <si>
    <r>
      <t>X</t>
    </r>
    <r>
      <rPr>
        <vertAlign val="subscript"/>
        <sz val="8"/>
        <rFont val="Arial"/>
        <family val="2"/>
      </rPr>
      <t>3</t>
    </r>
  </si>
  <si>
    <r>
      <t>X</t>
    </r>
    <r>
      <rPr>
        <vertAlign val="subscript"/>
        <sz val="8"/>
        <rFont val="Arial"/>
        <family val="2"/>
      </rPr>
      <t>4</t>
    </r>
  </si>
  <si>
    <r>
      <t>X</t>
    </r>
    <r>
      <rPr>
        <vertAlign val="subscript"/>
        <sz val="8"/>
        <rFont val="Arial"/>
        <family val="2"/>
      </rPr>
      <t>5</t>
    </r>
  </si>
  <si>
    <r>
      <t>7.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 xml:space="preserve"> MEDICIÓN DE PARALELISMO DE EXTERIORES.</t>
    </r>
  </si>
  <si>
    <r>
      <t>8.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 xml:space="preserve"> MEDICIÓN DE PARALELISMO DE INTERIORES</t>
    </r>
  </si>
  <si>
    <r>
      <t>9.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PRUEBA DE EXACTITUD CARA DE MEDICIÓN DE EXTERIORES</t>
    </r>
  </si>
  <si>
    <r>
      <t>10.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 xml:space="preserve"> REALIZADO POR </t>
    </r>
  </si>
  <si>
    <r>
      <t>11.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 xml:space="preserve">NÚMERO DE CERTIFICADO </t>
    </r>
  </si>
  <si>
    <t>Nombre del usuario</t>
  </si>
  <si>
    <t>Usuario</t>
  </si>
  <si>
    <t>Contrasena</t>
  </si>
  <si>
    <t>Ver</t>
  </si>
  <si>
    <t>Fredman A. Méndez</t>
  </si>
  <si>
    <t>Admin</t>
  </si>
  <si>
    <t>Alyihad1020</t>
  </si>
  <si>
    <t>Hoja1</t>
  </si>
  <si>
    <t>Luis Guevara</t>
  </si>
  <si>
    <t>TC1</t>
  </si>
  <si>
    <t>Metrocal2023</t>
  </si>
  <si>
    <t>Hoja2</t>
  </si>
  <si>
    <t>Ronald Zambrana</t>
  </si>
  <si>
    <t>TC2</t>
  </si>
  <si>
    <t>Hoja6</t>
  </si>
  <si>
    <t>Joel Estrella</t>
  </si>
  <si>
    <t>TC3</t>
  </si>
  <si>
    <t>Sheet1</t>
  </si>
  <si>
    <t>Pablo Morales</t>
  </si>
  <si>
    <t>AT1</t>
  </si>
  <si>
    <t>20Metroc@l23</t>
  </si>
  <si>
    <t>Sheet2</t>
  </si>
  <si>
    <t xml:space="preserve">Maynor Bermudez </t>
  </si>
  <si>
    <t>AT2</t>
  </si>
  <si>
    <t>Sheet3</t>
  </si>
  <si>
    <t>Sheet4</t>
  </si>
  <si>
    <t>Sheet5</t>
  </si>
  <si>
    <t>Sheet6</t>
  </si>
  <si>
    <t>Sheet7</t>
  </si>
  <si>
    <t>Hoja3</t>
  </si>
  <si>
    <t>Hoja4</t>
  </si>
  <si>
    <t>Hoja7</t>
  </si>
  <si>
    <t>Hoja8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</si>
</sst>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"/>
    <numFmt numFmtId="165" formatCode="0.000"/>
    <numFmt numFmtId="166" formatCode="0.0"/>
    <numFmt numFmtId="167" formatCode="\ 0####0\ "/>
    <numFmt numFmtId="168" formatCode="0.00000000"/>
    <numFmt numFmtId="169" formatCode="yyyy\-mm\-dd;@"/>
    <numFmt numFmtId="170" formatCode="0.00000000000"/>
    <numFmt numFmtId="171" formatCode="0.00000"/>
    <numFmt numFmtId="172" formatCode="0.0000"/>
    <numFmt numFmtId="173" formatCode="#,##0.000"/>
    <numFmt numFmtId="174" formatCode="\ 0####0.00000\ "/>
  </numFmts>
  <fonts count="77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7"/>
      <name val="Arial"/>
      <family val="2"/>
    </font>
    <font>
      <b/>
      <sz val="9"/>
      <color indexed="12"/>
      <name val="Arial"/>
      <family val="2"/>
    </font>
    <font>
      <b/>
      <sz val="7"/>
      <name val="Arial"/>
      <family val="2"/>
    </font>
    <font>
      <b/>
      <sz val="10"/>
      <name val="Symbol"/>
      <family val="1"/>
      <charset val="2"/>
    </font>
    <font>
      <i/>
      <sz val="10"/>
      <name val="Arial"/>
      <family val="2"/>
    </font>
    <font>
      <sz val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.5"/>
      <name val="Arial"/>
      <family val="2"/>
    </font>
    <font>
      <b/>
      <sz val="10"/>
      <color indexed="18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b/>
      <sz val="14"/>
      <color indexed="16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b/>
      <sz val="12"/>
      <name val="Symbol"/>
      <family val="1"/>
      <charset val="2"/>
    </font>
    <font>
      <b/>
      <i/>
      <sz val="10"/>
      <name val="Arial"/>
      <family val="2"/>
    </font>
    <font>
      <b/>
      <sz val="8"/>
      <color indexed="17"/>
      <name val="Tahoma"/>
      <family val="2"/>
    </font>
    <font>
      <b/>
      <sz val="11"/>
      <name val="Symbol"/>
      <family val="1"/>
      <charset val="2"/>
    </font>
    <font>
      <sz val="10"/>
      <name val="Symbol"/>
      <family val="1"/>
      <charset val="2"/>
    </font>
    <font>
      <sz val="14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i/>
      <sz val="11"/>
      <name val="Symbol"/>
      <family val="1"/>
      <charset val="2"/>
    </font>
    <font>
      <b/>
      <sz val="10"/>
      <color rgb="FF0000FF"/>
      <name val="Arial"/>
      <family val="2"/>
    </font>
    <font>
      <b/>
      <i/>
      <sz val="10"/>
      <name val="Cambria"/>
      <family val="1"/>
      <scheme val="major"/>
    </font>
    <font>
      <b/>
      <vertAlign val="subscript"/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4"/>
      <color indexed="16"/>
      <name val="Arial Black"/>
      <family val="2"/>
    </font>
    <font>
      <b/>
      <sz val="10"/>
      <name val="Calibri"/>
      <family val="2"/>
    </font>
    <font>
      <b/>
      <vertAlign val="superscript"/>
      <sz val="10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0000FF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vertAlign val="superscript"/>
      <sz val="10"/>
      <name val="Arial"/>
      <family val="2"/>
    </font>
    <font>
      <sz val="10"/>
      <name val="Calibri"/>
      <family val="2"/>
    </font>
    <font>
      <b/>
      <sz val="10"/>
      <color indexed="12"/>
      <name val="Aharoni"/>
    </font>
    <font>
      <sz val="7"/>
      <color indexed="12"/>
      <name val="Aharoni"/>
    </font>
    <font>
      <b/>
      <sz val="9"/>
      <color indexed="12"/>
      <name val="Aharoni"/>
    </font>
    <font>
      <b/>
      <sz val="10"/>
      <color rgb="FF0000FF"/>
      <name val="Aharoni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8"/>
      <name val="Times New Roman"/>
      <family val="1"/>
    </font>
    <font>
      <u/>
      <sz val="8"/>
      <name val="Arial"/>
      <family val="2"/>
    </font>
    <font>
      <b/>
      <i/>
      <sz val="8"/>
      <name val="Times New Roman"/>
      <family val="1"/>
    </font>
    <font>
      <vertAlign val="subscript"/>
      <sz val="8"/>
      <name val="Arial"/>
      <family val="2"/>
    </font>
    <font>
      <sz val="8"/>
      <name val="Times New Roman"/>
      <family val="1"/>
    </font>
    <font>
      <b/>
      <u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0"/>
      </bottom>
      <diagonal/>
    </border>
    <border>
      <left style="double">
        <color indexed="64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706">
    <xf numFmtId="0" fontId="0" fillId="0" borderId="0" xfId="0"/>
    <xf numFmtId="0" fontId="6" fillId="0" borderId="0" xfId="0" applyFont="1"/>
    <xf numFmtId="0" fontId="12" fillId="0" borderId="0" xfId="0" applyFont="1" applyAlignment="1">
      <alignment horizontal="left"/>
    </xf>
    <xf numFmtId="0" fontId="0" fillId="0" borderId="0" xfId="0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/>
    <xf numFmtId="165" fontId="0" fillId="0" borderId="0" xfId="0" applyNumberFormat="1"/>
    <xf numFmtId="0" fontId="0" fillId="4" borderId="0" xfId="0" applyFill="1" applyAlignment="1">
      <alignment vertical="center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13" xfId="0" quotePrefix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4" borderId="9" xfId="0" quotePrefix="1" applyFont="1" applyFill="1" applyBorder="1" applyAlignment="1">
      <alignment horizontal="center" vertical="center"/>
    </xf>
    <xf numFmtId="0" fontId="8" fillId="4" borderId="13" xfId="0" quotePrefix="1" applyFont="1" applyFill="1" applyBorder="1" applyAlignment="1">
      <alignment horizontal="center" vertical="center"/>
    </xf>
    <xf numFmtId="0" fontId="8" fillId="4" borderId="8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6" fontId="9" fillId="0" borderId="23" xfId="0" applyNumberFormat="1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166" fontId="9" fillId="4" borderId="20" xfId="0" applyNumberFormat="1" applyFont="1" applyFill="1" applyBorder="1" applyAlignment="1">
      <alignment horizontal="center" vertical="center"/>
    </xf>
    <xf numFmtId="165" fontId="9" fillId="4" borderId="20" xfId="0" applyNumberFormat="1" applyFont="1" applyFill="1" applyBorder="1" applyAlignment="1">
      <alignment horizontal="center" vertical="center"/>
    </xf>
    <xf numFmtId="2" fontId="9" fillId="4" borderId="20" xfId="0" applyNumberFormat="1" applyFont="1" applyFill="1" applyBorder="1" applyAlignment="1">
      <alignment horizontal="center" vertical="center"/>
    </xf>
    <xf numFmtId="2" fontId="9" fillId="4" borderId="25" xfId="0" applyNumberFormat="1" applyFont="1" applyFill="1" applyBorder="1" applyAlignment="1">
      <alignment horizontal="center" vertical="center"/>
    </xf>
    <xf numFmtId="166" fontId="8" fillId="4" borderId="14" xfId="0" applyNumberFormat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9" fillId="4" borderId="25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6" fontId="9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0" borderId="1" xfId="0" applyNumberFormat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8" fillId="0" borderId="0" xfId="0" quotePrefix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3" borderId="0" xfId="0" applyFill="1" applyAlignment="1">
      <alignment vertical="center"/>
    </xf>
    <xf numFmtId="166" fontId="0" fillId="0" borderId="21" xfId="0" applyNumberFormat="1" applyBorder="1" applyAlignment="1">
      <alignment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42" fillId="0" borderId="0" xfId="0" applyFont="1" applyAlignment="1">
      <alignment horizontal="right"/>
    </xf>
    <xf numFmtId="166" fontId="0" fillId="0" borderId="0" xfId="0" applyNumberFormat="1" applyAlignment="1">
      <alignment vertical="center"/>
    </xf>
    <xf numFmtId="2" fontId="9" fillId="0" borderId="54" xfId="0" applyNumberFormat="1" applyFont="1" applyBorder="1" applyAlignment="1">
      <alignment horizontal="center" vertical="center"/>
    </xf>
    <xf numFmtId="2" fontId="9" fillId="0" borderId="55" xfId="0" applyNumberFormat="1" applyFont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6" fontId="9" fillId="4" borderId="0" xfId="0" applyNumberFormat="1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166" fontId="8" fillId="4" borderId="0" xfId="0" applyNumberFormat="1" applyFont="1" applyFill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49" fontId="20" fillId="0" borderId="57" xfId="0" applyNumberFormat="1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 wrapText="1"/>
    </xf>
    <xf numFmtId="49" fontId="20" fillId="0" borderId="57" xfId="0" applyNumberFormat="1" applyFont="1" applyBorder="1" applyAlignment="1">
      <alignment horizontal="center" vertical="center"/>
    </xf>
    <xf numFmtId="49" fontId="15" fillId="0" borderId="56" xfId="0" applyNumberFormat="1" applyFont="1" applyBorder="1" applyAlignment="1">
      <alignment horizontal="left" vertical="center"/>
    </xf>
    <xf numFmtId="49" fontId="15" fillId="0" borderId="57" xfId="0" applyNumberFormat="1" applyFont="1" applyBorder="1" applyAlignment="1">
      <alignment horizontal="left" vertical="center"/>
    </xf>
    <xf numFmtId="49" fontId="15" fillId="0" borderId="57" xfId="0" applyNumberFormat="1" applyFont="1" applyBorder="1" applyAlignment="1">
      <alignment horizontal="left" vertical="center" wrapText="1"/>
    </xf>
    <xf numFmtId="49" fontId="15" fillId="0" borderId="57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/>
    </xf>
    <xf numFmtId="0" fontId="0" fillId="0" borderId="57" xfId="0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 wrapText="1"/>
    </xf>
    <xf numFmtId="0" fontId="8" fillId="0" borderId="69" xfId="0" applyFont="1" applyBorder="1" applyAlignment="1">
      <alignment horizontal="center" vertical="center"/>
    </xf>
    <xf numFmtId="0" fontId="8" fillId="0" borderId="70" xfId="0" quotePrefix="1" applyFont="1" applyBorder="1" applyAlignment="1">
      <alignment horizontal="center" vertical="center"/>
    </xf>
    <xf numFmtId="0" fontId="8" fillId="0" borderId="71" xfId="0" quotePrefix="1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165" fontId="9" fillId="0" borderId="76" xfId="0" applyNumberFormat="1" applyFont="1" applyBorder="1" applyAlignment="1">
      <alignment horizontal="center" vertical="center"/>
    </xf>
    <xf numFmtId="165" fontId="9" fillId="0" borderId="77" xfId="0" applyNumberFormat="1" applyFont="1" applyBorder="1" applyAlignment="1">
      <alignment horizontal="center" vertical="center"/>
    </xf>
    <xf numFmtId="165" fontId="9" fillId="0" borderId="78" xfId="0" applyNumberFormat="1" applyFont="1" applyBorder="1" applyAlignment="1">
      <alignment horizontal="center" vertical="center"/>
    </xf>
    <xf numFmtId="165" fontId="9" fillId="0" borderId="7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33" fillId="7" borderId="73" xfId="0" applyNumberFormat="1" applyFont="1" applyFill="1" applyBorder="1" applyAlignment="1">
      <alignment horizontal="center"/>
    </xf>
    <xf numFmtId="1" fontId="33" fillId="7" borderId="73" xfId="0" applyNumberFormat="1" applyFont="1" applyFill="1" applyBorder="1" applyAlignment="1">
      <alignment horizontal="center"/>
    </xf>
    <xf numFmtId="0" fontId="34" fillId="0" borderId="78" xfId="0" applyFont="1" applyBorder="1" applyAlignment="1">
      <alignment horizontal="center"/>
    </xf>
    <xf numFmtId="3" fontId="6" fillId="0" borderId="78" xfId="0" applyNumberFormat="1" applyFont="1" applyBorder="1" applyAlignment="1">
      <alignment horizontal="center"/>
    </xf>
    <xf numFmtId="0" fontId="35" fillId="0" borderId="78" xfId="0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4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78" xfId="0" applyBorder="1" applyAlignment="1">
      <alignment horizontal="center" vertical="center"/>
    </xf>
    <xf numFmtId="0" fontId="38" fillId="0" borderId="78" xfId="0" applyFont="1" applyBorder="1" applyAlignment="1">
      <alignment horizontal="center" vertical="center" wrapText="1"/>
    </xf>
    <xf numFmtId="2" fontId="0" fillId="0" borderId="78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15" fillId="0" borderId="78" xfId="0" applyNumberFormat="1" applyFont="1" applyBorder="1" applyAlignment="1">
      <alignment horizontal="left" vertical="center"/>
    </xf>
    <xf numFmtId="0" fontId="15" fillId="0" borderId="57" xfId="0" applyFont="1" applyBorder="1" applyAlignment="1">
      <alignment horizontal="left" vertical="center" wrapText="1"/>
    </xf>
    <xf numFmtId="0" fontId="20" fillId="0" borderId="78" xfId="0" applyFont="1" applyBorder="1" applyAlignment="1">
      <alignment horizontal="left" vertical="center" wrapText="1"/>
    </xf>
    <xf numFmtId="49" fontId="20" fillId="0" borderId="78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1" fontId="0" fillId="0" borderId="0" xfId="0" applyNumberFormat="1" applyAlignment="1">
      <alignment vertical="center"/>
    </xf>
    <xf numFmtId="165" fontId="9" fillId="0" borderId="12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15" fillId="0" borderId="1" xfId="0" applyNumberFormat="1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0" fillId="0" borderId="57" xfId="0" applyBorder="1" applyAlignment="1" applyProtection="1">
      <alignment vertical="center"/>
      <protection locked="0"/>
    </xf>
    <xf numFmtId="0" fontId="9" fillId="3" borderId="0" xfId="0" applyFont="1" applyFill="1" applyAlignment="1">
      <alignment horizontal="center" vertical="center"/>
    </xf>
    <xf numFmtId="167" fontId="0" fillId="3" borderId="0" xfId="0" quotePrefix="1" applyNumberFormat="1" applyFill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166" fontId="33" fillId="3" borderId="0" xfId="0" applyNumberFormat="1" applyFont="1" applyFill="1" applyAlignment="1">
      <alignment horizontal="center" vertical="center"/>
    </xf>
    <xf numFmtId="2" fontId="9" fillId="2" borderId="34" xfId="0" applyNumberFormat="1" applyFont="1" applyFill="1" applyBorder="1" applyAlignment="1" applyProtection="1">
      <alignment horizontal="center" vertical="center"/>
      <protection locked="0"/>
    </xf>
    <xf numFmtId="0" fontId="39" fillId="3" borderId="21" xfId="0" applyFont="1" applyFill="1" applyBorder="1" applyAlignment="1">
      <alignment horizontal="center"/>
    </xf>
    <xf numFmtId="165" fontId="33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8" xfId="0" quotePrefix="1" applyFont="1" applyFill="1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8" fillId="4" borderId="68" xfId="0" applyFont="1" applyFill="1" applyBorder="1" applyAlignment="1">
      <alignment horizontal="center" vertical="center" wrapText="1"/>
    </xf>
    <xf numFmtId="0" fontId="8" fillId="4" borderId="28" xfId="0" quotePrefix="1" applyFont="1" applyFill="1" applyBorder="1" applyAlignment="1">
      <alignment horizontal="center" vertical="center"/>
    </xf>
    <xf numFmtId="0" fontId="8" fillId="4" borderId="83" xfId="0" applyFont="1" applyFill="1" applyBorder="1" applyAlignment="1">
      <alignment horizontal="center" vertical="center"/>
    </xf>
    <xf numFmtId="0" fontId="8" fillId="4" borderId="25" xfId="0" quotePrefix="1" applyFont="1" applyFill="1" applyBorder="1" applyAlignment="1">
      <alignment horizontal="center" vertical="center"/>
    </xf>
    <xf numFmtId="0" fontId="8" fillId="4" borderId="83" xfId="0" applyFont="1" applyFill="1" applyBorder="1" applyAlignment="1">
      <alignment horizontal="center" vertical="center" wrapText="1"/>
    </xf>
    <xf numFmtId="0" fontId="0" fillId="10" borderId="82" xfId="0" applyFill="1" applyBorder="1" applyAlignment="1">
      <alignment horizontal="center" vertical="center" wrapText="1"/>
    </xf>
    <xf numFmtId="0" fontId="0" fillId="0" borderId="82" xfId="0" applyBorder="1" applyAlignment="1">
      <alignment vertical="top"/>
    </xf>
    <xf numFmtId="0" fontId="0" fillId="0" borderId="82" xfId="0" applyBorder="1" applyAlignment="1">
      <alignment horizontal="center"/>
    </xf>
    <xf numFmtId="0" fontId="6" fillId="0" borderId="0" xfId="1"/>
    <xf numFmtId="0" fontId="8" fillId="0" borderId="82" xfId="1" applyFont="1" applyBorder="1" applyAlignment="1">
      <alignment vertical="center" wrapText="1"/>
    </xf>
    <xf numFmtId="0" fontId="8" fillId="0" borderId="82" xfId="1" applyFont="1" applyBorder="1" applyAlignment="1">
      <alignment vertical="center"/>
    </xf>
    <xf numFmtId="0" fontId="8" fillId="0" borderId="82" xfId="1" applyFont="1" applyBorder="1" applyAlignment="1">
      <alignment horizontal="center" vertical="center" wrapText="1"/>
    </xf>
    <xf numFmtId="0" fontId="33" fillId="0" borderId="82" xfId="1" applyFont="1" applyBorder="1"/>
    <xf numFmtId="0" fontId="6" fillId="0" borderId="82" xfId="1" applyBorder="1"/>
    <xf numFmtId="165" fontId="6" fillId="0" borderId="82" xfId="1" applyNumberFormat="1" applyBorder="1"/>
    <xf numFmtId="2" fontId="53" fillId="3" borderId="82" xfId="1" applyNumberFormat="1" applyFont="1" applyFill="1" applyBorder="1"/>
    <xf numFmtId="165" fontId="6" fillId="8" borderId="82" xfId="1" applyNumberFormat="1" applyFill="1" applyBorder="1"/>
    <xf numFmtId="0" fontId="8" fillId="0" borderId="0" xfId="1" applyFont="1"/>
    <xf numFmtId="1" fontId="33" fillId="0" borderId="0" xfId="1" applyNumberFormat="1" applyFont="1"/>
    <xf numFmtId="165" fontId="54" fillId="3" borderId="82" xfId="1" applyNumberFormat="1" applyFont="1" applyFill="1" applyBorder="1"/>
    <xf numFmtId="0" fontId="52" fillId="0" borderId="21" xfId="1" applyFont="1" applyBorder="1" applyAlignment="1">
      <alignment horizontal="center"/>
    </xf>
    <xf numFmtId="0" fontId="52" fillId="0" borderId="0" xfId="1" applyFont="1"/>
    <xf numFmtId="0" fontId="55" fillId="3" borderId="0" xfId="1" applyFont="1" applyFill="1"/>
    <xf numFmtId="165" fontId="0" fillId="0" borderId="0" xfId="0" applyNumberFormat="1" applyAlignment="1">
      <alignment vertical="center"/>
    </xf>
    <xf numFmtId="0" fontId="6" fillId="0" borderId="0" xfId="0" applyFont="1" applyAlignment="1">
      <alignment horizontal="justify" vertical="center"/>
    </xf>
    <xf numFmtId="2" fontId="9" fillId="4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2" fontId="6" fillId="4" borderId="20" xfId="0" applyNumberFormat="1" applyFont="1" applyFill="1" applyBorder="1" applyAlignment="1">
      <alignment horizontal="center" vertical="center"/>
    </xf>
    <xf numFmtId="0" fontId="8" fillId="4" borderId="68" xfId="0" applyFont="1" applyFill="1" applyBorder="1" applyAlignment="1">
      <alignment vertical="center" wrapText="1"/>
    </xf>
    <xf numFmtId="0" fontId="8" fillId="4" borderId="71" xfId="0" applyFont="1" applyFill="1" applyBorder="1" applyAlignment="1">
      <alignment horizontal="center" vertical="center" wrapText="1"/>
    </xf>
    <xf numFmtId="0" fontId="6" fillId="0" borderId="82" xfId="0" applyFont="1" applyBorder="1"/>
    <xf numFmtId="2" fontId="0" fillId="0" borderId="82" xfId="0" applyNumberFormat="1" applyBorder="1" applyAlignment="1">
      <alignment horizontal="center"/>
    </xf>
    <xf numFmtId="0" fontId="6" fillId="4" borderId="83" xfId="0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center"/>
    </xf>
    <xf numFmtId="0" fontId="39" fillId="11" borderId="21" xfId="0" applyFont="1" applyFill="1" applyBorder="1" applyAlignment="1">
      <alignment horizontal="center"/>
    </xf>
    <xf numFmtId="0" fontId="39" fillId="11" borderId="0" xfId="0" applyFont="1" applyFill="1" applyAlignment="1">
      <alignment horizontal="center"/>
    </xf>
    <xf numFmtId="0" fontId="0" fillId="11" borderId="0" xfId="0" applyFill="1"/>
    <xf numFmtId="0" fontId="8" fillId="11" borderId="1" xfId="0" applyFont="1" applyFill="1" applyBorder="1" applyAlignment="1">
      <alignment horizontal="center" vertical="center"/>
    </xf>
    <xf numFmtId="0" fontId="46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/>
    <xf numFmtId="165" fontId="6" fillId="11" borderId="1" xfId="0" applyNumberFormat="1" applyFon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 vertical="center"/>
    </xf>
    <xf numFmtId="0" fontId="38" fillId="11" borderId="78" xfId="0" applyFont="1" applyFill="1" applyBorder="1" applyAlignment="1">
      <alignment horizontal="center" vertical="center" wrapText="1"/>
    </xf>
    <xf numFmtId="0" fontId="6" fillId="11" borderId="82" xfId="0" applyFont="1" applyFill="1" applyBorder="1"/>
    <xf numFmtId="2" fontId="0" fillId="11" borderId="82" xfId="0" applyNumberForma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83" xfId="0" applyFont="1" applyFill="1" applyBorder="1" applyAlignment="1">
      <alignment horizontal="left" vertical="center" wrapText="1"/>
    </xf>
    <xf numFmtId="0" fontId="6" fillId="11" borderId="1" xfId="0" quotePrefix="1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33" fillId="11" borderId="73" xfId="0" applyNumberFormat="1" applyFont="1" applyFill="1" applyBorder="1" applyAlignment="1">
      <alignment horizontal="center"/>
    </xf>
    <xf numFmtId="1" fontId="33" fillId="11" borderId="73" xfId="0" applyNumberFormat="1" applyFont="1" applyFill="1" applyBorder="1" applyAlignment="1">
      <alignment horizontal="center"/>
    </xf>
    <xf numFmtId="0" fontId="34" fillId="11" borderId="78" xfId="0" applyFont="1" applyFill="1" applyBorder="1" applyAlignment="1">
      <alignment horizontal="center"/>
    </xf>
    <xf numFmtId="3" fontId="6" fillId="11" borderId="78" xfId="0" applyNumberFormat="1" applyFont="1" applyFill="1" applyBorder="1" applyAlignment="1">
      <alignment horizontal="center"/>
    </xf>
    <xf numFmtId="0" fontId="35" fillId="11" borderId="78" xfId="0" applyFont="1" applyFill="1" applyBorder="1" applyAlignment="1">
      <alignment horizontal="center"/>
    </xf>
    <xf numFmtId="0" fontId="6" fillId="11" borderId="78" xfId="0" applyFont="1" applyFill="1" applyBorder="1" applyAlignment="1">
      <alignment horizontal="center"/>
    </xf>
    <xf numFmtId="0" fontId="6" fillId="0" borderId="20" xfId="0" applyFont="1" applyBorder="1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8" fillId="4" borderId="82" xfId="0" applyFont="1" applyFill="1" applyBorder="1" applyAlignment="1">
      <alignment horizontal="center" vertical="center"/>
    </xf>
    <xf numFmtId="0" fontId="6" fillId="0" borderId="82" xfId="0" applyFont="1" applyBorder="1" applyAlignment="1">
      <alignment vertical="center"/>
    </xf>
    <xf numFmtId="0" fontId="0" fillId="0" borderId="82" xfId="0" applyBorder="1" applyAlignment="1">
      <alignment vertical="center"/>
    </xf>
    <xf numFmtId="2" fontId="0" fillId="0" borderId="82" xfId="0" applyNumberFormat="1" applyBorder="1" applyAlignment="1">
      <alignment vertical="center"/>
    </xf>
    <xf numFmtId="0" fontId="0" fillId="4" borderId="0" xfId="0" applyFill="1" applyAlignment="1" applyProtection="1">
      <alignment vertical="center"/>
      <protection locked="0"/>
    </xf>
    <xf numFmtId="0" fontId="6" fillId="4" borderId="0" xfId="0" applyFont="1" applyFill="1" applyAlignment="1" applyProtection="1">
      <alignment vertical="center"/>
      <protection locked="0"/>
    </xf>
    <xf numFmtId="49" fontId="6" fillId="6" borderId="0" xfId="0" applyNumberFormat="1" applyFont="1" applyFill="1" applyAlignment="1">
      <alignment horizontal="left"/>
    </xf>
    <xf numFmtId="0" fontId="27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6" fillId="12" borderId="0" xfId="0" applyFont="1" applyFill="1"/>
    <xf numFmtId="0" fontId="10" fillId="12" borderId="0" xfId="0" applyFont="1" applyFill="1"/>
    <xf numFmtId="49" fontId="11" fillId="12" borderId="0" xfId="0" applyNumberFormat="1" applyFont="1" applyFill="1"/>
    <xf numFmtId="0" fontId="10" fillId="12" borderId="1" xfId="0" applyFont="1" applyFill="1" applyBorder="1"/>
    <xf numFmtId="0" fontId="8" fillId="12" borderId="0" xfId="0" applyFont="1" applyFill="1" applyAlignment="1">
      <alignment horizontal="center"/>
    </xf>
    <xf numFmtId="0" fontId="11" fillId="12" borderId="32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9" fillId="12" borderId="0" xfId="0" applyFont="1" applyFill="1" applyAlignment="1">
      <alignment horizontal="center"/>
    </xf>
    <xf numFmtId="0" fontId="9" fillId="12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9" fillId="12" borderId="0" xfId="0" applyFont="1" applyFill="1" applyAlignment="1">
      <alignment horizontal="center"/>
    </xf>
    <xf numFmtId="0" fontId="6" fillId="12" borderId="0" xfId="0" applyFont="1" applyFill="1" applyAlignment="1">
      <alignment horizontal="left"/>
    </xf>
    <xf numFmtId="0" fontId="12" fillId="12" borderId="21" xfId="0" applyFont="1" applyFill="1" applyBorder="1" applyAlignment="1">
      <alignment horizontal="left"/>
    </xf>
    <xf numFmtId="49" fontId="0" fillId="12" borderId="21" xfId="0" applyNumberFormat="1" applyFill="1" applyBorder="1" applyAlignment="1">
      <alignment horizontal="left"/>
    </xf>
    <xf numFmtId="0" fontId="12" fillId="12" borderId="0" xfId="0" applyFont="1" applyFill="1" applyAlignment="1">
      <alignment horizontal="right"/>
    </xf>
    <xf numFmtId="49" fontId="0" fillId="12" borderId="0" xfId="0" applyNumberFormat="1" applyFill="1" applyAlignment="1">
      <alignment horizontal="left"/>
    </xf>
    <xf numFmtId="49" fontId="14" fillId="12" borderId="0" xfId="0" applyNumberFormat="1" applyFont="1" applyFill="1" applyAlignment="1">
      <alignment horizontal="left"/>
    </xf>
    <xf numFmtId="0" fontId="9" fillId="12" borderId="30" xfId="0" applyFont="1" applyFill="1" applyBorder="1"/>
    <xf numFmtId="0" fontId="16" fillId="12" borderId="0" xfId="0" applyFont="1" applyFill="1" applyAlignment="1">
      <alignment horizontal="left"/>
    </xf>
    <xf numFmtId="0" fontId="9" fillId="12" borderId="30" xfId="0" applyFont="1" applyFill="1" applyBorder="1" applyAlignment="1">
      <alignment horizontal="left"/>
    </xf>
    <xf numFmtId="11" fontId="6" fillId="12" borderId="0" xfId="0" applyNumberFormat="1" applyFont="1" applyFill="1"/>
    <xf numFmtId="0" fontId="6" fillId="12" borderId="30" xfId="0" applyFont="1" applyFill="1" applyBorder="1"/>
    <xf numFmtId="0" fontId="16" fillId="12" borderId="0" xfId="0" applyFont="1" applyFill="1" applyAlignment="1">
      <alignment horizontal="right"/>
    </xf>
    <xf numFmtId="11" fontId="6" fillId="12" borderId="0" xfId="0" applyNumberFormat="1" applyFont="1" applyFill="1" applyAlignment="1">
      <alignment horizontal="left"/>
    </xf>
    <xf numFmtId="0" fontId="6" fillId="12" borderId="0" xfId="0" applyFont="1" applyFill="1" applyAlignment="1">
      <alignment horizontal="center"/>
    </xf>
    <xf numFmtId="0" fontId="9" fillId="12" borderId="0" xfId="0" applyFont="1" applyFill="1" applyAlignment="1">
      <alignment horizontal="right"/>
    </xf>
    <xf numFmtId="0" fontId="43" fillId="12" borderId="0" xfId="0" applyFont="1" applyFill="1" applyAlignment="1">
      <alignment vertical="center"/>
    </xf>
    <xf numFmtId="0" fontId="43" fillId="12" borderId="0" xfId="0" applyFont="1" applyFill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left"/>
    </xf>
    <xf numFmtId="2" fontId="6" fillId="2" borderId="85" xfId="0" applyNumberFormat="1" applyFont="1" applyFill="1" applyBorder="1" applyAlignment="1" applyProtection="1">
      <alignment horizontal="center" vertical="center"/>
      <protection locked="0"/>
    </xf>
    <xf numFmtId="11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vertical="center"/>
    </xf>
    <xf numFmtId="172" fontId="0" fillId="0" borderId="19" xfId="0" applyNumberFormat="1" applyBorder="1" applyAlignment="1">
      <alignment vertical="center"/>
    </xf>
    <xf numFmtId="165" fontId="9" fillId="4" borderId="53" xfId="0" applyNumberFormat="1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11" fontId="9" fillId="0" borderId="20" xfId="0" applyNumberFormat="1" applyFont="1" applyBorder="1" applyAlignment="1">
      <alignment horizontal="center" vertical="center"/>
    </xf>
    <xf numFmtId="2" fontId="9" fillId="0" borderId="78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5" borderId="82" xfId="0" applyFont="1" applyFill="1" applyBorder="1" applyAlignment="1">
      <alignment horizontal="center" vertical="center" wrapText="1"/>
    </xf>
    <xf numFmtId="0" fontId="6" fillId="5" borderId="82" xfId="0" applyFont="1" applyFill="1" applyBorder="1" applyAlignment="1">
      <alignment horizontal="center" vertical="center"/>
    </xf>
    <xf numFmtId="0" fontId="6" fillId="5" borderId="82" xfId="0" applyFont="1" applyFill="1" applyBorder="1" applyAlignment="1">
      <alignment vertical="center"/>
    </xf>
    <xf numFmtId="0" fontId="8" fillId="5" borderId="82" xfId="0" applyFont="1" applyFill="1" applyBorder="1" applyAlignment="1">
      <alignment horizontal="center" vertical="center"/>
    </xf>
    <xf numFmtId="2" fontId="6" fillId="5" borderId="82" xfId="0" applyNumberFormat="1" applyFont="1" applyFill="1" applyBorder="1" applyAlignment="1">
      <alignment horizontal="center" vertical="center"/>
    </xf>
    <xf numFmtId="165" fontId="6" fillId="5" borderId="82" xfId="0" applyNumberFormat="1" applyFont="1" applyFill="1" applyBorder="1" applyAlignment="1">
      <alignment horizontal="center" vertical="center"/>
    </xf>
    <xf numFmtId="166" fontId="6" fillId="5" borderId="82" xfId="0" applyNumberFormat="1" applyFont="1" applyFill="1" applyBorder="1" applyAlignment="1">
      <alignment horizontal="center" vertical="center"/>
    </xf>
    <xf numFmtId="171" fontId="0" fillId="0" borderId="21" xfId="0" applyNumberFormat="1" applyBorder="1" applyAlignment="1">
      <alignment vertical="center"/>
    </xf>
    <xf numFmtId="0" fontId="0" fillId="13" borderId="15" xfId="0" applyFill="1" applyBorder="1" applyAlignment="1">
      <alignment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0" fillId="13" borderId="18" xfId="0" applyFill="1" applyBorder="1" applyAlignment="1">
      <alignment vertical="center"/>
    </xf>
    <xf numFmtId="0" fontId="0" fillId="13" borderId="0" xfId="0" applyFill="1" applyAlignment="1" applyProtection="1">
      <alignment vertical="center"/>
      <protection locked="0"/>
    </xf>
    <xf numFmtId="0" fontId="0" fillId="13" borderId="19" xfId="0" applyFill="1" applyBorder="1" applyAlignment="1">
      <alignment vertical="center"/>
    </xf>
    <xf numFmtId="0" fontId="6" fillId="13" borderId="18" xfId="0" applyFont="1" applyFill="1" applyBorder="1" applyAlignment="1">
      <alignment vertical="center"/>
    </xf>
    <xf numFmtId="0" fontId="6" fillId="13" borderId="20" xfId="0" applyFont="1" applyFill="1" applyBorder="1" applyAlignment="1">
      <alignment vertical="center" wrapText="1"/>
    </xf>
    <xf numFmtId="166" fontId="0" fillId="13" borderId="21" xfId="0" applyNumberFormat="1" applyFill="1" applyBorder="1" applyAlignment="1">
      <alignment vertical="center"/>
    </xf>
    <xf numFmtId="2" fontId="0" fillId="13" borderId="19" xfId="0" applyNumberFormat="1" applyFill="1" applyBorder="1" applyAlignment="1">
      <alignment vertical="center"/>
    </xf>
    <xf numFmtId="0" fontId="0" fillId="13" borderId="82" xfId="0" applyFill="1" applyBorder="1" applyAlignment="1">
      <alignment vertical="center"/>
    </xf>
    <xf numFmtId="0" fontId="6" fillId="13" borderId="82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5" fillId="0" borderId="0" xfId="2"/>
    <xf numFmtId="0" fontId="54" fillId="0" borderId="0" xfId="2" applyFont="1"/>
    <xf numFmtId="0" fontId="54" fillId="4" borderId="0" xfId="2" applyFont="1" applyFill="1" applyAlignment="1">
      <alignment vertical="top"/>
    </xf>
    <xf numFmtId="0" fontId="54" fillId="0" borderId="0" xfId="2" applyFont="1" applyAlignment="1">
      <alignment vertical="top" wrapText="1"/>
    </xf>
    <xf numFmtId="0" fontId="54" fillId="0" borderId="0" xfId="2" applyFont="1" applyAlignment="1">
      <alignment vertical="top"/>
    </xf>
    <xf numFmtId="0" fontId="63" fillId="0" borderId="0" xfId="2" applyFont="1" applyAlignment="1">
      <alignment horizontal="left" indent="1"/>
    </xf>
    <xf numFmtId="0" fontId="54" fillId="0" borderId="0" xfId="2" applyFont="1" applyAlignment="1">
      <alignment horizontal="justify" vertical="top" wrapText="1"/>
    </xf>
    <xf numFmtId="0" fontId="63" fillId="0" borderId="0" xfId="2" applyFont="1" applyAlignment="1">
      <alignment horizontal="left"/>
    </xf>
    <xf numFmtId="0" fontId="63" fillId="0" borderId="0" xfId="2" applyFont="1" applyAlignment="1">
      <alignment horizontal="left" indent="3"/>
    </xf>
    <xf numFmtId="0" fontId="63" fillId="0" borderId="0" xfId="2" applyFont="1" applyAlignment="1">
      <alignment horizontal="left" indent="5"/>
    </xf>
    <xf numFmtId="166" fontId="5" fillId="0" borderId="0" xfId="2" applyNumberFormat="1" applyAlignment="1">
      <alignment horizontal="center"/>
    </xf>
    <xf numFmtId="0" fontId="54" fillId="0" borderId="0" xfId="2" applyFont="1" applyAlignment="1">
      <alignment horizontal="center"/>
    </xf>
    <xf numFmtId="166" fontId="54" fillId="0" borderId="0" xfId="2" applyNumberFormat="1" applyFont="1" applyAlignment="1">
      <alignment horizontal="left"/>
    </xf>
    <xf numFmtId="2" fontId="54" fillId="0" borderId="0" xfId="2" applyNumberFormat="1" applyFont="1" applyAlignment="1">
      <alignment horizontal="center"/>
    </xf>
    <xf numFmtId="165" fontId="54" fillId="0" borderId="0" xfId="2" applyNumberFormat="1" applyFont="1" applyAlignment="1">
      <alignment horizontal="center"/>
    </xf>
    <xf numFmtId="0" fontId="65" fillId="0" borderId="0" xfId="2" applyFont="1"/>
    <xf numFmtId="0" fontId="63" fillId="0" borderId="0" xfId="2" applyFont="1" applyAlignment="1">
      <alignment horizontal="left" vertical="center" indent="1"/>
    </xf>
    <xf numFmtId="49" fontId="54" fillId="0" borderId="0" xfId="2" applyNumberFormat="1" applyFont="1"/>
    <xf numFmtId="0" fontId="63" fillId="0" borderId="0" xfId="2" applyFont="1"/>
    <xf numFmtId="165" fontId="54" fillId="0" borderId="0" xfId="2" applyNumberFormat="1" applyFont="1"/>
    <xf numFmtId="2" fontId="63" fillId="0" borderId="0" xfId="2" applyNumberFormat="1" applyFont="1"/>
    <xf numFmtId="2" fontId="54" fillId="0" borderId="0" xfId="2" applyNumberFormat="1" applyFont="1"/>
    <xf numFmtId="166" fontId="8" fillId="0" borderId="0" xfId="0" applyNumberFormat="1" applyFont="1" applyAlignment="1">
      <alignment vertical="center"/>
    </xf>
    <xf numFmtId="0" fontId="8" fillId="0" borderId="73" xfId="0" applyFont="1" applyBorder="1" applyAlignment="1">
      <alignment horizontal="center" vertical="center" wrapText="1"/>
    </xf>
    <xf numFmtId="0" fontId="46" fillId="4" borderId="73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vertical="center"/>
    </xf>
    <xf numFmtId="171" fontId="9" fillId="0" borderId="51" xfId="0" applyNumberFormat="1" applyFont="1" applyBorder="1" applyAlignment="1">
      <alignment horizontal="center" vertical="center"/>
    </xf>
    <xf numFmtId="171" fontId="9" fillId="0" borderId="52" xfId="0" applyNumberFormat="1" applyFont="1" applyBorder="1" applyAlignment="1">
      <alignment horizontal="center" vertical="center"/>
    </xf>
    <xf numFmtId="171" fontId="9" fillId="0" borderId="2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3" borderId="0" xfId="0" applyFont="1" applyFill="1" applyAlignment="1" applyProtection="1">
      <alignment vertical="center"/>
      <protection locked="0"/>
    </xf>
    <xf numFmtId="0" fontId="54" fillId="0" borderId="0" xfId="2" applyFont="1" applyAlignment="1">
      <alignment horizontal="left"/>
    </xf>
    <xf numFmtId="166" fontId="54" fillId="0" borderId="0" xfId="2" applyNumberFormat="1" applyFont="1" applyAlignment="1">
      <alignment horizontal="center"/>
    </xf>
    <xf numFmtId="171" fontId="0" fillId="0" borderId="0" xfId="0" applyNumberFormat="1"/>
    <xf numFmtId="0" fontId="6" fillId="0" borderId="0" xfId="1" applyAlignment="1">
      <alignment vertical="center"/>
    </xf>
    <xf numFmtId="0" fontId="6" fillId="0" borderId="0" xfId="1" applyAlignment="1" applyProtection="1">
      <alignment vertical="center"/>
      <protection locked="0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17" fillId="0" borderId="82" xfId="1" applyFont="1" applyBorder="1" applyAlignment="1">
      <alignment horizontal="center" vertical="center"/>
    </xf>
    <xf numFmtId="0" fontId="6" fillId="0" borderId="18" xfId="1" applyBorder="1" applyAlignment="1">
      <alignment vertical="center"/>
    </xf>
    <xf numFmtId="49" fontId="15" fillId="0" borderId="82" xfId="1" applyNumberFormat="1" applyFont="1" applyBorder="1" applyAlignment="1">
      <alignment horizontal="left" vertical="center" wrapText="1"/>
    </xf>
    <xf numFmtId="0" fontId="15" fillId="0" borderId="82" xfId="1" applyFont="1" applyBorder="1" applyAlignment="1">
      <alignment horizontal="center" vertical="center"/>
    </xf>
    <xf numFmtId="49" fontId="15" fillId="0" borderId="82" xfId="1" applyNumberFormat="1" applyFont="1" applyBorder="1" applyAlignment="1">
      <alignment horizontal="left" vertical="center"/>
    </xf>
    <xf numFmtId="0" fontId="15" fillId="0" borderId="82" xfId="1" applyFont="1" applyBorder="1" applyAlignment="1">
      <alignment horizontal="left" vertical="center" wrapText="1"/>
    </xf>
    <xf numFmtId="49" fontId="15" fillId="0" borderId="82" xfId="1" applyNumberFormat="1" applyFont="1" applyBorder="1" applyAlignment="1">
      <alignment horizontal="center" vertical="center"/>
    </xf>
    <xf numFmtId="0" fontId="6" fillId="0" borderId="82" xfId="1" applyBorder="1" applyAlignment="1">
      <alignment vertical="center"/>
    </xf>
    <xf numFmtId="49" fontId="23" fillId="0" borderId="82" xfId="1" applyNumberFormat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6" fillId="0" borderId="82" xfId="1" applyBorder="1" applyAlignment="1" applyProtection="1">
      <alignment vertical="center"/>
      <protection locked="0"/>
    </xf>
    <xf numFmtId="49" fontId="15" fillId="0" borderId="82" xfId="1" applyNumberFormat="1" applyFont="1" applyBorder="1" applyAlignment="1" applyProtection="1">
      <alignment horizontal="left" vertical="center"/>
      <protection locked="0"/>
    </xf>
    <xf numFmtId="49" fontId="15" fillId="0" borderId="82" xfId="1" applyNumberFormat="1" applyFont="1" applyBorder="1" applyAlignment="1" applyProtection="1">
      <alignment horizontal="left" vertical="center" wrapText="1"/>
      <protection locked="0"/>
    </xf>
    <xf numFmtId="0" fontId="15" fillId="0" borderId="82" xfId="1" applyFont="1" applyBorder="1" applyAlignment="1" applyProtection="1">
      <alignment horizontal="left" vertical="center" wrapText="1"/>
      <protection locked="0"/>
    </xf>
    <xf numFmtId="0" fontId="8" fillId="0" borderId="0" xfId="1" quotePrefix="1" applyFont="1" applyAlignment="1">
      <alignment horizontal="center" vertical="center"/>
    </xf>
    <xf numFmtId="1" fontId="6" fillId="0" borderId="0" xfId="1" applyNumberFormat="1" applyAlignment="1">
      <alignment horizontal="center" vertical="center"/>
    </xf>
    <xf numFmtId="165" fontId="6" fillId="0" borderId="0" xfId="1" applyNumberFormat="1" applyAlignment="1">
      <alignment horizontal="center" vertical="center"/>
    </xf>
    <xf numFmtId="2" fontId="6" fillId="0" borderId="0" xfId="1" applyNumberFormat="1" applyAlignment="1">
      <alignment horizontal="center" vertical="center"/>
    </xf>
    <xf numFmtId="0" fontId="66" fillId="15" borderId="81" xfId="3" applyFont="1" applyFill="1" applyBorder="1"/>
    <xf numFmtId="0" fontId="4" fillId="0" borderId="0" xfId="3"/>
    <xf numFmtId="0" fontId="66" fillId="0" borderId="87" xfId="3" applyFont="1" applyBorder="1" applyAlignment="1">
      <alignment horizontal="center"/>
    </xf>
    <xf numFmtId="49" fontId="66" fillId="0" borderId="87" xfId="3" applyNumberFormat="1" applyFont="1" applyBorder="1" applyAlignment="1">
      <alignment horizontal="center"/>
    </xf>
    <xf numFmtId="0" fontId="54" fillId="0" borderId="0" xfId="2" applyFont="1" applyAlignment="1">
      <alignment horizontal="right"/>
    </xf>
    <xf numFmtId="0" fontId="8" fillId="12" borderId="0" xfId="0" applyFont="1" applyFill="1"/>
    <xf numFmtId="0" fontId="6" fillId="9" borderId="82" xfId="0" applyFont="1" applyFill="1" applyBorder="1"/>
    <xf numFmtId="0" fontId="0" fillId="3" borderId="0" xfId="0" applyFill="1" applyAlignment="1" applyProtection="1">
      <alignment horizontal="center"/>
      <protection locked="0"/>
    </xf>
    <xf numFmtId="0" fontId="54" fillId="0" borderId="0" xfId="0" applyFont="1"/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54" fillId="0" borderId="0" xfId="2" applyFont="1" applyAlignment="1">
      <alignment vertical="center"/>
    </xf>
    <xf numFmtId="0" fontId="63" fillId="0" borderId="0" xfId="2" applyFont="1" applyAlignment="1">
      <alignment horizontal="left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7" fillId="16" borderId="0" xfId="0" applyFont="1" applyFill="1" applyAlignment="1" applyProtection="1">
      <alignment horizontal="center"/>
      <protection locked="0"/>
    </xf>
    <xf numFmtId="0" fontId="67" fillId="16" borderId="0" xfId="0" applyFont="1" applyFill="1" applyAlignment="1" applyProtection="1">
      <alignment horizontal="left" vertical="center" wrapText="1"/>
      <protection locked="0"/>
    </xf>
    <xf numFmtId="0" fontId="54" fillId="0" borderId="0" xfId="0" applyFont="1" applyAlignment="1" applyProtection="1">
      <alignment horizontal="center" vertical="center"/>
      <protection locked="0"/>
    </xf>
    <xf numFmtId="0" fontId="54" fillId="0" borderId="0" xfId="0" applyFont="1" applyAlignment="1" applyProtection="1">
      <alignment horizontal="left" vertical="center" wrapText="1"/>
      <protection locked="0"/>
    </xf>
    <xf numFmtId="0" fontId="54" fillId="0" borderId="0" xfId="0" applyFont="1" applyAlignment="1" applyProtection="1">
      <alignment horizontal="left" vertical="center"/>
      <protection locked="0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 applyProtection="1">
      <alignment horizontal="left" vertical="top"/>
      <protection locked="0"/>
    </xf>
    <xf numFmtId="0" fontId="54" fillId="0" borderId="0" xfId="0" applyFont="1" applyAlignment="1" applyProtection="1">
      <alignment vertical="center" wrapText="1"/>
      <protection locked="0"/>
    </xf>
    <xf numFmtId="0" fontId="54" fillId="0" borderId="0" xfId="0" applyFont="1" applyAlignment="1">
      <alignment horizontal="left" vertical="center"/>
    </xf>
    <xf numFmtId="3" fontId="54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51" fillId="0" borderId="82" xfId="0" applyNumberFormat="1" applyFont="1" applyBorder="1" applyAlignment="1">
      <alignment vertical="top"/>
    </xf>
    <xf numFmtId="169" fontId="51" fillId="0" borderId="81" xfId="0" applyNumberFormat="1" applyFont="1" applyBorder="1" applyAlignment="1">
      <alignment vertical="top"/>
    </xf>
    <xf numFmtId="0" fontId="0" fillId="0" borderId="80" xfId="0" applyBorder="1"/>
    <xf numFmtId="0" fontId="68" fillId="0" borderId="82" xfId="0" applyFont="1" applyBorder="1" applyAlignment="1">
      <alignment vertical="top"/>
    </xf>
    <xf numFmtId="166" fontId="69" fillId="0" borderId="82" xfId="0" applyNumberFormat="1" applyFont="1" applyBorder="1" applyAlignment="1">
      <alignment vertical="top"/>
    </xf>
    <xf numFmtId="169" fontId="69" fillId="0" borderId="81" xfId="0" applyNumberFormat="1" applyFont="1" applyBorder="1" applyAlignment="1">
      <alignment vertical="top"/>
    </xf>
    <xf numFmtId="0" fontId="69" fillId="0" borderId="82" xfId="0" applyFont="1" applyBorder="1" applyAlignment="1">
      <alignment vertical="top"/>
    </xf>
    <xf numFmtId="0" fontId="69" fillId="0" borderId="84" xfId="0" applyFont="1" applyBorder="1" applyAlignment="1">
      <alignment vertical="top"/>
    </xf>
    <xf numFmtId="0" fontId="69" fillId="0" borderId="80" xfId="0" applyFont="1" applyBorder="1"/>
    <xf numFmtId="169" fontId="69" fillId="0" borderId="82" xfId="0" applyNumberFormat="1" applyFont="1" applyBorder="1" applyAlignment="1">
      <alignment vertical="top"/>
    </xf>
    <xf numFmtId="0" fontId="68" fillId="0" borderId="82" xfId="0" applyFont="1" applyBorder="1"/>
    <xf numFmtId="0" fontId="6" fillId="0" borderId="82" xfId="0" applyFont="1" applyBorder="1" applyAlignment="1">
      <alignment vertical="top"/>
    </xf>
    <xf numFmtId="2" fontId="6" fillId="8" borderId="82" xfId="1" applyNumberFormat="1" applyFill="1" applyBorder="1"/>
    <xf numFmtId="165" fontId="6" fillId="2" borderId="86" xfId="0" applyNumberFormat="1" applyFont="1" applyFill="1" applyBorder="1" applyAlignment="1" applyProtection="1">
      <alignment horizontal="center" vertical="center"/>
      <protection locked="0"/>
    </xf>
    <xf numFmtId="169" fontId="51" fillId="0" borderId="81" xfId="0" applyNumberFormat="1" applyFont="1" applyBorder="1" applyAlignment="1">
      <alignment horizontal="center" vertical="top"/>
    </xf>
    <xf numFmtId="2" fontId="54" fillId="3" borderId="82" xfId="1" applyNumberFormat="1" applyFont="1" applyFill="1" applyBorder="1"/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174" fontId="6" fillId="3" borderId="0" xfId="0" quotePrefix="1" applyNumberFormat="1" applyFont="1" applyFill="1" applyAlignment="1">
      <alignment horizontal="center" vertical="center"/>
    </xf>
    <xf numFmtId="174" fontId="0" fillId="3" borderId="0" xfId="0" quotePrefix="1" applyNumberForma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/>
    </xf>
    <xf numFmtId="2" fontId="6" fillId="2" borderId="82" xfId="0" applyNumberFormat="1" applyFont="1" applyFill="1" applyBorder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horizontal="left" vertical="center"/>
      <protection locked="0"/>
    </xf>
    <xf numFmtId="0" fontId="26" fillId="0" borderId="0" xfId="0" applyFont="1" applyProtection="1">
      <protection locked="0"/>
    </xf>
    <xf numFmtId="0" fontId="26" fillId="0" borderId="82" xfId="0" applyFont="1" applyBorder="1" applyAlignment="1" applyProtection="1">
      <alignment vertical="center"/>
      <protection locked="0"/>
    </xf>
    <xf numFmtId="0" fontId="26" fillId="0" borderId="82" xfId="0" applyFont="1" applyBorder="1" applyAlignment="1" applyProtection="1">
      <alignment vertical="center" wrapText="1"/>
      <protection locked="0"/>
    </xf>
    <xf numFmtId="169" fontId="26" fillId="0" borderId="82" xfId="0" applyNumberFormat="1" applyFont="1" applyBorder="1" applyAlignment="1" applyProtection="1">
      <alignment horizontal="left" vertical="center" wrapText="1"/>
      <protection locked="0"/>
    </xf>
    <xf numFmtId="0" fontId="72" fillId="0" borderId="82" xfId="0" applyFont="1" applyBorder="1" applyAlignment="1" applyProtection="1">
      <alignment vertical="center" wrapText="1"/>
      <protection locked="0"/>
    </xf>
    <xf numFmtId="0" fontId="26" fillId="0" borderId="82" xfId="0" applyFont="1" applyBorder="1" applyAlignment="1" applyProtection="1">
      <alignment horizontal="left" vertical="center" wrapText="1"/>
      <protection locked="0"/>
    </xf>
    <xf numFmtId="0" fontId="70" fillId="0" borderId="0" xfId="0" applyFont="1" applyAlignment="1" applyProtection="1">
      <alignment horizontal="justify" vertical="center"/>
      <protection locked="0"/>
    </xf>
    <xf numFmtId="0" fontId="72" fillId="0" borderId="82" xfId="0" applyFont="1" applyBorder="1" applyAlignment="1" applyProtection="1">
      <alignment vertical="center"/>
      <protection locked="0"/>
    </xf>
    <xf numFmtId="0" fontId="26" fillId="0" borderId="0" xfId="0" applyFont="1" applyAlignment="1" applyProtection="1">
      <alignment horizontal="justify" vertical="center"/>
      <protection locked="0"/>
    </xf>
    <xf numFmtId="0" fontId="70" fillId="0" borderId="82" xfId="0" applyFont="1" applyBorder="1" applyAlignment="1" applyProtection="1">
      <alignment horizontal="center" vertical="center" wrapText="1"/>
      <protection locked="0"/>
    </xf>
    <xf numFmtId="0" fontId="26" fillId="0" borderId="82" xfId="0" applyFont="1" applyBorder="1" applyAlignment="1" applyProtection="1">
      <alignment horizontal="center" vertical="center" wrapText="1"/>
      <protection locked="0"/>
    </xf>
    <xf numFmtId="0" fontId="26" fillId="0" borderId="91" xfId="0" applyFont="1" applyBorder="1" applyAlignment="1" applyProtection="1">
      <alignment horizontal="center" vertical="center" wrapText="1"/>
      <protection locked="0"/>
    </xf>
    <xf numFmtId="0" fontId="75" fillId="0" borderId="0" xfId="0" applyFont="1" applyAlignment="1" applyProtection="1">
      <alignment horizontal="justify" vertical="center"/>
      <protection locked="0"/>
    </xf>
    <xf numFmtId="0" fontId="26" fillId="0" borderId="93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70" fillId="0" borderId="91" xfId="0" applyFont="1" applyBorder="1" applyAlignment="1" applyProtection="1">
      <alignment horizontal="center" vertical="center" wrapText="1"/>
      <protection locked="0"/>
    </xf>
    <xf numFmtId="0" fontId="26" fillId="0" borderId="88" xfId="0" applyFont="1" applyBorder="1" applyAlignment="1" applyProtection="1">
      <alignment vertical="center" wrapText="1"/>
      <protection locked="0"/>
    </xf>
    <xf numFmtId="0" fontId="26" fillId="0" borderId="0" xfId="0" applyFont="1" applyAlignment="1" applyProtection="1">
      <alignment horizontal="center"/>
      <protection locked="0"/>
    </xf>
    <xf numFmtId="0" fontId="76" fillId="0" borderId="0" xfId="0" applyFont="1" applyAlignment="1" applyProtection="1">
      <alignment horizontal="justify" vertical="center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horizontal="center" vertical="center"/>
      <protection hidden="1"/>
    </xf>
    <xf numFmtId="0" fontId="26" fillId="0" borderId="0" xfId="0" applyFont="1" applyProtection="1">
      <protection hidden="1"/>
    </xf>
    <xf numFmtId="0" fontId="54" fillId="17" borderId="104" xfId="0" applyFont="1" applyFill="1" applyBorder="1"/>
    <xf numFmtId="0" fontId="54" fillId="18" borderId="104" xfId="0" applyFont="1" applyFill="1" applyBorder="1"/>
    <xf numFmtId="0" fontId="54" fillId="17" borderId="105" xfId="0" applyFont="1" applyFill="1" applyBorder="1"/>
    <xf numFmtId="0" fontId="54" fillId="18" borderId="105" xfId="0" applyFont="1" applyFill="1" applyBorder="1"/>
    <xf numFmtId="0" fontId="0" fillId="4" borderId="0" xfId="0" applyFill="1"/>
    <xf numFmtId="0" fontId="66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6" fillId="0" borderId="95" xfId="0" applyFont="1" applyBorder="1" applyAlignment="1" applyProtection="1">
      <alignment horizontal="center" vertical="center" wrapText="1"/>
      <protection locked="0"/>
    </xf>
    <xf numFmtId="0" fontId="26" fillId="0" borderId="90" xfId="0" applyFont="1" applyBorder="1" applyAlignment="1" applyProtection="1">
      <alignment horizontal="center" vertical="center" wrapText="1"/>
      <protection locked="0"/>
    </xf>
    <xf numFmtId="0" fontId="26" fillId="0" borderId="101" xfId="0" applyFont="1" applyBorder="1" applyAlignment="1" applyProtection="1">
      <alignment horizontal="center" vertical="center" wrapText="1"/>
      <protection locked="0"/>
    </xf>
    <xf numFmtId="0" fontId="26" fillId="0" borderId="96" xfId="0" applyFont="1" applyBorder="1" applyAlignment="1" applyProtection="1">
      <alignment horizontal="center" vertical="center" wrapText="1"/>
      <protection locked="0"/>
    </xf>
    <xf numFmtId="0" fontId="26" fillId="0" borderId="100" xfId="0" applyFont="1" applyBorder="1" applyAlignment="1" applyProtection="1">
      <alignment horizontal="center" vertical="center" wrapText="1"/>
      <protection locked="0"/>
    </xf>
    <xf numFmtId="0" fontId="26" fillId="0" borderId="91" xfId="0" applyFont="1" applyBorder="1" applyAlignment="1" applyProtection="1">
      <alignment horizontal="center" vertical="center" wrapText="1"/>
      <protection locked="0"/>
    </xf>
    <xf numFmtId="0" fontId="26" fillId="0" borderId="82" xfId="0" applyFont="1" applyBorder="1" applyAlignment="1" applyProtection="1">
      <alignment horizontal="left" vertical="center"/>
      <protection locked="0"/>
    </xf>
    <xf numFmtId="0" fontId="26" fillId="0" borderId="82" xfId="0" applyFont="1" applyBorder="1" applyAlignment="1" applyProtection="1">
      <alignment horizontal="left" vertical="center" wrapText="1"/>
      <protection locked="0"/>
    </xf>
    <xf numFmtId="0" fontId="70" fillId="0" borderId="0" xfId="0" applyFont="1" applyAlignment="1" applyProtection="1">
      <alignment horizontal="left" vertical="center"/>
      <protection locked="0"/>
    </xf>
    <xf numFmtId="0" fontId="26" fillId="0" borderId="94" xfId="0" applyFont="1" applyBorder="1" applyAlignment="1" applyProtection="1">
      <alignment horizontal="center" vertical="center" wrapText="1"/>
      <protection locked="0"/>
    </xf>
    <xf numFmtId="0" fontId="26" fillId="0" borderId="92" xfId="0" applyFont="1" applyBorder="1" applyAlignment="1" applyProtection="1">
      <alignment horizontal="center" vertical="center" wrapText="1"/>
      <protection locked="0"/>
    </xf>
    <xf numFmtId="0" fontId="26" fillId="0" borderId="89" xfId="0" applyFont="1" applyBorder="1" applyAlignment="1" applyProtection="1">
      <alignment horizontal="center" vertical="center" wrapText="1"/>
      <protection locked="0"/>
    </xf>
    <xf numFmtId="0" fontId="26" fillId="0" borderId="82" xfId="0" applyFont="1" applyBorder="1" applyAlignment="1" applyProtection="1">
      <alignment horizontal="center" vertical="center"/>
      <protection locked="0"/>
    </xf>
    <xf numFmtId="0" fontId="26" fillId="0" borderId="82" xfId="0" applyFont="1" applyBorder="1" applyAlignment="1" applyProtection="1">
      <alignment horizontal="center" vertical="center" wrapText="1"/>
      <protection locked="0"/>
    </xf>
    <xf numFmtId="0" fontId="26" fillId="0" borderId="97" xfId="0" applyFont="1" applyBorder="1" applyAlignment="1" applyProtection="1">
      <alignment horizontal="center" vertical="center" wrapText="1"/>
      <protection locked="0"/>
    </xf>
    <xf numFmtId="0" fontId="26" fillId="0" borderId="99" xfId="0" applyFont="1" applyBorder="1" applyAlignment="1" applyProtection="1">
      <alignment horizontal="center" vertical="center" wrapText="1"/>
      <protection locked="0"/>
    </xf>
    <xf numFmtId="0" fontId="26" fillId="0" borderId="93" xfId="0" applyFont="1" applyBorder="1" applyAlignment="1" applyProtection="1">
      <alignment horizontal="center" vertical="center" wrapText="1"/>
      <protection locked="0"/>
    </xf>
    <xf numFmtId="0" fontId="70" fillId="0" borderId="98" xfId="0" applyFont="1" applyBorder="1" applyAlignment="1" applyProtection="1">
      <alignment horizontal="left" vertical="center"/>
      <protection locked="0"/>
    </xf>
    <xf numFmtId="0" fontId="26" fillId="0" borderId="94" xfId="0" applyFont="1" applyBorder="1" applyAlignment="1" applyProtection="1">
      <alignment horizontal="left" vertical="center"/>
      <protection locked="0"/>
    </xf>
    <xf numFmtId="0" fontId="26" fillId="0" borderId="92" xfId="0" applyFont="1" applyBorder="1" applyAlignment="1" applyProtection="1">
      <alignment horizontal="left" vertical="center"/>
      <protection locked="0"/>
    </xf>
    <xf numFmtId="0" fontId="26" fillId="0" borderId="94" xfId="0" applyFont="1" applyBorder="1" applyAlignment="1" applyProtection="1">
      <alignment horizontal="center"/>
      <protection locked="0"/>
    </xf>
    <xf numFmtId="0" fontId="26" fillId="0" borderId="92" xfId="0" applyFont="1" applyBorder="1" applyAlignment="1" applyProtection="1">
      <alignment horizontal="center"/>
      <protection locked="0"/>
    </xf>
    <xf numFmtId="0" fontId="26" fillId="0" borderId="89" xfId="0" applyFont="1" applyBorder="1" applyAlignment="1" applyProtection="1">
      <alignment horizontal="center"/>
      <protection locked="0"/>
    </xf>
    <xf numFmtId="0" fontId="26" fillId="0" borderId="94" xfId="0" applyFont="1" applyBorder="1" applyAlignment="1" applyProtection="1">
      <alignment horizontal="center" vertical="center"/>
      <protection locked="0"/>
    </xf>
    <xf numFmtId="0" fontId="26" fillId="0" borderId="89" xfId="0" applyFont="1" applyBorder="1" applyAlignment="1" applyProtection="1">
      <alignment horizontal="center" vertical="center"/>
      <protection locked="0"/>
    </xf>
    <xf numFmtId="0" fontId="70" fillId="0" borderId="101" xfId="0" applyFont="1" applyBorder="1" applyAlignment="1" applyProtection="1">
      <alignment horizontal="center" vertical="center" wrapText="1"/>
      <protection locked="0"/>
    </xf>
    <xf numFmtId="0" fontId="70" fillId="0" borderId="96" xfId="0" applyFont="1" applyBorder="1" applyAlignment="1" applyProtection="1">
      <alignment horizontal="center" vertical="center" wrapText="1"/>
      <protection locked="0"/>
    </xf>
    <xf numFmtId="0" fontId="70" fillId="0" borderId="100" xfId="0" applyFont="1" applyBorder="1" applyAlignment="1" applyProtection="1">
      <alignment horizontal="center" vertical="center" wrapText="1"/>
      <protection locked="0"/>
    </xf>
    <xf numFmtId="0" fontId="70" fillId="0" borderId="91" xfId="0" applyFont="1" applyBorder="1" applyAlignment="1" applyProtection="1">
      <alignment horizontal="center" vertical="center" wrapText="1"/>
      <protection locked="0"/>
    </xf>
    <xf numFmtId="2" fontId="70" fillId="0" borderId="100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26" fillId="0" borderId="81" xfId="0" applyFont="1" applyBorder="1" applyAlignment="1" applyProtection="1">
      <alignment horizontal="center" vertical="center"/>
      <protection locked="0"/>
    </xf>
    <xf numFmtId="0" fontId="26" fillId="0" borderId="80" xfId="0" applyFont="1" applyBorder="1" applyAlignment="1" applyProtection="1">
      <alignment horizontal="center" vertical="center"/>
      <protection locked="0"/>
    </xf>
    <xf numFmtId="0" fontId="26" fillId="0" borderId="81" xfId="0" applyFont="1" applyBorder="1" applyAlignment="1" applyProtection="1">
      <alignment horizontal="center" vertical="center" wrapText="1"/>
      <protection locked="0"/>
    </xf>
    <xf numFmtId="0" fontId="26" fillId="0" borderId="80" xfId="0" applyFont="1" applyBorder="1" applyAlignment="1" applyProtection="1">
      <alignment horizontal="center" vertical="center" wrapText="1"/>
      <protection locked="0"/>
    </xf>
    <xf numFmtId="0" fontId="26" fillId="0" borderId="102" xfId="0" applyFont="1" applyBorder="1" applyAlignment="1" applyProtection="1">
      <alignment horizontal="center" vertical="center" wrapText="1"/>
      <protection locked="0"/>
    </xf>
    <xf numFmtId="0" fontId="26" fillId="0" borderId="103" xfId="0" applyFont="1" applyBorder="1" applyAlignment="1" applyProtection="1">
      <alignment horizontal="center" vertical="center" wrapText="1"/>
      <protection locked="0"/>
    </xf>
    <xf numFmtId="0" fontId="26" fillId="0" borderId="20" xfId="0" applyFont="1" applyBorder="1" applyAlignment="1" applyProtection="1">
      <alignment horizontal="center" vertical="center" wrapText="1"/>
      <protection locked="0"/>
    </xf>
    <xf numFmtId="0" fontId="26" fillId="0" borderId="22" xfId="0" applyFont="1" applyBorder="1" applyAlignment="1" applyProtection="1">
      <alignment horizontal="center" vertical="center" wrapText="1"/>
      <protection locked="0"/>
    </xf>
    <xf numFmtId="0" fontId="70" fillId="0" borderId="98" xfId="0" applyFont="1" applyBorder="1" applyAlignment="1" applyProtection="1">
      <alignment horizontal="center" vertical="center"/>
      <protection locked="0"/>
    </xf>
    <xf numFmtId="0" fontId="53" fillId="0" borderId="0" xfId="0" applyFont="1" applyAlignment="1">
      <alignment horizontal="center"/>
    </xf>
    <xf numFmtId="0" fontId="8" fillId="6" borderId="82" xfId="0" applyFont="1" applyFill="1" applyBorder="1" applyProtection="1">
      <protection locked="0"/>
    </xf>
    <xf numFmtId="0" fontId="8" fillId="12" borderId="0" xfId="0" applyFont="1" applyFill="1" applyAlignment="1">
      <alignment horizontal="center"/>
    </xf>
    <xf numFmtId="0" fontId="8" fillId="12" borderId="19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7" fillId="12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0" fontId="12" fillId="12" borderId="0" xfId="0" applyFont="1" applyFill="1" applyAlignment="1">
      <alignment horizontal="left"/>
    </xf>
    <xf numFmtId="0" fontId="10" fillId="12" borderId="1" xfId="0" applyFont="1" applyFill="1" applyBorder="1"/>
    <xf numFmtId="0" fontId="8" fillId="12" borderId="82" xfId="0" applyFont="1" applyFill="1" applyBorder="1"/>
    <xf numFmtId="0" fontId="10" fillId="12" borderId="82" xfId="0" applyFont="1" applyFill="1" applyBorder="1"/>
    <xf numFmtId="0" fontId="8" fillId="6" borderId="18" xfId="0" applyFont="1" applyFill="1" applyBorder="1" applyProtection="1">
      <protection locked="0"/>
    </xf>
    <xf numFmtId="0" fontId="8" fillId="6" borderId="0" xfId="0" applyFont="1" applyFill="1" applyProtection="1">
      <protection locked="0"/>
    </xf>
    <xf numFmtId="0" fontId="58" fillId="12" borderId="0" xfId="0" applyFont="1" applyFill="1" applyAlignment="1">
      <alignment horizontal="left"/>
    </xf>
    <xf numFmtId="0" fontId="58" fillId="12" borderId="0" xfId="0" applyFont="1" applyFill="1" applyAlignment="1">
      <alignment horizontal="center"/>
    </xf>
    <xf numFmtId="0" fontId="6" fillId="12" borderId="0" xfId="0" applyFont="1" applyFill="1"/>
    <xf numFmtId="0" fontId="6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12" fillId="12" borderId="82" xfId="0" applyFont="1" applyFill="1" applyBorder="1" applyAlignment="1" applyProtection="1">
      <alignment horizontal="right"/>
      <protection locked="0"/>
    </xf>
    <xf numFmtId="2" fontId="12" fillId="12" borderId="82" xfId="0" applyNumberFormat="1" applyFont="1" applyFill="1" applyBorder="1" applyAlignment="1" applyProtection="1">
      <alignment horizontal="right"/>
      <protection locked="0"/>
    </xf>
    <xf numFmtId="0" fontId="16" fillId="12" borderId="0" xfId="0" applyFont="1" applyFill="1" applyAlignment="1">
      <alignment horizontal="center"/>
    </xf>
    <xf numFmtId="166" fontId="6" fillId="6" borderId="81" xfId="0" applyNumberFormat="1" applyFont="1" applyFill="1" applyBorder="1" applyAlignment="1" applyProtection="1">
      <alignment horizontal="center"/>
      <protection locked="0"/>
    </xf>
    <xf numFmtId="166" fontId="6" fillId="6" borderId="80" xfId="0" applyNumberFormat="1" applyFont="1" applyFill="1" applyBorder="1" applyAlignment="1" applyProtection="1">
      <alignment horizontal="center"/>
      <protection locked="0"/>
    </xf>
    <xf numFmtId="0" fontId="10" fillId="12" borderId="1" xfId="0" applyFont="1" applyFill="1" applyBorder="1" applyAlignment="1">
      <alignment horizontal="left"/>
    </xf>
    <xf numFmtId="0" fontId="12" fillId="12" borderId="0" xfId="0" applyFont="1" applyFill="1" applyAlignment="1">
      <alignment horizontal="center"/>
    </xf>
    <xf numFmtId="0" fontId="12" fillId="12" borderId="31" xfId="0" applyFont="1" applyFill="1" applyBorder="1" applyAlignment="1">
      <alignment horizontal="center" vertical="center"/>
    </xf>
    <xf numFmtId="0" fontId="12" fillId="12" borderId="32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right"/>
    </xf>
    <xf numFmtId="0" fontId="6" fillId="6" borderId="0" xfId="0" applyFont="1" applyFill="1" applyAlignment="1">
      <alignment horizontal="center"/>
    </xf>
    <xf numFmtId="0" fontId="12" fillId="12" borderId="1" xfId="0" applyFont="1" applyFill="1" applyBorder="1" applyAlignment="1">
      <alignment horizontal="center" vertical="center"/>
    </xf>
    <xf numFmtId="0" fontId="12" fillId="12" borderId="31" xfId="0" applyFont="1" applyFill="1" applyBorder="1" applyAlignment="1">
      <alignment horizontal="center"/>
    </xf>
    <xf numFmtId="0" fontId="12" fillId="12" borderId="30" xfId="0" applyFont="1" applyFill="1" applyBorder="1" applyAlignment="1">
      <alignment horizontal="center"/>
    </xf>
    <xf numFmtId="0" fontId="12" fillId="12" borderId="32" xfId="0" applyFont="1" applyFill="1" applyBorder="1" applyAlignment="1">
      <alignment horizontal="center"/>
    </xf>
    <xf numFmtId="0" fontId="24" fillId="12" borderId="0" xfId="0" applyFont="1" applyFill="1" applyAlignment="1">
      <alignment horizontal="center"/>
    </xf>
    <xf numFmtId="0" fontId="0" fillId="12" borderId="0" xfId="0" applyFill="1"/>
    <xf numFmtId="0" fontId="43" fillId="12" borderId="21" xfId="0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61" fillId="12" borderId="0" xfId="0" applyFont="1" applyFill="1"/>
    <xf numFmtId="0" fontId="9" fillId="6" borderId="30" xfId="0" applyFont="1" applyFill="1" applyBorder="1" applyAlignment="1" applyProtection="1">
      <alignment horizontal="left"/>
      <protection locked="0"/>
    </xf>
    <xf numFmtId="169" fontId="11" fillId="6" borderId="31" xfId="0" applyNumberFormat="1" applyFont="1" applyFill="1" applyBorder="1" applyAlignment="1" applyProtection="1">
      <alignment horizontal="center"/>
      <protection locked="0"/>
    </xf>
    <xf numFmtId="169" fontId="11" fillId="6" borderId="32" xfId="0" applyNumberFormat="1" applyFont="1" applyFill="1" applyBorder="1" applyAlignment="1" applyProtection="1">
      <alignment horizontal="center"/>
      <protection locked="0"/>
    </xf>
    <xf numFmtId="0" fontId="8" fillId="12" borderId="0" xfId="0" applyFont="1" applyFill="1"/>
    <xf numFmtId="0" fontId="61" fillId="12" borderId="30" xfId="0" applyFont="1" applyFill="1" applyBorder="1"/>
    <xf numFmtId="0" fontId="9" fillId="6" borderId="30" xfId="0" applyFont="1" applyFill="1" applyBorder="1" applyAlignment="1" applyProtection="1">
      <alignment horizontal="right"/>
      <protection locked="0"/>
    </xf>
    <xf numFmtId="0" fontId="58" fillId="12" borderId="30" xfId="0" applyFont="1" applyFill="1" applyBorder="1" applyAlignment="1">
      <alignment horizontal="left"/>
    </xf>
    <xf numFmtId="0" fontId="60" fillId="12" borderId="31" xfId="0" applyFont="1" applyFill="1" applyBorder="1" applyAlignment="1">
      <alignment horizontal="left"/>
    </xf>
    <xf numFmtId="0" fontId="60" fillId="12" borderId="30" xfId="0" applyFont="1" applyFill="1" applyBorder="1" applyAlignment="1">
      <alignment horizontal="left"/>
    </xf>
    <xf numFmtId="0" fontId="58" fillId="12" borderId="31" xfId="0" applyFont="1" applyFill="1" applyBorder="1" applyAlignment="1">
      <alignment horizontal="left"/>
    </xf>
    <xf numFmtId="0" fontId="14" fillId="6" borderId="0" xfId="0" applyFont="1" applyFill="1" applyAlignment="1" applyProtection="1">
      <alignment horizontal="left"/>
      <protection locked="0"/>
    </xf>
    <xf numFmtId="0" fontId="8" fillId="3" borderId="0" xfId="0" applyFont="1" applyFill="1" applyAlignment="1">
      <alignment horizontal="left"/>
    </xf>
    <xf numFmtId="49" fontId="11" fillId="12" borderId="0" xfId="0" applyNumberFormat="1" applyFont="1" applyFill="1" applyAlignment="1" applyProtection="1">
      <alignment horizontal="center"/>
      <protection locked="0"/>
    </xf>
    <xf numFmtId="0" fontId="12" fillId="12" borderId="30" xfId="0" applyFont="1" applyFill="1" applyBorder="1" applyAlignment="1">
      <alignment horizontal="left"/>
    </xf>
    <xf numFmtId="0" fontId="9" fillId="12" borderId="30" xfId="0" applyFont="1" applyFill="1" applyBorder="1" applyAlignment="1" applyProtection="1">
      <alignment horizontal="left"/>
      <protection locked="0"/>
    </xf>
    <xf numFmtId="0" fontId="8" fillId="8" borderId="0" xfId="0" applyFont="1" applyFill="1" applyAlignment="1">
      <alignment horizontal="center" vertical="center"/>
    </xf>
    <xf numFmtId="0" fontId="55" fillId="3" borderId="0" xfId="1" applyFont="1" applyFill="1" applyAlignment="1">
      <alignment horizontal="center"/>
    </xf>
    <xf numFmtId="0" fontId="30" fillId="4" borderId="73" xfId="0" applyFont="1" applyFill="1" applyBorder="1" applyAlignment="1">
      <alignment horizontal="center" vertical="center" wrapText="1"/>
    </xf>
    <xf numFmtId="0" fontId="30" fillId="4" borderId="9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 wrapText="1"/>
    </xf>
    <xf numFmtId="0" fontId="0" fillId="10" borderId="68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0" fillId="10" borderId="82" xfId="0" applyFill="1" applyBorder="1" applyAlignment="1">
      <alignment horizontal="center" vertical="center" wrapText="1"/>
    </xf>
    <xf numFmtId="0" fontId="52" fillId="0" borderId="21" xfId="1" applyFont="1" applyBorder="1" applyAlignment="1">
      <alignment horizontal="center"/>
    </xf>
    <xf numFmtId="0" fontId="52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10" borderId="81" xfId="0" applyFill="1" applyBorder="1" applyAlignment="1">
      <alignment horizontal="center" vertical="center"/>
    </xf>
    <xf numFmtId="0" fontId="0" fillId="10" borderId="80" xfId="0" applyFill="1" applyBorder="1" applyAlignment="1">
      <alignment horizontal="center" vertical="center"/>
    </xf>
    <xf numFmtId="0" fontId="51" fillId="0" borderId="81" xfId="0" applyFont="1" applyBorder="1" applyAlignment="1">
      <alignment horizontal="center" vertical="top"/>
    </xf>
    <xf numFmtId="0" fontId="51" fillId="0" borderId="84" xfId="0" applyFont="1" applyBorder="1" applyAlignment="1">
      <alignment horizontal="center" vertical="top"/>
    </xf>
    <xf numFmtId="0" fontId="51" fillId="0" borderId="80" xfId="0" applyFont="1" applyBorder="1" applyAlignment="1">
      <alignment horizontal="center" vertical="top"/>
    </xf>
    <xf numFmtId="0" fontId="8" fillId="4" borderId="73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2" fontId="9" fillId="0" borderId="42" xfId="0" applyNumberFormat="1" applyFont="1" applyBorder="1" applyAlignment="1">
      <alignment horizontal="center" vertical="center"/>
    </xf>
    <xf numFmtId="2" fontId="9" fillId="0" borderId="43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2" fontId="9" fillId="0" borderId="6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166" fontId="9" fillId="0" borderId="27" xfId="0" applyNumberFormat="1" applyFont="1" applyBorder="1" applyAlignment="1">
      <alignment horizontal="center" vertical="center"/>
    </xf>
    <xf numFmtId="166" fontId="9" fillId="0" borderId="25" xfId="0" applyNumberFormat="1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171" fontId="8" fillId="0" borderId="69" xfId="0" applyNumberFormat="1" applyFont="1" applyBorder="1" applyAlignment="1">
      <alignment horizontal="center" vertical="center"/>
    </xf>
    <xf numFmtId="171" fontId="8" fillId="0" borderId="50" xfId="0" applyNumberFormat="1" applyFont="1" applyBorder="1" applyAlignment="1">
      <alignment horizontal="center" vertical="center"/>
    </xf>
    <xf numFmtId="171" fontId="9" fillId="0" borderId="33" xfId="0" applyNumberFormat="1" applyFont="1" applyBorder="1" applyAlignment="1">
      <alignment horizontal="center" vertical="center"/>
    </xf>
    <xf numFmtId="171" fontId="9" fillId="0" borderId="58" xfId="0" applyNumberFormat="1" applyFont="1" applyBorder="1" applyAlignment="1">
      <alignment horizontal="center" vertical="center"/>
    </xf>
    <xf numFmtId="166" fontId="8" fillId="0" borderId="77" xfId="0" applyNumberFormat="1" applyFont="1" applyBorder="1" applyAlignment="1">
      <alignment horizontal="center" vertical="center"/>
    </xf>
    <xf numFmtId="166" fontId="8" fillId="0" borderId="79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66" fontId="9" fillId="0" borderId="9" xfId="0" applyNumberFormat="1" applyFont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8" fillId="4" borderId="2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71" fontId="9" fillId="0" borderId="75" xfId="0" applyNumberFormat="1" applyFont="1" applyBorder="1" applyAlignment="1">
      <alignment horizontal="center" vertical="center"/>
    </xf>
    <xf numFmtId="171" fontId="8" fillId="0" borderId="72" xfId="0" applyNumberFormat="1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/>
    </xf>
    <xf numFmtId="168" fontId="9" fillId="0" borderId="11" xfId="0" applyNumberFormat="1" applyFont="1" applyBorder="1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78" xfId="0" applyFont="1" applyBorder="1" applyAlignment="1">
      <alignment horizontal="center" wrapText="1"/>
    </xf>
    <xf numFmtId="0" fontId="39" fillId="3" borderId="0" xfId="0" applyFont="1" applyFill="1" applyAlignment="1">
      <alignment horizontal="center"/>
    </xf>
    <xf numFmtId="2" fontId="0" fillId="13" borderId="19" xfId="0" applyNumberFormat="1" applyFill="1" applyBorder="1" applyAlignment="1">
      <alignment vertical="center"/>
    </xf>
    <xf numFmtId="2" fontId="0" fillId="13" borderId="22" xfId="0" applyNumberFormat="1" applyFill="1" applyBorder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62" fillId="0" borderId="82" xfId="3" applyFont="1" applyBorder="1" applyAlignment="1">
      <alignment horizontal="center" vertical="center"/>
    </xf>
    <xf numFmtId="169" fontId="62" fillId="0" borderId="82" xfId="3" applyNumberFormat="1" applyFont="1" applyBorder="1" applyAlignment="1">
      <alignment horizontal="center" vertical="center"/>
    </xf>
    <xf numFmtId="0" fontId="54" fillId="0" borderId="0" xfId="2" applyFont="1" applyAlignment="1">
      <alignment horizontal="left"/>
    </xf>
    <xf numFmtId="49" fontId="54" fillId="0" borderId="0" xfId="2" applyNumberFormat="1" applyFont="1" applyAlignment="1">
      <alignment horizontal="left" vertical="center"/>
    </xf>
    <xf numFmtId="0" fontId="54" fillId="0" borderId="0" xfId="2" applyFont="1" applyAlignment="1">
      <alignment horizontal="left" vertical="center"/>
    </xf>
    <xf numFmtId="166" fontId="6" fillId="0" borderId="82" xfId="0" applyNumberFormat="1" applyFont="1" applyBorder="1" applyAlignment="1">
      <alignment horizontal="center" vertical="center"/>
    </xf>
    <xf numFmtId="0" fontId="63" fillId="0" borderId="0" xfId="2" applyFont="1" applyAlignment="1">
      <alignment horizontal="left"/>
    </xf>
    <xf numFmtId="166" fontId="54" fillId="0" borderId="0" xfId="2" applyNumberFormat="1" applyFont="1" applyAlignment="1">
      <alignment horizontal="center"/>
    </xf>
    <xf numFmtId="0" fontId="8" fillId="0" borderId="82" xfId="0" applyFont="1" applyBorder="1" applyAlignment="1">
      <alignment horizontal="center" vertical="center"/>
    </xf>
    <xf numFmtId="0" fontId="63" fillId="0" borderId="0" xfId="2" applyFont="1" applyAlignment="1">
      <alignment horizontal="left" vertical="center"/>
    </xf>
    <xf numFmtId="169" fontId="54" fillId="0" borderId="0" xfId="2" applyNumberFormat="1" applyFont="1" applyAlignment="1">
      <alignment horizontal="left" vertical="center"/>
    </xf>
    <xf numFmtId="0" fontId="30" fillId="0" borderId="82" xfId="0" applyFont="1" applyBorder="1" applyAlignment="1">
      <alignment horizontal="center" vertical="center" wrapText="1"/>
    </xf>
    <xf numFmtId="0" fontId="8" fillId="0" borderId="82" xfId="0" applyFont="1" applyBorder="1" applyAlignment="1">
      <alignment horizontal="center" vertical="center" wrapText="1"/>
    </xf>
    <xf numFmtId="0" fontId="54" fillId="0" borderId="0" xfId="2" applyFont="1" applyAlignment="1">
      <alignment horizontal="justify" vertical="top" wrapText="1"/>
    </xf>
    <xf numFmtId="0" fontId="54" fillId="0" borderId="0" xfId="2" applyFont="1" applyAlignment="1">
      <alignment horizontal="right"/>
    </xf>
    <xf numFmtId="0" fontId="54" fillId="0" borderId="0" xfId="2" applyFont="1" applyAlignment="1">
      <alignment horizontal="center"/>
    </xf>
    <xf numFmtId="0" fontId="54" fillId="0" borderId="83" xfId="2" applyFont="1" applyBorder="1" applyAlignment="1">
      <alignment horizontal="center" vertical="center"/>
    </xf>
    <xf numFmtId="0" fontId="54" fillId="0" borderId="0" xfId="2" applyFont="1" applyAlignment="1">
      <alignment horizontal="center" vertical="center"/>
    </xf>
    <xf numFmtId="0" fontId="62" fillId="0" borderId="0" xfId="2" applyFont="1" applyAlignment="1">
      <alignment horizontal="center"/>
    </xf>
    <xf numFmtId="0" fontId="5" fillId="0" borderId="81" xfId="2" applyBorder="1" applyAlignment="1">
      <alignment horizontal="center"/>
    </xf>
    <xf numFmtId="0" fontId="5" fillId="0" borderId="84" xfId="2" applyBorder="1" applyAlignment="1">
      <alignment horizontal="center"/>
    </xf>
    <xf numFmtId="0" fontId="5" fillId="0" borderId="80" xfId="2" applyBorder="1" applyAlignment="1">
      <alignment horizontal="center"/>
    </xf>
    <xf numFmtId="0" fontId="6" fillId="0" borderId="82" xfId="0" applyFont="1" applyBorder="1" applyAlignment="1">
      <alignment horizontal="center"/>
    </xf>
    <xf numFmtId="2" fontId="6" fillId="0" borderId="82" xfId="0" applyNumberFormat="1" applyFont="1" applyBorder="1" applyAlignment="1">
      <alignment horizontal="center" vertical="center"/>
    </xf>
    <xf numFmtId="1" fontId="6" fillId="0" borderId="82" xfId="0" applyNumberFormat="1" applyFont="1" applyBorder="1" applyAlignment="1">
      <alignment horizontal="center" vertical="center"/>
    </xf>
    <xf numFmtId="0" fontId="8" fillId="0" borderId="82" xfId="0" applyFont="1" applyBorder="1" applyAlignment="1">
      <alignment horizontal="center"/>
    </xf>
    <xf numFmtId="166" fontId="8" fillId="0" borderId="82" xfId="0" applyNumberFormat="1" applyFont="1" applyBorder="1" applyAlignment="1">
      <alignment horizontal="center" vertical="center"/>
    </xf>
    <xf numFmtId="173" fontId="8" fillId="0" borderId="82" xfId="0" applyNumberFormat="1" applyFont="1" applyBorder="1" applyAlignment="1">
      <alignment horizontal="center" vertical="center"/>
    </xf>
    <xf numFmtId="0" fontId="64" fillId="14" borderId="82" xfId="2" applyFont="1" applyFill="1" applyBorder="1" applyAlignment="1">
      <alignment horizontal="center" vertical="center"/>
    </xf>
    <xf numFmtId="0" fontId="8" fillId="0" borderId="81" xfId="0" applyFont="1" applyBorder="1" applyAlignment="1">
      <alignment horizontal="center" vertical="center" wrapText="1"/>
    </xf>
    <xf numFmtId="0" fontId="8" fillId="0" borderId="84" xfId="0" applyFont="1" applyBorder="1" applyAlignment="1">
      <alignment horizontal="center" vertical="center" wrapText="1"/>
    </xf>
    <xf numFmtId="0" fontId="8" fillId="0" borderId="80" xfId="0" applyFont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/>
    </xf>
    <xf numFmtId="0" fontId="30" fillId="0" borderId="81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center" vertical="center" wrapText="1"/>
    </xf>
    <xf numFmtId="0" fontId="30" fillId="0" borderId="80" xfId="0" applyFont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/>
    </xf>
    <xf numFmtId="165" fontId="6" fillId="0" borderId="82" xfId="0" applyNumberFormat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17" fillId="0" borderId="68" xfId="1" applyFont="1" applyBorder="1" applyAlignment="1">
      <alignment horizontal="center" vertical="center"/>
    </xf>
    <xf numFmtId="0" fontId="17" fillId="0" borderId="25" xfId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00000000-0005-0000-0000-000003000000}"/>
    <cellStyle name="Normal 4" xfId="3" xr:uid="{00000000-0005-0000-0000-000004000000}"/>
    <cellStyle name="Normal 5" xfId="4" xr:uid="{00000000-0005-0000-0000-000005000000}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'Datos de Clientes'!$B$1" fmlaRange="'Datos de Clientes'!$B$3:$B$7" noThreeD="1" sel="2" val="0"/>
</file>

<file path=xl/ctrlProps/ctrlProp10.xml><?xml version="1.0" encoding="utf-8"?>
<formControlPr xmlns="http://schemas.microsoft.com/office/spreadsheetml/2009/9/main" objectType="Drop" dropStyle="combo" dx="16" fmlaLink="'Datos Patrones'!$L$48" fmlaRange="'Datos Patrones'!$B$7:$B$60" noThreeD="1" sel="30" val="0"/>
</file>

<file path=xl/ctrlProps/ctrlProp11.xml><?xml version="1.0" encoding="utf-8"?>
<formControlPr xmlns="http://schemas.microsoft.com/office/spreadsheetml/2009/9/main" objectType="Drop" dropStyle="combo" dx="16" fmlaLink="'Datos Patrones'!$P$6" fmlaRange="'Datos Patrones'!$B$44:$E$50" noThreeD="1" sel="1" val="0"/>
</file>

<file path=xl/ctrlProps/ctrlProp12.xml><?xml version="1.0" encoding="utf-8"?>
<formControlPr xmlns="http://schemas.microsoft.com/office/spreadsheetml/2009/9/main" objectType="Drop" dropStyle="combo" dx="16" fmlaLink="'Datos Patrones'!$P$13" fmlaRange="'Datos Patrones'!$B$44:$E$50" noThreeD="1" sel="1" val="0"/>
</file>

<file path=xl/ctrlProps/ctrlProp13.xml><?xml version="1.0" encoding="utf-8"?>
<formControlPr xmlns="http://schemas.microsoft.com/office/spreadsheetml/2009/9/main" objectType="Drop" dropStyle="combo" dx="16" fmlaLink="'Datos Patrones'!$P$20" fmlaRange="'Datos Patrones'!$B$44:$E$50" noThreeD="1" sel="1" val="0"/>
</file>

<file path=xl/ctrlProps/ctrlProp14.xml><?xml version="1.0" encoding="utf-8"?>
<formControlPr xmlns="http://schemas.microsoft.com/office/spreadsheetml/2009/9/main" objectType="Drop" dropStyle="combo" dx="16" fmlaLink="'Datos Patrones'!$T$6" fmlaRange="'Datos Patrones'!$B$7:$B$60" noThreeD="1" sel="30" val="16"/>
</file>

<file path=xl/ctrlProps/ctrlProp15.xml><?xml version="1.0" encoding="utf-8"?>
<formControlPr xmlns="http://schemas.microsoft.com/office/spreadsheetml/2009/9/main" objectType="Drop" dropStyle="combo" dx="16" fmlaLink="'Datos Patrones'!$U$6" fmlaRange="'Datos Patrones'!$B$7:$B$60" noThreeD="1" sel="30" val="27"/>
</file>

<file path=xl/ctrlProps/ctrlProp16.xml><?xml version="1.0" encoding="utf-8"?>
<formControlPr xmlns="http://schemas.microsoft.com/office/spreadsheetml/2009/9/main" objectType="Drop" dropStyle="combo" dx="16" fmlaLink="'Datos Patrones'!$V$6" fmlaRange="'Datos Patrones'!$B$7:$B$60" noThreeD="1" sel="30" val="28"/>
</file>

<file path=xl/ctrlProps/ctrlProp17.xml><?xml version="1.0" encoding="utf-8"?>
<formControlPr xmlns="http://schemas.microsoft.com/office/spreadsheetml/2009/9/main" objectType="Drop" dropStyle="combo" dx="16" fmlaLink="'Datos Patrones'!$T$14" fmlaRange="'Datos Patrones'!$B$7:$B$60" noThreeD="1" sel="30" val="16"/>
</file>

<file path=xl/ctrlProps/ctrlProp18.xml><?xml version="1.0" encoding="utf-8"?>
<formControlPr xmlns="http://schemas.microsoft.com/office/spreadsheetml/2009/9/main" objectType="Drop" dropStyle="combo" dx="16" fmlaLink="'Datos Patrones'!$T$22" fmlaRange="'Datos Patrones'!$B$7:$B$60" noThreeD="1" sel="30" val="21"/>
</file>

<file path=xl/ctrlProps/ctrlProp19.xml><?xml version="1.0" encoding="utf-8"?>
<formControlPr xmlns="http://schemas.microsoft.com/office/spreadsheetml/2009/9/main" objectType="Drop" dropStyle="combo" dx="16" fmlaLink="'Datos Patrones'!$T$30" fmlaRange="'Datos Patrones'!$B$7:$B$60" noThreeD="1" sel="30" val="19"/>
</file>

<file path=xl/ctrlProps/ctrlProp2.xml><?xml version="1.0" encoding="utf-8"?>
<formControlPr xmlns="http://schemas.microsoft.com/office/spreadsheetml/2009/9/main" objectType="Drop" dropStyle="combo" dx="16" fmlaLink="'Datos de Clientes'!$C$1" fmlaRange="'Datos de Clientes'!$C$3:$C$7" noThreeD="1" sel="1" val="0"/>
</file>

<file path=xl/ctrlProps/ctrlProp20.xml><?xml version="1.0" encoding="utf-8"?>
<formControlPr xmlns="http://schemas.microsoft.com/office/spreadsheetml/2009/9/main" objectType="Drop" dropStyle="combo" dx="16" fmlaLink="'Datos Patrones'!$T$38" fmlaRange="'Datos Patrones'!$B$7:$B$60" noThreeD="1" sel="30" val="23"/>
</file>

<file path=xl/ctrlProps/ctrlProp21.xml><?xml version="1.0" encoding="utf-8"?>
<formControlPr xmlns="http://schemas.microsoft.com/office/spreadsheetml/2009/9/main" objectType="Drop" dropStyle="combo" dx="16" fmlaLink="'Datos Patrones'!$T$46" fmlaRange="'Datos Patrones'!$B$7:$B$60" noThreeD="1" sel="30" val="23"/>
</file>

<file path=xl/ctrlProps/ctrlProp22.xml><?xml version="1.0" encoding="utf-8"?>
<formControlPr xmlns="http://schemas.microsoft.com/office/spreadsheetml/2009/9/main" objectType="Drop" dropStyle="combo" dx="16" fmlaLink="'Datos Patrones'!$U$14" fmlaRange="'Datos Patrones'!$B$7:$B$60" noThreeD="1" sel="30" val="28"/>
</file>

<file path=xl/ctrlProps/ctrlProp23.xml><?xml version="1.0" encoding="utf-8"?>
<formControlPr xmlns="http://schemas.microsoft.com/office/spreadsheetml/2009/9/main" objectType="Drop" dropStyle="combo" dx="16" fmlaLink="'Datos Patrones'!$U$22" fmlaRange="'Datos Patrones'!$B$7:$B$60" noThreeD="1" sel="30" val="23"/>
</file>

<file path=xl/ctrlProps/ctrlProp24.xml><?xml version="1.0" encoding="utf-8"?>
<formControlPr xmlns="http://schemas.microsoft.com/office/spreadsheetml/2009/9/main" objectType="Drop" dropStyle="combo" dx="16" fmlaLink="'Datos Patrones'!$U$30" fmlaRange="'Datos Patrones'!$B$7:$B$60" noThreeD="1" sel="30" val="24"/>
</file>

<file path=xl/ctrlProps/ctrlProp25.xml><?xml version="1.0" encoding="utf-8"?>
<formControlPr xmlns="http://schemas.microsoft.com/office/spreadsheetml/2009/9/main" objectType="Drop" dropStyle="combo" dx="16" fmlaLink="'Datos Patrones'!$U$38" fmlaRange="'Datos Patrones'!$B$7:$B$60" noThreeD="1" sel="30" val="28"/>
</file>

<file path=xl/ctrlProps/ctrlProp26.xml><?xml version="1.0" encoding="utf-8"?>
<formControlPr xmlns="http://schemas.microsoft.com/office/spreadsheetml/2009/9/main" objectType="Drop" dropStyle="combo" dx="16" fmlaLink="'Datos Patrones'!$U$46" fmlaRange="'Datos Patrones'!$B$7:$B$60" noThreeD="1" sel="30" val="23"/>
</file>

<file path=xl/ctrlProps/ctrlProp27.xml><?xml version="1.0" encoding="utf-8"?>
<formControlPr xmlns="http://schemas.microsoft.com/office/spreadsheetml/2009/9/main" objectType="Drop" dropStyle="combo" dx="16" fmlaLink="'Datos Patrones'!$V$14" fmlaRange="'Datos Patrones'!$B$7:$B$60" noThreeD="1" sel="30" val="24"/>
</file>

<file path=xl/ctrlProps/ctrlProp28.xml><?xml version="1.0" encoding="utf-8"?>
<formControlPr xmlns="http://schemas.microsoft.com/office/spreadsheetml/2009/9/main" objectType="Drop" dropStyle="combo" dx="16" fmlaLink="'Datos Patrones'!$V$22" fmlaRange="'Datos Patrones'!$B$7:$B$60" noThreeD="1" sel="30" val="27"/>
</file>

<file path=xl/ctrlProps/ctrlProp29.xml><?xml version="1.0" encoding="utf-8"?>
<formControlPr xmlns="http://schemas.microsoft.com/office/spreadsheetml/2009/9/main" objectType="Drop" dropStyle="combo" dx="16" fmlaLink="'Datos Patrones'!$V$30" fmlaRange="'Datos Patrones'!$B$7:$B$60" noThreeD="1" sel="30" val="24"/>
</file>

<file path=xl/ctrlProps/ctrlProp3.xml><?xml version="1.0" encoding="utf-8"?>
<formControlPr xmlns="http://schemas.microsoft.com/office/spreadsheetml/2009/9/main" objectType="Drop" dropStyle="combo" dx="16" fmlaLink="'Datos de Clientes'!$F$1" fmlaRange="'Datos de Clientes'!$F$3:$F$4" noThreeD="1" sel="1" val="0"/>
</file>

<file path=xl/ctrlProps/ctrlProp30.xml><?xml version="1.0" encoding="utf-8"?>
<formControlPr xmlns="http://schemas.microsoft.com/office/spreadsheetml/2009/9/main" objectType="Drop" dropStyle="combo" dx="16" fmlaLink="'Datos Patrones'!$V$38" fmlaRange="'Datos Patrones'!$B$7:$B$60" noThreeD="1" sel="30" val="24"/>
</file>

<file path=xl/ctrlProps/ctrlProp31.xml><?xml version="1.0" encoding="utf-8"?>
<formControlPr xmlns="http://schemas.microsoft.com/office/spreadsheetml/2009/9/main" objectType="Drop" dropStyle="combo" dx="16" fmlaLink="'Datos Patrones'!$V$46" fmlaRange="'Datos Patrones'!$B$7:$B$60" noThreeD="1" sel="30" val="24"/>
</file>

<file path=xl/ctrlProps/ctrlProp32.xml><?xml version="1.0" encoding="utf-8"?>
<formControlPr xmlns="http://schemas.microsoft.com/office/spreadsheetml/2009/9/main" objectType="Drop" dropStyle="combo" dx="16" fmlaLink="'Datos Patrones'!$W$6" fmlaRange="'Datos Patrones'!$B$7:$B$60" noThreeD="1" sel="30" val="28"/>
</file>

<file path=xl/ctrlProps/ctrlProp33.xml><?xml version="1.0" encoding="utf-8"?>
<formControlPr xmlns="http://schemas.microsoft.com/office/spreadsheetml/2009/9/main" objectType="Drop" dropStyle="combo" dx="16" fmlaLink="'Datos Patrones'!$W$14" fmlaRange="'Datos Patrones'!$B$7:$B$60" noThreeD="1" sel="30" val="24"/>
</file>

<file path=xl/ctrlProps/ctrlProp34.xml><?xml version="1.0" encoding="utf-8"?>
<formControlPr xmlns="http://schemas.microsoft.com/office/spreadsheetml/2009/9/main" objectType="Drop" dropStyle="combo" dx="16" fmlaLink="'Datos Patrones'!$W$22" fmlaRange="'Datos Patrones'!$B$7:$B$60" noThreeD="1" sel="30" val="24"/>
</file>

<file path=xl/ctrlProps/ctrlProp35.xml><?xml version="1.0" encoding="utf-8"?>
<formControlPr xmlns="http://schemas.microsoft.com/office/spreadsheetml/2009/9/main" objectType="Drop" dropStyle="combo" dx="16" fmlaLink="'Datos Patrones'!$W$30" fmlaRange="'Datos Patrones'!$B$7:$B$60" noThreeD="1" sel="30" val="23"/>
</file>

<file path=xl/ctrlProps/ctrlProp36.xml><?xml version="1.0" encoding="utf-8"?>
<formControlPr xmlns="http://schemas.microsoft.com/office/spreadsheetml/2009/9/main" objectType="Drop" dropStyle="combo" dx="16" fmlaLink="'Datos Patrones'!$W$38" fmlaRange="'Datos Patrones'!$B$7:$B$60" noThreeD="1" sel="30" val="24"/>
</file>

<file path=xl/ctrlProps/ctrlProp37.xml><?xml version="1.0" encoding="utf-8"?>
<formControlPr xmlns="http://schemas.microsoft.com/office/spreadsheetml/2009/9/main" objectType="Drop" dropStyle="combo" dx="16" fmlaLink="'Datos Patrones'!$W$46" fmlaRange="'Datos Patrones'!$B$7:$B$60" noThreeD="1" sel="30" val="24"/>
</file>

<file path=xl/ctrlProps/ctrlProp38.xml><?xml version="1.0" encoding="utf-8"?>
<formControlPr xmlns="http://schemas.microsoft.com/office/spreadsheetml/2009/9/main" objectType="Drop" dropStyle="combo" dx="16" fmlaLink="$S$52" fmlaRange="$S$55:$S$59" noThreeD="1" sel="2" val="0"/>
</file>

<file path=xl/ctrlProps/ctrlProp39.xml><?xml version="1.0" encoding="utf-8"?>
<formControlPr xmlns="http://schemas.microsoft.com/office/spreadsheetml/2009/9/main" objectType="Drop" dropStyle="combo" dx="16" fmlaLink="'Datos Patrones'!$M$6" fmlaRange="'Datos Patrones'!$B$7:$B$60" noThreeD="1" sel="30" val="24"/>
</file>

<file path=xl/ctrlProps/ctrlProp4.xml><?xml version="1.0" encoding="utf-8"?>
<formControlPr xmlns="http://schemas.microsoft.com/office/spreadsheetml/2009/9/main" objectType="Drop" dropStyle="combo" dx="16" fmlaLink="'Datos Patrones'!$L$6" fmlaRange="'Datos Patrones'!$B$7:$B$60" noThreeD="1" sel="30" val="23"/>
</file>

<file path=xl/ctrlProps/ctrlProp40.xml><?xml version="1.0" encoding="utf-8"?>
<formControlPr xmlns="http://schemas.microsoft.com/office/spreadsheetml/2009/9/main" objectType="Drop" dropStyle="combo" dx="16" fmlaLink="'Datos Patrones'!$M$13" fmlaRange="'Datos Patrones'!$B$7:$B$60" noThreeD="1" sel="30" val="24"/>
</file>

<file path=xl/ctrlProps/ctrlProp41.xml><?xml version="1.0" encoding="utf-8"?>
<formControlPr xmlns="http://schemas.microsoft.com/office/spreadsheetml/2009/9/main" objectType="Drop" dropStyle="combo" dx="16" fmlaLink="'Datos Patrones'!$M$20" fmlaRange="'Datos Patrones'!$B$7:$B$60" noThreeD="1" sel="30" val="24"/>
</file>

<file path=xl/ctrlProps/ctrlProp42.xml><?xml version="1.0" encoding="utf-8"?>
<formControlPr xmlns="http://schemas.microsoft.com/office/spreadsheetml/2009/9/main" objectType="Drop" dropStyle="combo" dx="16" fmlaLink="'Datos Patrones'!$M$27" fmlaRange="'Datos Patrones'!$B$7:$B$60" noThreeD="1" sel="30" val="28"/>
</file>

<file path=xl/ctrlProps/ctrlProp43.xml><?xml version="1.0" encoding="utf-8"?>
<formControlPr xmlns="http://schemas.microsoft.com/office/spreadsheetml/2009/9/main" objectType="Drop" dropStyle="combo" dx="16" fmlaLink="'Datos Patrones'!$M$34" fmlaRange="'Datos Patrones'!$B$7:$B$60" noThreeD="1" sel="30" val="27"/>
</file>

<file path=xl/ctrlProps/ctrlProp44.xml><?xml version="1.0" encoding="utf-8"?>
<formControlPr xmlns="http://schemas.microsoft.com/office/spreadsheetml/2009/9/main" objectType="Drop" dropStyle="combo" dx="16" fmlaLink="'Datos Patrones'!$M$41" fmlaRange="'Datos Patrones'!$B$7:$B$60" noThreeD="1" sel="30" val="24"/>
</file>

<file path=xl/ctrlProps/ctrlProp45.xml><?xml version="1.0" encoding="utf-8"?>
<formControlPr xmlns="http://schemas.microsoft.com/office/spreadsheetml/2009/9/main" objectType="Drop" dropStyle="combo" dx="16" fmlaLink="'Datos Patrones'!$M$48" fmlaRange="'Datos Patrones'!$B$7:$B$60" noThreeD="1" sel="30" val="0"/>
</file>

<file path=xl/ctrlProps/ctrlProp46.xml><?xml version="1.0" encoding="utf-8"?>
<formControlPr xmlns="http://schemas.microsoft.com/office/spreadsheetml/2009/9/main" objectType="Drop" dropStyle="combo" dx="16" fmlaLink="'Datos Patrones'!$N$34" fmlaRange="'Datos Patrones'!$B$7:$B$60" noThreeD="1" sel="30" val="24"/>
</file>

<file path=xl/ctrlProps/ctrlProp47.xml><?xml version="1.0" encoding="utf-8"?>
<formControlPr xmlns="http://schemas.microsoft.com/office/spreadsheetml/2009/9/main" objectType="Drop" dropStyle="combo" dx="16" fmlaLink="'Datos Patrones'!$N$41" fmlaRange="'Datos Patrones'!$B$7:$B$60" noThreeD="1" sel="30" val="24"/>
</file>

<file path=xl/ctrlProps/ctrlProp48.xml><?xml version="1.0" encoding="utf-8"?>
<formControlPr xmlns="http://schemas.microsoft.com/office/spreadsheetml/2009/9/main" objectType="Drop" dropStyle="combo" dx="16" fmlaLink="'Datos Patrones'!$N$48" fmlaRange="'Datos Patrones'!$B$7:$B$60" noThreeD="1" sel="30" val="0"/>
</file>

<file path=xl/ctrlProps/ctrlProp5.xml><?xml version="1.0" encoding="utf-8"?>
<formControlPr xmlns="http://schemas.microsoft.com/office/spreadsheetml/2009/9/main" objectType="Drop" dropStyle="combo" dx="16" fmlaLink="'Datos Patrones'!$L$13" fmlaRange="'Datos Patrones'!$B$7:$B$60" noThreeD="1" sel="30" val="26"/>
</file>

<file path=xl/ctrlProps/ctrlProp6.xml><?xml version="1.0" encoding="utf-8"?>
<formControlPr xmlns="http://schemas.microsoft.com/office/spreadsheetml/2009/9/main" objectType="Drop" dropStyle="combo" dx="16" fmlaLink="'Datos Patrones'!$L$20" fmlaRange="'Datos Patrones'!$B$7:$B$60" noThreeD="1" sel="30" val="0"/>
</file>

<file path=xl/ctrlProps/ctrlProp7.xml><?xml version="1.0" encoding="utf-8"?>
<formControlPr xmlns="http://schemas.microsoft.com/office/spreadsheetml/2009/9/main" objectType="Drop" dropStyle="combo" dx="16" fmlaLink="'Datos Patrones'!$L$27" fmlaRange="'Datos Patrones'!$B$7:$B$60" noThreeD="1" sel="30" val="21"/>
</file>

<file path=xl/ctrlProps/ctrlProp8.xml><?xml version="1.0" encoding="utf-8"?>
<formControlPr xmlns="http://schemas.microsoft.com/office/spreadsheetml/2009/9/main" objectType="Drop" dropStyle="combo" dx="16" fmlaLink="'Datos Patrones'!$L$34" fmlaRange="'Datos Patrones'!$B$7:$B$60" noThreeD="1" sel="30" val="22"/>
</file>

<file path=xl/ctrlProps/ctrlProp9.xml><?xml version="1.0" encoding="utf-8"?>
<formControlPr xmlns="http://schemas.microsoft.com/office/spreadsheetml/2009/9/main" objectType="Drop" dropStyle="combo" dx="16" fmlaLink="'Datos Patrones'!$L$41" fmlaRange="'Datos Patrones'!$B$7:$B$60" noThreeD="1" sel="30" val="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286920</xdr:colOff>
      <xdr:row>13</xdr:row>
      <xdr:rowOff>126996</xdr:rowOff>
    </xdr:from>
    <xdr:to>
      <xdr:col>5</xdr:col>
      <xdr:colOff>166344</xdr:colOff>
      <xdr:row>29</xdr:row>
      <xdr:rowOff>101000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6920" y="2306316"/>
          <a:ext cx="2927424" cy="26562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472440</xdr:colOff>
      <xdr:row>15</xdr:row>
      <xdr:rowOff>62450</xdr:rowOff>
    </xdr:from>
    <xdr:to>
      <xdr:col>3</xdr:col>
      <xdr:colOff>580963</xdr:colOff>
      <xdr:row>18</xdr:row>
      <xdr:rowOff>129540</xdr:rowOff>
    </xdr:to>
    <xdr:sp macro="[0]!AlAbrirLibro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82040" y="2577050"/>
          <a:ext cx="1327723" cy="570010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Técnico en</a:t>
          </a:r>
          <a:r>
            <a:rPr lang="en-US" sz="12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Calibración</a:t>
          </a:r>
          <a:endParaRPr lang="en-US" sz="12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436182</xdr:colOff>
      <xdr:row>20</xdr:row>
      <xdr:rowOff>5524</xdr:rowOff>
    </xdr:from>
    <xdr:to>
      <xdr:col>3</xdr:col>
      <xdr:colOff>579119</xdr:colOff>
      <xdr:row>23</xdr:row>
      <xdr:rowOff>91440</xdr:rowOff>
    </xdr:to>
    <xdr:sp macro="[0]!AlAbrirLibro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45782" y="3358324"/>
          <a:ext cx="1362137" cy="588836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Asistente Técnico</a:t>
          </a:r>
          <a:endParaRPr lang="en-US" sz="1200" b="1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436182</xdr:colOff>
      <xdr:row>24</xdr:row>
      <xdr:rowOff>131030</xdr:rowOff>
    </xdr:from>
    <xdr:to>
      <xdr:col>3</xdr:col>
      <xdr:colOff>571499</xdr:colOff>
      <xdr:row>28</xdr:row>
      <xdr:rowOff>30480</xdr:rowOff>
    </xdr:to>
    <xdr:sp macro="[0]!AlAbrirLibro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45782" y="4154390"/>
          <a:ext cx="1354517" cy="570010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Director</a:t>
          </a:r>
          <a:r>
            <a:rPr lang="en-US" sz="1200" b="1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Técnico</a:t>
          </a:r>
          <a:endParaRPr lang="en-US" sz="1200" b="1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527038</xdr:colOff>
      <xdr:row>12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75038" cy="2103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845820</xdr:colOff>
          <xdr:row>8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7</xdr:row>
          <xdr:rowOff>0</xdr:rowOff>
        </xdr:from>
        <xdr:to>
          <xdr:col>14</xdr:col>
          <xdr:colOff>45720</xdr:colOff>
          <xdr:row>8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845820</xdr:colOff>
          <xdr:row>11</xdr:row>
          <xdr:rowOff>0</xdr:rowOff>
        </xdr:to>
        <xdr:sp macro="" textlink="">
          <xdr:nvSpPr>
            <xdr:cNvPr id="5241" name="Drop Down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4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18</xdr:row>
      <xdr:rowOff>38100</xdr:rowOff>
    </xdr:from>
    <xdr:to>
      <xdr:col>10</xdr:col>
      <xdr:colOff>428625</xdr:colOff>
      <xdr:row>18</xdr:row>
      <xdr:rowOff>38100</xdr:rowOff>
    </xdr:to>
    <xdr:sp macro="" textlink="">
      <xdr:nvSpPr>
        <xdr:cNvPr id="419519" name="Line 96">
          <a:extLst>
            <a:ext uri="{FF2B5EF4-FFF2-40B4-BE49-F238E27FC236}">
              <a16:creationId xmlns:a16="http://schemas.microsoft.com/office/drawing/2014/main" id="{00000000-0008-0000-0500-0000BF660600}"/>
            </a:ext>
          </a:extLst>
        </xdr:cNvPr>
        <xdr:cNvSpPr>
          <a:spLocks noChangeShapeType="1"/>
        </xdr:cNvSpPr>
      </xdr:nvSpPr>
      <xdr:spPr bwMode="auto">
        <a:xfrm>
          <a:off x="8020050" y="3257550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342900</xdr:colOff>
      <xdr:row>46</xdr:row>
      <xdr:rowOff>28575</xdr:rowOff>
    </xdr:from>
    <xdr:to>
      <xdr:col>10</xdr:col>
      <xdr:colOff>428625</xdr:colOff>
      <xdr:row>46</xdr:row>
      <xdr:rowOff>28575</xdr:rowOff>
    </xdr:to>
    <xdr:sp macro="" textlink="">
      <xdr:nvSpPr>
        <xdr:cNvPr id="419520" name="Line 97">
          <a:extLst>
            <a:ext uri="{FF2B5EF4-FFF2-40B4-BE49-F238E27FC236}">
              <a16:creationId xmlns:a16="http://schemas.microsoft.com/office/drawing/2014/main" id="{00000000-0008-0000-0500-0000C0660600}"/>
            </a:ext>
          </a:extLst>
        </xdr:cNvPr>
        <xdr:cNvSpPr>
          <a:spLocks noChangeShapeType="1"/>
        </xdr:cNvSpPr>
      </xdr:nvSpPr>
      <xdr:spPr bwMode="auto">
        <a:xfrm>
          <a:off x="8020050" y="964882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66</xdr:row>
      <xdr:rowOff>28575</xdr:rowOff>
    </xdr:from>
    <xdr:to>
      <xdr:col>9</xdr:col>
      <xdr:colOff>428625</xdr:colOff>
      <xdr:row>66</xdr:row>
      <xdr:rowOff>28575</xdr:rowOff>
    </xdr:to>
    <xdr:sp macro="" textlink="">
      <xdr:nvSpPr>
        <xdr:cNvPr id="419521" name="Line 178">
          <a:extLst>
            <a:ext uri="{FF2B5EF4-FFF2-40B4-BE49-F238E27FC236}">
              <a16:creationId xmlns:a16="http://schemas.microsoft.com/office/drawing/2014/main" id="{00000000-0008-0000-0500-0000C1660600}"/>
            </a:ext>
          </a:extLst>
        </xdr:cNvPr>
        <xdr:cNvSpPr>
          <a:spLocks noChangeShapeType="1"/>
        </xdr:cNvSpPr>
      </xdr:nvSpPr>
      <xdr:spPr bwMode="auto">
        <a:xfrm>
          <a:off x="7239000" y="13525500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8</xdr:row>
      <xdr:rowOff>9525</xdr:rowOff>
    </xdr:from>
    <xdr:to>
      <xdr:col>6</xdr:col>
      <xdr:colOff>428625</xdr:colOff>
      <xdr:row>8</xdr:row>
      <xdr:rowOff>9525</xdr:rowOff>
    </xdr:to>
    <xdr:sp macro="" textlink="">
      <xdr:nvSpPr>
        <xdr:cNvPr id="419522" name="Line 179">
          <a:extLst>
            <a:ext uri="{FF2B5EF4-FFF2-40B4-BE49-F238E27FC236}">
              <a16:creationId xmlns:a16="http://schemas.microsoft.com/office/drawing/2014/main" id="{00000000-0008-0000-0500-0000C2660600}"/>
            </a:ext>
          </a:extLst>
        </xdr:cNvPr>
        <xdr:cNvSpPr>
          <a:spLocks noChangeShapeType="1"/>
        </xdr:cNvSpPr>
      </xdr:nvSpPr>
      <xdr:spPr bwMode="auto">
        <a:xfrm>
          <a:off x="4895850" y="14382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708660</xdr:colOff>
          <xdr:row>38</xdr:row>
          <xdr:rowOff>198120</xdr:rowOff>
        </xdr:to>
        <xdr:sp macro="" textlink="">
          <xdr:nvSpPr>
            <xdr:cNvPr id="418838" name="Drop Down 22" hidden="1">
              <a:extLst>
                <a:ext uri="{63B3BB69-23CF-44E3-9099-C40C66FF867C}">
                  <a14:compatExt spid="_x0000_s418838"/>
                </a:ext>
                <a:ext uri="{FF2B5EF4-FFF2-40B4-BE49-F238E27FC236}">
                  <a16:creationId xmlns:a16="http://schemas.microsoft.com/office/drawing/2014/main" id="{00000000-0008-0000-0500-00001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3</xdr:col>
          <xdr:colOff>708660</xdr:colOff>
          <xdr:row>38</xdr:row>
          <xdr:rowOff>198120</xdr:rowOff>
        </xdr:to>
        <xdr:sp macro="" textlink="">
          <xdr:nvSpPr>
            <xdr:cNvPr id="418842" name="Drop Down 26" hidden="1">
              <a:extLst>
                <a:ext uri="{63B3BB69-23CF-44E3-9099-C40C66FF867C}">
                  <a14:compatExt spid="_x0000_s418842"/>
                </a:ext>
                <a:ext uri="{FF2B5EF4-FFF2-40B4-BE49-F238E27FC236}">
                  <a16:creationId xmlns:a16="http://schemas.microsoft.com/office/drawing/2014/main" id="{00000000-0008-0000-0500-00001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708660</xdr:colOff>
          <xdr:row>38</xdr:row>
          <xdr:rowOff>198120</xdr:rowOff>
        </xdr:to>
        <xdr:sp macro="" textlink="">
          <xdr:nvSpPr>
            <xdr:cNvPr id="418843" name="Drop Down 27" hidden="1">
              <a:extLst>
                <a:ext uri="{63B3BB69-23CF-44E3-9099-C40C66FF867C}">
                  <a14:compatExt spid="_x0000_s418843"/>
                </a:ext>
                <a:ext uri="{FF2B5EF4-FFF2-40B4-BE49-F238E27FC236}">
                  <a16:creationId xmlns:a16="http://schemas.microsoft.com/office/drawing/2014/main" id="{00000000-0008-0000-0500-00001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708660</xdr:colOff>
          <xdr:row>38</xdr:row>
          <xdr:rowOff>198120</xdr:rowOff>
        </xdr:to>
        <xdr:sp macro="" textlink="">
          <xdr:nvSpPr>
            <xdr:cNvPr id="418844" name="Drop Down 28" hidden="1">
              <a:extLst>
                <a:ext uri="{63B3BB69-23CF-44E3-9099-C40C66FF867C}">
                  <a14:compatExt spid="_x0000_s418844"/>
                </a:ext>
                <a:ext uri="{FF2B5EF4-FFF2-40B4-BE49-F238E27FC236}">
                  <a16:creationId xmlns:a16="http://schemas.microsoft.com/office/drawing/2014/main" id="{00000000-0008-0000-0500-00001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708660</xdr:colOff>
          <xdr:row>38</xdr:row>
          <xdr:rowOff>198120</xdr:rowOff>
        </xdr:to>
        <xdr:sp macro="" textlink="">
          <xdr:nvSpPr>
            <xdr:cNvPr id="418845" name="Drop Down 29" hidden="1">
              <a:extLst>
                <a:ext uri="{63B3BB69-23CF-44E3-9099-C40C66FF867C}">
                  <a14:compatExt spid="_x0000_s418845"/>
                </a:ext>
                <a:ext uri="{FF2B5EF4-FFF2-40B4-BE49-F238E27FC236}">
                  <a16:creationId xmlns:a16="http://schemas.microsoft.com/office/drawing/2014/main" id="{00000000-0008-0000-0500-00001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7</xdr:col>
          <xdr:colOff>708660</xdr:colOff>
          <xdr:row>38</xdr:row>
          <xdr:rowOff>198120</xdr:rowOff>
        </xdr:to>
        <xdr:sp macro="" textlink="">
          <xdr:nvSpPr>
            <xdr:cNvPr id="418846" name="Drop Down 30" hidden="1">
              <a:extLst>
                <a:ext uri="{63B3BB69-23CF-44E3-9099-C40C66FF867C}">
                  <a14:compatExt spid="_x0000_s418846"/>
                </a:ext>
                <a:ext uri="{FF2B5EF4-FFF2-40B4-BE49-F238E27FC236}">
                  <a16:creationId xmlns:a16="http://schemas.microsoft.com/office/drawing/2014/main" id="{00000000-0008-0000-0500-00001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708660</xdr:colOff>
          <xdr:row>38</xdr:row>
          <xdr:rowOff>198120</xdr:rowOff>
        </xdr:to>
        <xdr:sp macro="" textlink="">
          <xdr:nvSpPr>
            <xdr:cNvPr id="418847" name="Drop Down 31" hidden="1">
              <a:extLst>
                <a:ext uri="{63B3BB69-23CF-44E3-9099-C40C66FF867C}">
                  <a14:compatExt spid="_x0000_s418847"/>
                </a:ext>
                <a:ext uri="{FF2B5EF4-FFF2-40B4-BE49-F238E27FC236}">
                  <a16:creationId xmlns:a16="http://schemas.microsoft.com/office/drawing/2014/main" id="{00000000-0008-0000-0500-00001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2</xdr:col>
          <xdr:colOff>708660</xdr:colOff>
          <xdr:row>58</xdr:row>
          <xdr:rowOff>198120</xdr:rowOff>
        </xdr:to>
        <xdr:sp macro="" textlink="">
          <xdr:nvSpPr>
            <xdr:cNvPr id="418880" name="Drop Down 64" hidden="1">
              <a:extLst>
                <a:ext uri="{63B3BB69-23CF-44E3-9099-C40C66FF867C}">
                  <a14:compatExt spid="_x0000_s418880"/>
                </a:ext>
                <a:ext uri="{FF2B5EF4-FFF2-40B4-BE49-F238E27FC236}">
                  <a16:creationId xmlns:a16="http://schemas.microsoft.com/office/drawing/2014/main" id="{00000000-0008-0000-0500-00004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0</xdr:rowOff>
        </xdr:from>
        <xdr:to>
          <xdr:col>3</xdr:col>
          <xdr:colOff>708660</xdr:colOff>
          <xdr:row>58</xdr:row>
          <xdr:rowOff>198120</xdr:rowOff>
        </xdr:to>
        <xdr:sp macro="" textlink="">
          <xdr:nvSpPr>
            <xdr:cNvPr id="418884" name="Drop Down 68" hidden="1">
              <a:extLst>
                <a:ext uri="{63B3BB69-23CF-44E3-9099-C40C66FF867C}">
                  <a14:compatExt spid="_x0000_s418884"/>
                </a:ext>
                <a:ext uri="{FF2B5EF4-FFF2-40B4-BE49-F238E27FC236}">
                  <a16:creationId xmlns:a16="http://schemas.microsoft.com/office/drawing/2014/main" id="{00000000-0008-0000-0500-00004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0</xdr:rowOff>
        </xdr:from>
        <xdr:to>
          <xdr:col>4</xdr:col>
          <xdr:colOff>708660</xdr:colOff>
          <xdr:row>58</xdr:row>
          <xdr:rowOff>198120</xdr:rowOff>
        </xdr:to>
        <xdr:sp macro="" textlink="">
          <xdr:nvSpPr>
            <xdr:cNvPr id="418885" name="Drop Down 69" hidden="1">
              <a:extLst>
                <a:ext uri="{63B3BB69-23CF-44E3-9099-C40C66FF867C}">
                  <a14:compatExt spid="_x0000_s418885"/>
                </a:ext>
                <a:ext uri="{FF2B5EF4-FFF2-40B4-BE49-F238E27FC236}">
                  <a16:creationId xmlns:a16="http://schemas.microsoft.com/office/drawing/2014/main" id="{00000000-0008-0000-0500-00004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82</xdr:row>
          <xdr:rowOff>0</xdr:rowOff>
        </xdr:from>
        <xdr:to>
          <xdr:col>2</xdr:col>
          <xdr:colOff>708660</xdr:colOff>
          <xdr:row>82</xdr:row>
          <xdr:rowOff>198120</xdr:rowOff>
        </xdr:to>
        <xdr:sp macro="" textlink="">
          <xdr:nvSpPr>
            <xdr:cNvPr id="418914" name="Drop Down 98" hidden="1">
              <a:extLst>
                <a:ext uri="{63B3BB69-23CF-44E3-9099-C40C66FF867C}">
                  <a14:compatExt spid="_x0000_s418914"/>
                </a:ext>
                <a:ext uri="{FF2B5EF4-FFF2-40B4-BE49-F238E27FC236}">
                  <a16:creationId xmlns:a16="http://schemas.microsoft.com/office/drawing/2014/main" id="{00000000-0008-0000-0500-00006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0</xdr:rowOff>
        </xdr:from>
        <xdr:to>
          <xdr:col>2</xdr:col>
          <xdr:colOff>708660</xdr:colOff>
          <xdr:row>83</xdr:row>
          <xdr:rowOff>198120</xdr:rowOff>
        </xdr:to>
        <xdr:sp macro="" textlink="">
          <xdr:nvSpPr>
            <xdr:cNvPr id="418915" name="Drop Down 99" hidden="1">
              <a:extLst>
                <a:ext uri="{63B3BB69-23CF-44E3-9099-C40C66FF867C}">
                  <a14:compatExt spid="_x0000_s418915"/>
                </a:ext>
                <a:ext uri="{FF2B5EF4-FFF2-40B4-BE49-F238E27FC236}">
                  <a16:creationId xmlns:a16="http://schemas.microsoft.com/office/drawing/2014/main" id="{00000000-0008-0000-0500-00006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84</xdr:row>
          <xdr:rowOff>0</xdr:rowOff>
        </xdr:from>
        <xdr:to>
          <xdr:col>2</xdr:col>
          <xdr:colOff>708660</xdr:colOff>
          <xdr:row>84</xdr:row>
          <xdr:rowOff>198120</xdr:rowOff>
        </xdr:to>
        <xdr:sp macro="" textlink="">
          <xdr:nvSpPr>
            <xdr:cNvPr id="418916" name="Drop Down 100" hidden="1">
              <a:extLst>
                <a:ext uri="{63B3BB69-23CF-44E3-9099-C40C66FF867C}">
                  <a14:compatExt spid="_x0000_s418916"/>
                </a:ext>
                <a:ext uri="{FF2B5EF4-FFF2-40B4-BE49-F238E27FC236}">
                  <a16:creationId xmlns:a16="http://schemas.microsoft.com/office/drawing/2014/main" id="{00000000-0008-0000-0500-00006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82</xdr:row>
          <xdr:rowOff>0</xdr:rowOff>
        </xdr:from>
        <xdr:to>
          <xdr:col>3</xdr:col>
          <xdr:colOff>708660</xdr:colOff>
          <xdr:row>82</xdr:row>
          <xdr:rowOff>198120</xdr:rowOff>
        </xdr:to>
        <xdr:sp macro="" textlink="">
          <xdr:nvSpPr>
            <xdr:cNvPr id="418918" name="Drop Down 102" hidden="1">
              <a:extLst>
                <a:ext uri="{63B3BB69-23CF-44E3-9099-C40C66FF867C}">
                  <a14:compatExt spid="_x0000_s418918"/>
                </a:ext>
                <a:ext uri="{FF2B5EF4-FFF2-40B4-BE49-F238E27FC236}">
                  <a16:creationId xmlns:a16="http://schemas.microsoft.com/office/drawing/2014/main" id="{00000000-0008-0000-0500-00006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82</xdr:row>
          <xdr:rowOff>0</xdr:rowOff>
        </xdr:from>
        <xdr:to>
          <xdr:col>4</xdr:col>
          <xdr:colOff>708660</xdr:colOff>
          <xdr:row>82</xdr:row>
          <xdr:rowOff>198120</xdr:rowOff>
        </xdr:to>
        <xdr:sp macro="" textlink="">
          <xdr:nvSpPr>
            <xdr:cNvPr id="418919" name="Drop Down 103" hidden="1">
              <a:extLst>
                <a:ext uri="{63B3BB69-23CF-44E3-9099-C40C66FF867C}">
                  <a14:compatExt spid="_x0000_s418919"/>
                </a:ext>
                <a:ext uri="{FF2B5EF4-FFF2-40B4-BE49-F238E27FC236}">
                  <a16:creationId xmlns:a16="http://schemas.microsoft.com/office/drawing/2014/main" id="{00000000-0008-0000-0500-00006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5</xdr:col>
          <xdr:colOff>708660</xdr:colOff>
          <xdr:row>82</xdr:row>
          <xdr:rowOff>198120</xdr:rowOff>
        </xdr:to>
        <xdr:sp macro="" textlink="">
          <xdr:nvSpPr>
            <xdr:cNvPr id="418920" name="Drop Down 104" hidden="1">
              <a:extLst>
                <a:ext uri="{63B3BB69-23CF-44E3-9099-C40C66FF867C}">
                  <a14:compatExt spid="_x0000_s418920"/>
                </a:ext>
                <a:ext uri="{FF2B5EF4-FFF2-40B4-BE49-F238E27FC236}">
                  <a16:creationId xmlns:a16="http://schemas.microsoft.com/office/drawing/2014/main" id="{00000000-0008-0000-0500-00006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6</xdr:col>
          <xdr:colOff>708660</xdr:colOff>
          <xdr:row>82</xdr:row>
          <xdr:rowOff>198120</xdr:rowOff>
        </xdr:to>
        <xdr:sp macro="" textlink="">
          <xdr:nvSpPr>
            <xdr:cNvPr id="418921" name="Drop Down 105" hidden="1">
              <a:extLst>
                <a:ext uri="{63B3BB69-23CF-44E3-9099-C40C66FF867C}">
                  <a14:compatExt spid="_x0000_s418921"/>
                </a:ext>
                <a:ext uri="{FF2B5EF4-FFF2-40B4-BE49-F238E27FC236}">
                  <a16:creationId xmlns:a16="http://schemas.microsoft.com/office/drawing/2014/main" id="{00000000-0008-0000-0500-00006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7</xdr:col>
          <xdr:colOff>708660</xdr:colOff>
          <xdr:row>82</xdr:row>
          <xdr:rowOff>198120</xdr:rowOff>
        </xdr:to>
        <xdr:sp macro="" textlink="">
          <xdr:nvSpPr>
            <xdr:cNvPr id="418922" name="Drop Down 106" hidden="1">
              <a:extLst>
                <a:ext uri="{63B3BB69-23CF-44E3-9099-C40C66FF867C}">
                  <a14:compatExt spid="_x0000_s418922"/>
                </a:ext>
                <a:ext uri="{FF2B5EF4-FFF2-40B4-BE49-F238E27FC236}">
                  <a16:creationId xmlns:a16="http://schemas.microsoft.com/office/drawing/2014/main" id="{00000000-0008-0000-0500-00006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83</xdr:row>
          <xdr:rowOff>0</xdr:rowOff>
        </xdr:from>
        <xdr:to>
          <xdr:col>3</xdr:col>
          <xdr:colOff>708660</xdr:colOff>
          <xdr:row>83</xdr:row>
          <xdr:rowOff>198120</xdr:rowOff>
        </xdr:to>
        <xdr:sp macro="" textlink="">
          <xdr:nvSpPr>
            <xdr:cNvPr id="418924" name="Drop Down 108" hidden="1">
              <a:extLst>
                <a:ext uri="{63B3BB69-23CF-44E3-9099-C40C66FF867C}">
                  <a14:compatExt spid="_x0000_s418924"/>
                </a:ext>
                <a:ext uri="{FF2B5EF4-FFF2-40B4-BE49-F238E27FC236}">
                  <a16:creationId xmlns:a16="http://schemas.microsoft.com/office/drawing/2014/main" id="{00000000-0008-0000-0500-00006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83</xdr:row>
          <xdr:rowOff>0</xdr:rowOff>
        </xdr:from>
        <xdr:to>
          <xdr:col>4</xdr:col>
          <xdr:colOff>708660</xdr:colOff>
          <xdr:row>83</xdr:row>
          <xdr:rowOff>198120</xdr:rowOff>
        </xdr:to>
        <xdr:sp macro="" textlink="">
          <xdr:nvSpPr>
            <xdr:cNvPr id="418925" name="Drop Down 109" hidden="1">
              <a:extLst>
                <a:ext uri="{63B3BB69-23CF-44E3-9099-C40C66FF867C}">
                  <a14:compatExt spid="_x0000_s418925"/>
                </a:ext>
                <a:ext uri="{FF2B5EF4-FFF2-40B4-BE49-F238E27FC236}">
                  <a16:creationId xmlns:a16="http://schemas.microsoft.com/office/drawing/2014/main" id="{00000000-0008-0000-0500-00006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5</xdr:col>
          <xdr:colOff>708660</xdr:colOff>
          <xdr:row>83</xdr:row>
          <xdr:rowOff>198120</xdr:rowOff>
        </xdr:to>
        <xdr:sp macro="" textlink="">
          <xdr:nvSpPr>
            <xdr:cNvPr id="418926" name="Drop Down 110" hidden="1">
              <a:extLst>
                <a:ext uri="{63B3BB69-23CF-44E3-9099-C40C66FF867C}">
                  <a14:compatExt spid="_x0000_s418926"/>
                </a:ext>
                <a:ext uri="{FF2B5EF4-FFF2-40B4-BE49-F238E27FC236}">
                  <a16:creationId xmlns:a16="http://schemas.microsoft.com/office/drawing/2014/main" id="{00000000-0008-0000-0500-00006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6</xdr:col>
          <xdr:colOff>708660</xdr:colOff>
          <xdr:row>83</xdr:row>
          <xdr:rowOff>198120</xdr:rowOff>
        </xdr:to>
        <xdr:sp macro="" textlink="">
          <xdr:nvSpPr>
            <xdr:cNvPr id="418927" name="Drop Down 111" hidden="1">
              <a:extLst>
                <a:ext uri="{63B3BB69-23CF-44E3-9099-C40C66FF867C}">
                  <a14:compatExt spid="_x0000_s418927"/>
                </a:ext>
                <a:ext uri="{FF2B5EF4-FFF2-40B4-BE49-F238E27FC236}">
                  <a16:creationId xmlns:a16="http://schemas.microsoft.com/office/drawing/2014/main" id="{00000000-0008-0000-0500-00006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7</xdr:col>
          <xdr:colOff>708660</xdr:colOff>
          <xdr:row>83</xdr:row>
          <xdr:rowOff>198120</xdr:rowOff>
        </xdr:to>
        <xdr:sp macro="" textlink="">
          <xdr:nvSpPr>
            <xdr:cNvPr id="418928" name="Drop Down 112" hidden="1">
              <a:extLst>
                <a:ext uri="{63B3BB69-23CF-44E3-9099-C40C66FF867C}">
                  <a14:compatExt spid="_x0000_s418928"/>
                </a:ext>
                <a:ext uri="{FF2B5EF4-FFF2-40B4-BE49-F238E27FC236}">
                  <a16:creationId xmlns:a16="http://schemas.microsoft.com/office/drawing/2014/main" id="{00000000-0008-0000-0500-00007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84</xdr:row>
          <xdr:rowOff>0</xdr:rowOff>
        </xdr:from>
        <xdr:to>
          <xdr:col>3</xdr:col>
          <xdr:colOff>708660</xdr:colOff>
          <xdr:row>84</xdr:row>
          <xdr:rowOff>198120</xdr:rowOff>
        </xdr:to>
        <xdr:sp macro="" textlink="">
          <xdr:nvSpPr>
            <xdr:cNvPr id="418930" name="Drop Down 114" hidden="1">
              <a:extLst>
                <a:ext uri="{63B3BB69-23CF-44E3-9099-C40C66FF867C}">
                  <a14:compatExt spid="_x0000_s418930"/>
                </a:ext>
                <a:ext uri="{FF2B5EF4-FFF2-40B4-BE49-F238E27FC236}">
                  <a16:creationId xmlns:a16="http://schemas.microsoft.com/office/drawing/2014/main" id="{00000000-0008-0000-0500-00007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84</xdr:row>
          <xdr:rowOff>0</xdr:rowOff>
        </xdr:from>
        <xdr:to>
          <xdr:col>4</xdr:col>
          <xdr:colOff>708660</xdr:colOff>
          <xdr:row>84</xdr:row>
          <xdr:rowOff>198120</xdr:rowOff>
        </xdr:to>
        <xdr:sp macro="" textlink="">
          <xdr:nvSpPr>
            <xdr:cNvPr id="418931" name="Drop Down 115" hidden="1">
              <a:extLst>
                <a:ext uri="{63B3BB69-23CF-44E3-9099-C40C66FF867C}">
                  <a14:compatExt spid="_x0000_s418931"/>
                </a:ext>
                <a:ext uri="{FF2B5EF4-FFF2-40B4-BE49-F238E27FC236}">
                  <a16:creationId xmlns:a16="http://schemas.microsoft.com/office/drawing/2014/main" id="{00000000-0008-0000-0500-00007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5</xdr:col>
          <xdr:colOff>708660</xdr:colOff>
          <xdr:row>84</xdr:row>
          <xdr:rowOff>198120</xdr:rowOff>
        </xdr:to>
        <xdr:sp macro="" textlink="">
          <xdr:nvSpPr>
            <xdr:cNvPr id="418932" name="Drop Down 116" hidden="1">
              <a:extLst>
                <a:ext uri="{63B3BB69-23CF-44E3-9099-C40C66FF867C}">
                  <a14:compatExt spid="_x0000_s418932"/>
                </a:ext>
                <a:ext uri="{FF2B5EF4-FFF2-40B4-BE49-F238E27FC236}">
                  <a16:creationId xmlns:a16="http://schemas.microsoft.com/office/drawing/2014/main" id="{00000000-0008-0000-0500-00007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6</xdr:col>
          <xdr:colOff>708660</xdr:colOff>
          <xdr:row>84</xdr:row>
          <xdr:rowOff>198120</xdr:rowOff>
        </xdr:to>
        <xdr:sp macro="" textlink="">
          <xdr:nvSpPr>
            <xdr:cNvPr id="418933" name="Drop Down 117" hidden="1">
              <a:extLst>
                <a:ext uri="{63B3BB69-23CF-44E3-9099-C40C66FF867C}">
                  <a14:compatExt spid="_x0000_s418933"/>
                </a:ext>
                <a:ext uri="{FF2B5EF4-FFF2-40B4-BE49-F238E27FC236}">
                  <a16:creationId xmlns:a16="http://schemas.microsoft.com/office/drawing/2014/main" id="{00000000-0008-0000-0500-00007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7</xdr:col>
          <xdr:colOff>708660</xdr:colOff>
          <xdr:row>84</xdr:row>
          <xdr:rowOff>198120</xdr:rowOff>
        </xdr:to>
        <xdr:sp macro="" textlink="">
          <xdr:nvSpPr>
            <xdr:cNvPr id="418934" name="Drop Down 118" hidden="1">
              <a:extLst>
                <a:ext uri="{63B3BB69-23CF-44E3-9099-C40C66FF867C}">
                  <a14:compatExt spid="_x0000_s418934"/>
                </a:ext>
                <a:ext uri="{FF2B5EF4-FFF2-40B4-BE49-F238E27FC236}">
                  <a16:creationId xmlns:a16="http://schemas.microsoft.com/office/drawing/2014/main" id="{00000000-0008-0000-0500-00007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180975</xdr:colOff>
      <xdr:row>8</xdr:row>
      <xdr:rowOff>38100</xdr:rowOff>
    </xdr:from>
    <xdr:to>
      <xdr:col>14</xdr:col>
      <xdr:colOff>266700</xdr:colOff>
      <xdr:row>8</xdr:row>
      <xdr:rowOff>38100</xdr:rowOff>
    </xdr:to>
    <xdr:sp macro="" textlink="">
      <xdr:nvSpPr>
        <xdr:cNvPr id="151" name="Line 179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>
          <a:spLocks noChangeShapeType="1"/>
        </xdr:cNvSpPr>
      </xdr:nvSpPr>
      <xdr:spPr bwMode="auto">
        <a:xfrm>
          <a:off x="10810875" y="1466850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152400</xdr:colOff>
      <xdr:row>9</xdr:row>
      <xdr:rowOff>200025</xdr:rowOff>
    </xdr:from>
    <xdr:to>
      <xdr:col>15</xdr:col>
      <xdr:colOff>238125</xdr:colOff>
      <xdr:row>9</xdr:row>
      <xdr:rowOff>200025</xdr:rowOff>
    </xdr:to>
    <xdr:sp macro="" textlink="">
      <xdr:nvSpPr>
        <xdr:cNvPr id="152" name="Line 179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>
          <a:spLocks noChangeShapeType="1"/>
        </xdr:cNvSpPr>
      </xdr:nvSpPr>
      <xdr:spPr bwMode="auto">
        <a:xfrm>
          <a:off x="11610975" y="18192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85</xdr:row>
          <xdr:rowOff>0</xdr:rowOff>
        </xdr:from>
        <xdr:to>
          <xdr:col>2</xdr:col>
          <xdr:colOff>708660</xdr:colOff>
          <xdr:row>85</xdr:row>
          <xdr:rowOff>198120</xdr:rowOff>
        </xdr:to>
        <xdr:sp macro="" textlink="">
          <xdr:nvSpPr>
            <xdr:cNvPr id="418999" name="Drop Down 183" hidden="1">
              <a:extLst>
                <a:ext uri="{63B3BB69-23CF-44E3-9099-C40C66FF867C}">
                  <a14:compatExt spid="_x0000_s418999"/>
                </a:ext>
                <a:ext uri="{FF2B5EF4-FFF2-40B4-BE49-F238E27FC236}">
                  <a16:creationId xmlns:a16="http://schemas.microsoft.com/office/drawing/2014/main" id="{00000000-0008-0000-0500-0000B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85</xdr:row>
          <xdr:rowOff>0</xdr:rowOff>
        </xdr:from>
        <xdr:to>
          <xdr:col>3</xdr:col>
          <xdr:colOff>708660</xdr:colOff>
          <xdr:row>85</xdr:row>
          <xdr:rowOff>198120</xdr:rowOff>
        </xdr:to>
        <xdr:sp macro="" textlink="">
          <xdr:nvSpPr>
            <xdr:cNvPr id="419000" name="Drop Down 184" hidden="1">
              <a:extLst>
                <a:ext uri="{63B3BB69-23CF-44E3-9099-C40C66FF867C}">
                  <a14:compatExt spid="_x0000_s419000"/>
                </a:ext>
                <a:ext uri="{FF2B5EF4-FFF2-40B4-BE49-F238E27FC236}">
                  <a16:creationId xmlns:a16="http://schemas.microsoft.com/office/drawing/2014/main" id="{00000000-0008-0000-0500-0000B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85</xdr:row>
          <xdr:rowOff>0</xdr:rowOff>
        </xdr:from>
        <xdr:to>
          <xdr:col>4</xdr:col>
          <xdr:colOff>708660</xdr:colOff>
          <xdr:row>85</xdr:row>
          <xdr:rowOff>198120</xdr:rowOff>
        </xdr:to>
        <xdr:sp macro="" textlink="">
          <xdr:nvSpPr>
            <xdr:cNvPr id="419001" name="Drop Down 185" hidden="1">
              <a:extLst>
                <a:ext uri="{63B3BB69-23CF-44E3-9099-C40C66FF867C}">
                  <a14:compatExt spid="_x0000_s419001"/>
                </a:ext>
                <a:ext uri="{FF2B5EF4-FFF2-40B4-BE49-F238E27FC236}">
                  <a16:creationId xmlns:a16="http://schemas.microsoft.com/office/drawing/2014/main" id="{00000000-0008-0000-0500-0000B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5</xdr:col>
          <xdr:colOff>708660</xdr:colOff>
          <xdr:row>85</xdr:row>
          <xdr:rowOff>198120</xdr:rowOff>
        </xdr:to>
        <xdr:sp macro="" textlink="">
          <xdr:nvSpPr>
            <xdr:cNvPr id="419002" name="Drop Down 186" hidden="1">
              <a:extLst>
                <a:ext uri="{63B3BB69-23CF-44E3-9099-C40C66FF867C}">
                  <a14:compatExt spid="_x0000_s419002"/>
                </a:ext>
                <a:ext uri="{FF2B5EF4-FFF2-40B4-BE49-F238E27FC236}">
                  <a16:creationId xmlns:a16="http://schemas.microsoft.com/office/drawing/2014/main" id="{00000000-0008-0000-0500-0000B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6</xdr:col>
          <xdr:colOff>708660</xdr:colOff>
          <xdr:row>85</xdr:row>
          <xdr:rowOff>198120</xdr:rowOff>
        </xdr:to>
        <xdr:sp macro="" textlink="">
          <xdr:nvSpPr>
            <xdr:cNvPr id="419004" name="Drop Down 188" hidden="1">
              <a:extLst>
                <a:ext uri="{63B3BB69-23CF-44E3-9099-C40C66FF867C}">
                  <a14:compatExt spid="_x0000_s419004"/>
                </a:ext>
                <a:ext uri="{FF2B5EF4-FFF2-40B4-BE49-F238E27FC236}">
                  <a16:creationId xmlns:a16="http://schemas.microsoft.com/office/drawing/2014/main" id="{00000000-0008-0000-0500-0000B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7</xdr:col>
          <xdr:colOff>708660</xdr:colOff>
          <xdr:row>85</xdr:row>
          <xdr:rowOff>198120</xdr:rowOff>
        </xdr:to>
        <xdr:sp macro="" textlink="">
          <xdr:nvSpPr>
            <xdr:cNvPr id="419005" name="Drop Down 189" hidden="1">
              <a:extLst>
                <a:ext uri="{63B3BB69-23CF-44E3-9099-C40C66FF867C}">
                  <a14:compatExt spid="_x0000_s419005"/>
                </a:ext>
                <a:ext uri="{FF2B5EF4-FFF2-40B4-BE49-F238E27FC236}">
                  <a16:creationId xmlns:a16="http://schemas.microsoft.com/office/drawing/2014/main" id="{00000000-0008-0000-0500-0000B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102576</xdr:colOff>
      <xdr:row>44</xdr:row>
      <xdr:rowOff>109903</xdr:rowOff>
    </xdr:from>
    <xdr:to>
      <xdr:col>21</xdr:col>
      <xdr:colOff>425694</xdr:colOff>
      <xdr:row>47</xdr:row>
      <xdr:rowOff>101111</xdr:rowOff>
    </xdr:to>
    <xdr:pic>
      <xdr:nvPicPr>
        <xdr:cNvPr id="43" name="42 Imagen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0038" y="8206153"/>
          <a:ext cx="3393098" cy="54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315059</xdr:colOff>
      <xdr:row>41</xdr:row>
      <xdr:rowOff>161191</xdr:rowOff>
    </xdr:from>
    <xdr:to>
      <xdr:col>14</xdr:col>
      <xdr:colOff>696059</xdr:colOff>
      <xdr:row>44</xdr:row>
      <xdr:rowOff>49822</xdr:rowOff>
    </xdr:to>
    <xdr:pic>
      <xdr:nvPicPr>
        <xdr:cNvPr id="44" name="43 Imagen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5732" y="7773864"/>
          <a:ext cx="381000" cy="37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293077</xdr:colOff>
      <xdr:row>44</xdr:row>
      <xdr:rowOff>161192</xdr:rowOff>
    </xdr:from>
    <xdr:to>
      <xdr:col>14</xdr:col>
      <xdr:colOff>759802</xdr:colOff>
      <xdr:row>46</xdr:row>
      <xdr:rowOff>172915</xdr:rowOff>
    </xdr:to>
    <xdr:pic>
      <xdr:nvPicPr>
        <xdr:cNvPr id="45" name="44 Imagen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8264769"/>
          <a:ext cx="466725" cy="341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411480</xdr:colOff>
          <xdr:row>49</xdr:row>
          <xdr:rowOff>30480</xdr:rowOff>
        </xdr:from>
        <xdr:to>
          <xdr:col>19</xdr:col>
          <xdr:colOff>640080</xdr:colOff>
          <xdr:row>50</xdr:row>
          <xdr:rowOff>106680</xdr:rowOff>
        </xdr:to>
        <xdr:sp macro="" textlink="">
          <xdr:nvSpPr>
            <xdr:cNvPr id="419010" name="Drop Down 194" hidden="1">
              <a:extLst>
                <a:ext uri="{63B3BB69-23CF-44E3-9099-C40C66FF867C}">
                  <a14:compatExt spid="_x0000_s419010"/>
                </a:ext>
                <a:ext uri="{FF2B5EF4-FFF2-40B4-BE49-F238E27FC236}">
                  <a16:creationId xmlns:a16="http://schemas.microsoft.com/office/drawing/2014/main" id="{00000000-0008-0000-0500-0000C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322385</xdr:colOff>
      <xdr:row>47</xdr:row>
      <xdr:rowOff>51289</xdr:rowOff>
    </xdr:from>
    <xdr:to>
      <xdr:col>14</xdr:col>
      <xdr:colOff>741485</xdr:colOff>
      <xdr:row>49</xdr:row>
      <xdr:rowOff>63011</xdr:rowOff>
    </xdr:to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3058" y="8704385"/>
          <a:ext cx="419100" cy="348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307730</xdr:colOff>
      <xdr:row>50</xdr:row>
      <xdr:rowOff>36634</xdr:rowOff>
    </xdr:from>
    <xdr:to>
      <xdr:col>14</xdr:col>
      <xdr:colOff>755405</xdr:colOff>
      <xdr:row>52</xdr:row>
      <xdr:rowOff>95982</xdr:rowOff>
    </xdr:to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8403" y="9187961"/>
          <a:ext cx="447675" cy="381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908539</xdr:colOff>
      <xdr:row>52</xdr:row>
      <xdr:rowOff>117230</xdr:rowOff>
    </xdr:from>
    <xdr:to>
      <xdr:col>15</xdr:col>
      <xdr:colOff>89389</xdr:colOff>
      <xdr:row>53</xdr:row>
      <xdr:rowOff>381000</xdr:rowOff>
    </xdr:to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3731" y="9590942"/>
          <a:ext cx="1364273" cy="424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708660</xdr:colOff>
          <xdr:row>40</xdr:row>
          <xdr:rowOff>38100</xdr:rowOff>
        </xdr:to>
        <xdr:sp macro="" textlink="">
          <xdr:nvSpPr>
            <xdr:cNvPr id="419017" name="Drop Down 201" hidden="1">
              <a:extLst>
                <a:ext uri="{63B3BB69-23CF-44E3-9099-C40C66FF867C}">
                  <a14:compatExt spid="_x0000_s419017"/>
                </a:ext>
                <a:ext uri="{FF2B5EF4-FFF2-40B4-BE49-F238E27FC236}">
                  <a16:creationId xmlns:a16="http://schemas.microsoft.com/office/drawing/2014/main" id="{00000000-0008-0000-0500-0000C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3</xdr:col>
          <xdr:colOff>708660</xdr:colOff>
          <xdr:row>40</xdr:row>
          <xdr:rowOff>38100</xdr:rowOff>
        </xdr:to>
        <xdr:sp macro="" textlink="">
          <xdr:nvSpPr>
            <xdr:cNvPr id="419018" name="Drop Down 202" hidden="1">
              <a:extLst>
                <a:ext uri="{63B3BB69-23CF-44E3-9099-C40C66FF867C}">
                  <a14:compatExt spid="_x0000_s419018"/>
                </a:ext>
                <a:ext uri="{FF2B5EF4-FFF2-40B4-BE49-F238E27FC236}">
                  <a16:creationId xmlns:a16="http://schemas.microsoft.com/office/drawing/2014/main" id="{00000000-0008-0000-0500-0000C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708660</xdr:colOff>
          <xdr:row>40</xdr:row>
          <xdr:rowOff>38100</xdr:rowOff>
        </xdr:to>
        <xdr:sp macro="" textlink="">
          <xdr:nvSpPr>
            <xdr:cNvPr id="419019" name="Drop Down 203" hidden="1">
              <a:extLst>
                <a:ext uri="{63B3BB69-23CF-44E3-9099-C40C66FF867C}">
                  <a14:compatExt spid="_x0000_s419019"/>
                </a:ext>
                <a:ext uri="{FF2B5EF4-FFF2-40B4-BE49-F238E27FC236}">
                  <a16:creationId xmlns:a16="http://schemas.microsoft.com/office/drawing/2014/main" id="{00000000-0008-0000-0500-0000C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708660</xdr:colOff>
          <xdr:row>40</xdr:row>
          <xdr:rowOff>38100</xdr:rowOff>
        </xdr:to>
        <xdr:sp macro="" textlink="">
          <xdr:nvSpPr>
            <xdr:cNvPr id="419020" name="Drop Down 204" hidden="1">
              <a:extLst>
                <a:ext uri="{63B3BB69-23CF-44E3-9099-C40C66FF867C}">
                  <a14:compatExt spid="_x0000_s419020"/>
                </a:ext>
                <a:ext uri="{FF2B5EF4-FFF2-40B4-BE49-F238E27FC236}">
                  <a16:creationId xmlns:a16="http://schemas.microsoft.com/office/drawing/2014/main" id="{00000000-0008-0000-0500-0000C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708660</xdr:colOff>
          <xdr:row>40</xdr:row>
          <xdr:rowOff>38100</xdr:rowOff>
        </xdr:to>
        <xdr:sp macro="" textlink="">
          <xdr:nvSpPr>
            <xdr:cNvPr id="419021" name="Drop Down 205" hidden="1">
              <a:extLst>
                <a:ext uri="{63B3BB69-23CF-44E3-9099-C40C66FF867C}">
                  <a14:compatExt spid="_x0000_s419021"/>
                </a:ext>
                <a:ext uri="{FF2B5EF4-FFF2-40B4-BE49-F238E27FC236}">
                  <a16:creationId xmlns:a16="http://schemas.microsoft.com/office/drawing/2014/main" id="{00000000-0008-0000-0500-0000C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7</xdr:col>
          <xdr:colOff>708660</xdr:colOff>
          <xdr:row>40</xdr:row>
          <xdr:rowOff>38100</xdr:rowOff>
        </xdr:to>
        <xdr:sp macro="" textlink="">
          <xdr:nvSpPr>
            <xdr:cNvPr id="419022" name="Drop Down 206" hidden="1">
              <a:extLst>
                <a:ext uri="{63B3BB69-23CF-44E3-9099-C40C66FF867C}">
                  <a14:compatExt spid="_x0000_s419022"/>
                </a:ext>
                <a:ext uri="{FF2B5EF4-FFF2-40B4-BE49-F238E27FC236}">
                  <a16:creationId xmlns:a16="http://schemas.microsoft.com/office/drawing/2014/main" id="{00000000-0008-0000-0500-0000C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708660</xdr:colOff>
          <xdr:row>40</xdr:row>
          <xdr:rowOff>38100</xdr:rowOff>
        </xdr:to>
        <xdr:sp macro="" textlink="">
          <xdr:nvSpPr>
            <xdr:cNvPr id="419023" name="Drop Down 207" hidden="1">
              <a:extLst>
                <a:ext uri="{63B3BB69-23CF-44E3-9099-C40C66FF867C}">
                  <a14:compatExt spid="_x0000_s419023"/>
                </a:ext>
                <a:ext uri="{FF2B5EF4-FFF2-40B4-BE49-F238E27FC236}">
                  <a16:creationId xmlns:a16="http://schemas.microsoft.com/office/drawing/2014/main" id="{00000000-0008-0000-0500-0000C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68580</xdr:rowOff>
        </xdr:from>
        <xdr:to>
          <xdr:col>6</xdr:col>
          <xdr:colOff>708660</xdr:colOff>
          <xdr:row>41</xdr:row>
          <xdr:rowOff>106680</xdr:rowOff>
        </xdr:to>
        <xdr:sp macro="" textlink="">
          <xdr:nvSpPr>
            <xdr:cNvPr id="419024" name="Drop Down 208" hidden="1">
              <a:extLst>
                <a:ext uri="{63B3BB69-23CF-44E3-9099-C40C66FF867C}">
                  <a14:compatExt spid="_x0000_s419024"/>
                </a:ext>
                <a:ext uri="{FF2B5EF4-FFF2-40B4-BE49-F238E27FC236}">
                  <a16:creationId xmlns:a16="http://schemas.microsoft.com/office/drawing/2014/main" id="{00000000-0008-0000-0500-0000D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68580</xdr:rowOff>
        </xdr:from>
        <xdr:to>
          <xdr:col>7</xdr:col>
          <xdr:colOff>708660</xdr:colOff>
          <xdr:row>41</xdr:row>
          <xdr:rowOff>106680</xdr:rowOff>
        </xdr:to>
        <xdr:sp macro="" textlink="">
          <xdr:nvSpPr>
            <xdr:cNvPr id="419025" name="Drop Down 209" hidden="1">
              <a:extLst>
                <a:ext uri="{63B3BB69-23CF-44E3-9099-C40C66FF867C}">
                  <a14:compatExt spid="_x0000_s419025"/>
                </a:ext>
                <a:ext uri="{FF2B5EF4-FFF2-40B4-BE49-F238E27FC236}">
                  <a16:creationId xmlns:a16="http://schemas.microsoft.com/office/drawing/2014/main" id="{00000000-0008-0000-0500-0000D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76200</xdr:rowOff>
        </xdr:from>
        <xdr:to>
          <xdr:col>8</xdr:col>
          <xdr:colOff>708660</xdr:colOff>
          <xdr:row>41</xdr:row>
          <xdr:rowOff>114300</xdr:rowOff>
        </xdr:to>
        <xdr:sp macro="" textlink="">
          <xdr:nvSpPr>
            <xdr:cNvPr id="419026" name="Drop Down 210" hidden="1">
              <a:extLst>
                <a:ext uri="{63B3BB69-23CF-44E3-9099-C40C66FF867C}">
                  <a14:compatExt spid="_x0000_s419026"/>
                </a:ext>
                <a:ext uri="{FF2B5EF4-FFF2-40B4-BE49-F238E27FC236}">
                  <a16:creationId xmlns:a16="http://schemas.microsoft.com/office/drawing/2014/main" id="{00000000-0008-0000-0500-0000D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19\Fuera%20del%20Alcance\Presi&#243;n\NI-R02-MCIT-P-01%20%20Procesamiento%20de%20datos%20calibraci&#243;n%20man&#243;metros%20y%20vacu&#243;metros%20NI-MCPP-02%20-%202019-01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%202018-07-14\Clientes\Certificados\2018\Fuera%20de%20alcance\Dimensional\NI-R02-MCIT-D-01%20Hoja%20de%20calculo%20de%20calibradores%20universales%20v2%202018-05-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%202018-07-08\Clientes\Certificados\2018\Fuera%20de%20alcance\Dimensional\NI-R02-MCIT-D-01%20Hoja%20de%20calculo%20de%20calibradores%20universales%20v2%202018-05-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CMETROCAL\Metrocal\Users\FredFusi&#243;n\Desktop\Instructivos%20Dimensional\NI-R02-MCIT-D-01(PIE%20DE%20REY)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C%20Vigente%202018-07-08\Clientes\Certificados\2018\Fuera%20de%20alcance\Dimensional\NI-R02-MCIT-D-01%20Hoja%20de%20calculo%20de%20calibradores%20universales%20v2%202018-05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alibración"/>
      <sheetName val="kU(E)"/>
      <sheetName val="BD Patron"/>
      <sheetName val="BD Clientes"/>
      <sheetName val="FA Unid-kPa (5 ptos)"/>
      <sheetName val="Trazabilidad"/>
      <sheetName val="Datos Etiquetas"/>
      <sheetName val="NI-R02-MCIT-P-01  Procesamiento"/>
    </sheetNames>
    <sheetDataSet>
      <sheetData sheetId="0">
        <row r="3">
          <cell r="F3" t="str">
            <v>NI-MC-P-Testificación-Carlos Castro</v>
          </cell>
        </row>
        <row r="5">
          <cell r="F5">
            <v>43299</v>
          </cell>
        </row>
        <row r="6">
          <cell r="F6" t="str">
            <v>706340</v>
          </cell>
          <cell r="I6">
            <v>22.266666666666669</v>
          </cell>
        </row>
        <row r="7">
          <cell r="F7" t="str">
            <v xml:space="preserve">Manómetro </v>
          </cell>
          <cell r="I7">
            <v>22.233333333333334</v>
          </cell>
        </row>
        <row r="8">
          <cell r="I8">
            <v>22.25</v>
          </cell>
        </row>
        <row r="9">
          <cell r="I9">
            <v>0.4</v>
          </cell>
        </row>
        <row r="13">
          <cell r="F13">
            <v>0</v>
          </cell>
          <cell r="I13">
            <v>48.45</v>
          </cell>
        </row>
        <row r="14">
          <cell r="F14" t="str">
            <v>1000</v>
          </cell>
          <cell r="I14">
            <v>2.7</v>
          </cell>
        </row>
        <row r="15">
          <cell r="F15" t="str">
            <v>5</v>
          </cell>
        </row>
        <row r="18">
          <cell r="I18">
            <v>1001.2833333333333</v>
          </cell>
        </row>
        <row r="19">
          <cell r="I19">
            <v>2.4700000000000002</v>
          </cell>
        </row>
      </sheetData>
      <sheetData sheetId="1">
        <row r="4">
          <cell r="E4" t="str">
            <v>5</v>
          </cell>
          <cell r="I4">
            <v>1</v>
          </cell>
          <cell r="M4">
            <v>2.4060000000000002E-2</v>
          </cell>
        </row>
        <row r="5">
          <cell r="M5" t="str">
            <v>Agua</v>
          </cell>
        </row>
        <row r="8">
          <cell r="D8">
            <v>7.0309999999999997E-2</v>
          </cell>
          <cell r="E8" t="str">
            <v>kgf/cm2</v>
          </cell>
        </row>
        <row r="9">
          <cell r="E9">
            <v>0</v>
          </cell>
        </row>
        <row r="52">
          <cell r="V52">
            <v>14</v>
          </cell>
          <cell r="AB52">
            <v>15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s"/>
      <sheetName val="Entrada de Datos"/>
      <sheetName val="Salida de Datos"/>
      <sheetName val="FA (mm)"/>
      <sheetName val="FA (in)"/>
      <sheetName val="Datos Etiqueta"/>
      <sheetName val="Base de datos de los clientes"/>
      <sheetName val="Trazabilidad"/>
    </sheetNames>
    <sheetDataSet>
      <sheetData sheetId="0"/>
      <sheetData sheetId="1">
        <row r="2">
          <cell r="W2" t="str">
            <v>Analógico</v>
          </cell>
        </row>
        <row r="3">
          <cell r="W3" t="str">
            <v>Digital</v>
          </cell>
        </row>
        <row r="17">
          <cell r="M17" t="str">
            <v>in</v>
          </cell>
        </row>
        <row r="18">
          <cell r="M18" t="str">
            <v>mm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s"/>
      <sheetName val="Entrada de Datos"/>
      <sheetName val="Salida de Datos"/>
      <sheetName val="FA (mm)"/>
      <sheetName val="FA (in)"/>
      <sheetName val="Datos Etiqueta"/>
      <sheetName val="Base de datos de los clientes"/>
      <sheetName val="Trazabilidad"/>
    </sheetNames>
    <sheetDataSet>
      <sheetData sheetId="0">
        <row r="1">
          <cell r="F1" t="str">
            <v>Ing. Fredman A. Méndez M.</v>
          </cell>
        </row>
        <row r="7">
          <cell r="F7" t="str">
            <v>Director Técnico</v>
          </cell>
        </row>
        <row r="8">
          <cell r="F8" t="str">
            <v>Director Técnico</v>
          </cell>
        </row>
      </sheetData>
      <sheetData sheetId="1">
        <row r="2">
          <cell r="W2" t="str">
            <v>Analógico</v>
          </cell>
        </row>
        <row r="3">
          <cell r="W3" t="str">
            <v>Digital</v>
          </cell>
        </row>
        <row r="17">
          <cell r="M17" t="str">
            <v>in</v>
          </cell>
        </row>
        <row r="18">
          <cell r="M18" t="str">
            <v>mm</v>
          </cell>
        </row>
      </sheetData>
      <sheetData sheetId="2">
        <row r="7">
          <cell r="L7" t="str">
            <v>La corrección corresponde al valor del patrón menos las indicación del equipo.</v>
          </cell>
        </row>
        <row r="8">
          <cell r="L8" t="str">
            <v>La indicación del equipo corresponde al promedio de 3 mediciones en cada punto de calibración.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ones"/>
      <sheetName val="Resultados"/>
      <sheetName val="Salida de datos CERT"/>
      <sheetName val="ERROR ABBE"/>
      <sheetName val="GRADOS EFECTIVOSDE LIBERT"/>
      <sheetName val="MATRIZ DE REGISTRO"/>
      <sheetName val="PATRON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Clientes3" displayName="tblClientes3" ref="A5:C405" totalsRowShown="0">
  <sortState xmlns:xlrd2="http://schemas.microsoft.com/office/spreadsheetml/2017/richdata2" ref="A6:C190">
    <sortCondition ref="B6:B190"/>
  </sortState>
  <tableColumns count="3">
    <tableColumn id="1" xr3:uid="{00000000-0010-0000-0000-000001000000}" name="Clave" dataDxfId="4"/>
    <tableColumn id="2" xr3:uid="{00000000-0010-0000-0000-000002000000}" name="Cliente" dataDxfId="3"/>
    <tableColumn id="3" xr3:uid="{00000000-0010-0000-0000-000003000000}" name="Dirección de la empresa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D0D85B-2EF1-4884-A59A-A8927394146D}" name="Usuarios" displayName="Usuarios" ref="B1:C7" totalsRowShown="0" headerRowDxfId="1">
  <autoFilter ref="B1:C7" xr:uid="{84D0D85B-2EF1-4884-A59A-A8927394146D}"/>
  <tableColumns count="2">
    <tableColumn id="1" xr3:uid="{2604CE91-56CF-4043-80AC-B61FA6C4A60B}" name="Usuario"/>
    <tableColumn id="2" xr3:uid="{26E83B62-63D7-4CE9-A6FD-679FF61ADC75}" name="Contrasen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59975E-C243-4F2E-8314-4EAC80671AE1}" name="Privilegios" displayName="Privilegios" ref="E1:F26" totalsRowShown="0" headerRowDxfId="0">
  <autoFilter ref="E1:F26" xr:uid="{3259975E-C243-4F2E-8314-4EAC80671AE1}"/>
  <tableColumns count="2">
    <tableColumn id="1" xr3:uid="{69666B5C-7A5B-4670-81FF-998998FD19FB}" name="Ver"/>
    <tableColumn id="2" xr3:uid="{A122EBC0-240C-44BC-81AA-AF71641905EC}" name="Usuari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.xml"/><Relationship Id="rId18" Type="http://schemas.openxmlformats.org/officeDocument/2006/relationships/ctrlProp" Target="../ctrlProps/ctrlProp18.xml"/><Relationship Id="rId26" Type="http://schemas.openxmlformats.org/officeDocument/2006/relationships/ctrlProp" Target="../ctrlProps/ctrlProp26.xml"/><Relationship Id="rId39" Type="http://schemas.openxmlformats.org/officeDocument/2006/relationships/ctrlProp" Target="../ctrlProps/ctrlProp39.xml"/><Relationship Id="rId21" Type="http://schemas.openxmlformats.org/officeDocument/2006/relationships/ctrlProp" Target="../ctrlProps/ctrlProp21.xml"/><Relationship Id="rId34" Type="http://schemas.openxmlformats.org/officeDocument/2006/relationships/ctrlProp" Target="../ctrlProps/ctrlProp34.xml"/><Relationship Id="rId42" Type="http://schemas.openxmlformats.org/officeDocument/2006/relationships/ctrlProp" Target="../ctrlProps/ctrlProp42.xml"/><Relationship Id="rId47" Type="http://schemas.openxmlformats.org/officeDocument/2006/relationships/ctrlProp" Target="../ctrlProps/ctrlProp47.x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6.xml"/><Relationship Id="rId29" Type="http://schemas.openxmlformats.org/officeDocument/2006/relationships/ctrlProp" Target="../ctrlProps/ctrlProp29.xml"/><Relationship Id="rId11" Type="http://schemas.openxmlformats.org/officeDocument/2006/relationships/ctrlProp" Target="../ctrlProps/ctrlProp11.xml"/><Relationship Id="rId24" Type="http://schemas.openxmlformats.org/officeDocument/2006/relationships/ctrlProp" Target="../ctrlProps/ctrlProp24.xml"/><Relationship Id="rId32" Type="http://schemas.openxmlformats.org/officeDocument/2006/relationships/ctrlProp" Target="../ctrlProps/ctrlProp32.xml"/><Relationship Id="rId37" Type="http://schemas.openxmlformats.org/officeDocument/2006/relationships/ctrlProp" Target="../ctrlProps/ctrlProp37.xml"/><Relationship Id="rId40" Type="http://schemas.openxmlformats.org/officeDocument/2006/relationships/ctrlProp" Target="../ctrlProps/ctrlProp40.xml"/><Relationship Id="rId45" Type="http://schemas.openxmlformats.org/officeDocument/2006/relationships/ctrlProp" Target="../ctrlProps/ctrlProp45.xml"/><Relationship Id="rId5" Type="http://schemas.openxmlformats.org/officeDocument/2006/relationships/ctrlProp" Target="../ctrlProps/ctrlProp5.xml"/><Relationship Id="rId15" Type="http://schemas.openxmlformats.org/officeDocument/2006/relationships/ctrlProp" Target="../ctrlProps/ctrlProp15.xml"/><Relationship Id="rId23" Type="http://schemas.openxmlformats.org/officeDocument/2006/relationships/ctrlProp" Target="../ctrlProps/ctrlProp23.xml"/><Relationship Id="rId28" Type="http://schemas.openxmlformats.org/officeDocument/2006/relationships/ctrlProp" Target="../ctrlProps/ctrlProp28.xml"/><Relationship Id="rId36" Type="http://schemas.openxmlformats.org/officeDocument/2006/relationships/ctrlProp" Target="../ctrlProps/ctrlProp36.xml"/><Relationship Id="rId49" Type="http://schemas.openxmlformats.org/officeDocument/2006/relationships/comments" Target="../comments1.xml"/><Relationship Id="rId10" Type="http://schemas.openxmlformats.org/officeDocument/2006/relationships/ctrlProp" Target="../ctrlProps/ctrlProp10.xml"/><Relationship Id="rId19" Type="http://schemas.openxmlformats.org/officeDocument/2006/relationships/ctrlProp" Target="../ctrlProps/ctrlProp19.xml"/><Relationship Id="rId31" Type="http://schemas.openxmlformats.org/officeDocument/2006/relationships/ctrlProp" Target="../ctrlProps/ctrlProp31.xml"/><Relationship Id="rId44" Type="http://schemas.openxmlformats.org/officeDocument/2006/relationships/ctrlProp" Target="../ctrlProps/ctrlProp44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Relationship Id="rId14" Type="http://schemas.openxmlformats.org/officeDocument/2006/relationships/ctrlProp" Target="../ctrlProps/ctrlProp14.xml"/><Relationship Id="rId22" Type="http://schemas.openxmlformats.org/officeDocument/2006/relationships/ctrlProp" Target="../ctrlProps/ctrlProp22.xml"/><Relationship Id="rId27" Type="http://schemas.openxmlformats.org/officeDocument/2006/relationships/ctrlProp" Target="../ctrlProps/ctrlProp27.xml"/><Relationship Id="rId30" Type="http://schemas.openxmlformats.org/officeDocument/2006/relationships/ctrlProp" Target="../ctrlProps/ctrlProp30.xml"/><Relationship Id="rId35" Type="http://schemas.openxmlformats.org/officeDocument/2006/relationships/ctrlProp" Target="../ctrlProps/ctrlProp35.xml"/><Relationship Id="rId43" Type="http://schemas.openxmlformats.org/officeDocument/2006/relationships/ctrlProp" Target="../ctrlProps/ctrlProp43.xml"/><Relationship Id="rId48" Type="http://schemas.openxmlformats.org/officeDocument/2006/relationships/ctrlProp" Target="../ctrlProps/ctrlProp48.xml"/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2.xml"/><Relationship Id="rId17" Type="http://schemas.openxmlformats.org/officeDocument/2006/relationships/ctrlProp" Target="../ctrlProps/ctrlProp17.xml"/><Relationship Id="rId25" Type="http://schemas.openxmlformats.org/officeDocument/2006/relationships/ctrlProp" Target="../ctrlProps/ctrlProp25.xml"/><Relationship Id="rId33" Type="http://schemas.openxmlformats.org/officeDocument/2006/relationships/ctrlProp" Target="../ctrlProps/ctrlProp33.xml"/><Relationship Id="rId38" Type="http://schemas.openxmlformats.org/officeDocument/2006/relationships/ctrlProp" Target="../ctrlProps/ctrlProp38.xml"/><Relationship Id="rId46" Type="http://schemas.openxmlformats.org/officeDocument/2006/relationships/ctrlProp" Target="../ctrlProps/ctrlProp46.xml"/><Relationship Id="rId20" Type="http://schemas.openxmlformats.org/officeDocument/2006/relationships/ctrlProp" Target="../ctrlProps/ctrlProp20.xml"/><Relationship Id="rId41" Type="http://schemas.openxmlformats.org/officeDocument/2006/relationships/ctrlProp" Target="../ctrlProps/ctrlProp4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405"/>
  <sheetViews>
    <sheetView zoomScale="88" zoomScaleNormal="88" workbookViewId="0">
      <selection activeCell="C413" sqref="C413"/>
    </sheetView>
  </sheetViews>
  <sheetFormatPr baseColWidth="10" defaultColWidth="11.44140625" defaultRowHeight="13.2" x14ac:dyDescent="0.25"/>
  <cols>
    <col min="1" max="1" width="7.109375" style="384" customWidth="1"/>
    <col min="2" max="2" width="56.88671875" style="384" customWidth="1"/>
    <col min="3" max="3" width="83.88671875" style="384" bestFit="1" customWidth="1"/>
  </cols>
  <sheetData>
    <row r="1" spans="1:3" ht="6.6" customHeight="1" x14ac:dyDescent="0.25">
      <c r="A1"/>
      <c r="B1"/>
      <c r="C1"/>
    </row>
    <row r="2" spans="1:3" ht="14.4" x14ac:dyDescent="0.3">
      <c r="A2" s="457" t="s">
        <v>696</v>
      </c>
      <c r="B2" s="457"/>
      <c r="C2" s="457"/>
    </row>
    <row r="3" spans="1:3" x14ac:dyDescent="0.25">
      <c r="B3" s="458" t="s">
        <v>697</v>
      </c>
      <c r="C3" s="458"/>
    </row>
    <row r="4" spans="1:3" x14ac:dyDescent="0.25">
      <c r="B4" s="385"/>
      <c r="C4" s="385"/>
    </row>
    <row r="5" spans="1:3" ht="13.8" x14ac:dyDescent="0.3">
      <c r="A5" s="386" t="s">
        <v>698</v>
      </c>
      <c r="B5" s="387" t="s">
        <v>847</v>
      </c>
      <c r="C5" s="387" t="s">
        <v>848</v>
      </c>
    </row>
    <row r="6" spans="1:3" x14ac:dyDescent="0.25">
      <c r="A6" s="388">
        <v>1</v>
      </c>
      <c r="B6" s="389" t="s">
        <v>849</v>
      </c>
      <c r="C6" s="389" t="s">
        <v>419</v>
      </c>
    </row>
    <row r="7" spans="1:3" x14ac:dyDescent="0.25">
      <c r="A7" s="388">
        <v>2</v>
      </c>
      <c r="B7" s="390" t="s">
        <v>850</v>
      </c>
      <c r="C7" s="389" t="s">
        <v>851</v>
      </c>
    </row>
    <row r="8" spans="1:3" x14ac:dyDescent="0.25">
      <c r="A8" s="388">
        <v>3</v>
      </c>
      <c r="B8" s="389" t="s">
        <v>707</v>
      </c>
      <c r="C8" s="389" t="s">
        <v>708</v>
      </c>
    </row>
    <row r="9" spans="1:3" x14ac:dyDescent="0.25">
      <c r="A9" s="388">
        <v>4</v>
      </c>
      <c r="B9" s="389" t="s">
        <v>852</v>
      </c>
      <c r="C9" s="389" t="s">
        <v>853</v>
      </c>
    </row>
    <row r="10" spans="1:3" x14ac:dyDescent="0.25">
      <c r="A10" s="388">
        <v>5</v>
      </c>
      <c r="B10" s="389" t="s">
        <v>236</v>
      </c>
      <c r="C10" s="389" t="s">
        <v>421</v>
      </c>
    </row>
    <row r="11" spans="1:3" x14ac:dyDescent="0.25">
      <c r="A11" s="388">
        <v>6</v>
      </c>
      <c r="B11" s="391" t="s">
        <v>854</v>
      </c>
      <c r="C11" s="391" t="s">
        <v>855</v>
      </c>
    </row>
    <row r="12" spans="1:3" x14ac:dyDescent="0.25">
      <c r="A12" s="388">
        <v>7</v>
      </c>
      <c r="B12" s="389" t="s">
        <v>856</v>
      </c>
      <c r="C12" s="389" t="s">
        <v>857</v>
      </c>
    </row>
    <row r="13" spans="1:3" x14ac:dyDescent="0.25">
      <c r="A13" s="388">
        <v>8</v>
      </c>
      <c r="B13" s="389" t="s">
        <v>709</v>
      </c>
      <c r="C13" s="389" t="s">
        <v>710</v>
      </c>
    </row>
    <row r="14" spans="1:3" x14ac:dyDescent="0.25">
      <c r="A14" s="388">
        <v>9</v>
      </c>
      <c r="B14" s="389" t="s">
        <v>699</v>
      </c>
      <c r="C14" s="389" t="s">
        <v>700</v>
      </c>
    </row>
    <row r="15" spans="1:3" x14ac:dyDescent="0.25">
      <c r="A15" s="388">
        <v>10</v>
      </c>
      <c r="B15" s="389" t="s">
        <v>704</v>
      </c>
      <c r="C15" s="389" t="s">
        <v>705</v>
      </c>
    </row>
    <row r="16" spans="1:3" x14ac:dyDescent="0.25">
      <c r="A16" s="388">
        <v>11</v>
      </c>
      <c r="B16" s="379" t="s">
        <v>858</v>
      </c>
      <c r="C16" s="391" t="s">
        <v>859</v>
      </c>
    </row>
    <row r="17" spans="1:3" x14ac:dyDescent="0.25">
      <c r="A17" s="388">
        <v>12</v>
      </c>
      <c r="B17" s="389" t="s">
        <v>860</v>
      </c>
      <c r="C17" s="389" t="s">
        <v>861</v>
      </c>
    </row>
    <row r="18" spans="1:3" x14ac:dyDescent="0.25">
      <c r="A18" s="388">
        <v>13</v>
      </c>
      <c r="B18" s="389" t="s">
        <v>702</v>
      </c>
      <c r="C18" s="389" t="s">
        <v>703</v>
      </c>
    </row>
    <row r="19" spans="1:3" x14ac:dyDescent="0.25">
      <c r="A19" s="388">
        <v>14</v>
      </c>
      <c r="B19" s="389" t="s">
        <v>862</v>
      </c>
      <c r="C19" s="389" t="s">
        <v>747</v>
      </c>
    </row>
    <row r="20" spans="1:3" x14ac:dyDescent="0.25">
      <c r="A20" s="388">
        <v>15</v>
      </c>
      <c r="B20" s="389" t="s">
        <v>863</v>
      </c>
      <c r="C20" s="389" t="s">
        <v>864</v>
      </c>
    </row>
    <row r="21" spans="1:3" x14ac:dyDescent="0.25">
      <c r="A21" s="388">
        <v>16</v>
      </c>
      <c r="B21" s="389" t="s">
        <v>865</v>
      </c>
      <c r="C21" s="389" t="s">
        <v>711</v>
      </c>
    </row>
    <row r="22" spans="1:3" ht="26.4" x14ac:dyDescent="0.25">
      <c r="A22" s="388">
        <v>17</v>
      </c>
      <c r="B22" s="389" t="s">
        <v>1405</v>
      </c>
      <c r="C22" s="389" t="s">
        <v>1444</v>
      </c>
    </row>
    <row r="23" spans="1:3" x14ac:dyDescent="0.25">
      <c r="A23" s="388">
        <v>18</v>
      </c>
      <c r="B23" s="389" t="s">
        <v>866</v>
      </c>
      <c r="C23" s="389" t="s">
        <v>867</v>
      </c>
    </row>
    <row r="24" spans="1:3" ht="15" customHeight="1" x14ac:dyDescent="0.25">
      <c r="A24" s="388">
        <v>19</v>
      </c>
      <c r="B24" s="389" t="s">
        <v>868</v>
      </c>
      <c r="C24" s="389" t="s">
        <v>869</v>
      </c>
    </row>
    <row r="25" spans="1:3" ht="15" customHeight="1" x14ac:dyDescent="0.25">
      <c r="A25" s="388">
        <v>20</v>
      </c>
      <c r="B25" s="389" t="s">
        <v>870</v>
      </c>
      <c r="C25" s="389" t="s">
        <v>639</v>
      </c>
    </row>
    <row r="26" spans="1:3" x14ac:dyDescent="0.25">
      <c r="A26" s="388">
        <v>21</v>
      </c>
      <c r="B26" s="389" t="s">
        <v>1406</v>
      </c>
      <c r="C26" s="389" t="s">
        <v>1445</v>
      </c>
    </row>
    <row r="27" spans="1:3" x14ac:dyDescent="0.25">
      <c r="A27" s="388">
        <v>22</v>
      </c>
      <c r="B27" s="389" t="s">
        <v>871</v>
      </c>
      <c r="C27" s="389" t="s">
        <v>872</v>
      </c>
    </row>
    <row r="28" spans="1:3" x14ac:dyDescent="0.25">
      <c r="A28" s="388">
        <v>23</v>
      </c>
      <c r="B28" s="389" t="s">
        <v>873</v>
      </c>
      <c r="C28" s="389" t="s">
        <v>874</v>
      </c>
    </row>
    <row r="29" spans="1:3" x14ac:dyDescent="0.25">
      <c r="A29" s="388">
        <v>24</v>
      </c>
      <c r="B29" s="389" t="s">
        <v>875</v>
      </c>
      <c r="C29" s="389" t="s">
        <v>876</v>
      </c>
    </row>
    <row r="30" spans="1:3" ht="20.25" customHeight="1" x14ac:dyDescent="0.25">
      <c r="A30" s="388">
        <v>25</v>
      </c>
      <c r="B30" s="389" t="s">
        <v>877</v>
      </c>
      <c r="C30" s="389" t="s">
        <v>430</v>
      </c>
    </row>
    <row r="31" spans="1:3" x14ac:dyDescent="0.25">
      <c r="A31" s="388">
        <v>26</v>
      </c>
      <c r="B31" s="389" t="s">
        <v>878</v>
      </c>
      <c r="C31" s="389" t="s">
        <v>461</v>
      </c>
    </row>
    <row r="32" spans="1:3" x14ac:dyDescent="0.25">
      <c r="A32" s="388">
        <v>27</v>
      </c>
      <c r="B32" s="389" t="s">
        <v>879</v>
      </c>
      <c r="C32" s="389" t="s">
        <v>880</v>
      </c>
    </row>
    <row r="33" spans="1:3" x14ac:dyDescent="0.25">
      <c r="A33" s="388">
        <v>28</v>
      </c>
      <c r="B33" s="389" t="s">
        <v>1407</v>
      </c>
      <c r="C33" s="389" t="s">
        <v>1446</v>
      </c>
    </row>
    <row r="34" spans="1:3" x14ac:dyDescent="0.25">
      <c r="A34" s="388">
        <v>29</v>
      </c>
      <c r="B34" s="389" t="s">
        <v>881</v>
      </c>
      <c r="C34" s="389" t="s">
        <v>882</v>
      </c>
    </row>
    <row r="35" spans="1:3" x14ac:dyDescent="0.25">
      <c r="A35" s="388">
        <v>30</v>
      </c>
      <c r="B35" s="389" t="s">
        <v>706</v>
      </c>
      <c r="C35" s="390" t="s">
        <v>883</v>
      </c>
    </row>
    <row r="36" spans="1:3" x14ac:dyDescent="0.25">
      <c r="A36" s="388">
        <v>31</v>
      </c>
      <c r="B36" s="389" t="s">
        <v>884</v>
      </c>
      <c r="C36" s="389" t="s">
        <v>1447</v>
      </c>
    </row>
    <row r="37" spans="1:3" x14ac:dyDescent="0.25">
      <c r="A37" s="388">
        <v>32</v>
      </c>
      <c r="B37" s="389" t="s">
        <v>885</v>
      </c>
      <c r="C37" s="389" t="s">
        <v>886</v>
      </c>
    </row>
    <row r="38" spans="1:3" x14ac:dyDescent="0.25">
      <c r="A38" s="388">
        <v>33</v>
      </c>
      <c r="B38" s="389" t="s">
        <v>887</v>
      </c>
      <c r="C38" s="389" t="s">
        <v>888</v>
      </c>
    </row>
    <row r="39" spans="1:3" x14ac:dyDescent="0.25">
      <c r="A39" s="388">
        <v>34</v>
      </c>
      <c r="B39" s="389" t="s">
        <v>712</v>
      </c>
      <c r="C39" s="389" t="s">
        <v>713</v>
      </c>
    </row>
    <row r="40" spans="1:3" x14ac:dyDescent="0.25">
      <c r="A40" s="388">
        <v>35</v>
      </c>
      <c r="B40" s="389" t="s">
        <v>889</v>
      </c>
      <c r="C40" s="389" t="s">
        <v>890</v>
      </c>
    </row>
    <row r="41" spans="1:3" x14ac:dyDescent="0.25">
      <c r="A41" s="388">
        <v>36</v>
      </c>
      <c r="B41" s="389" t="s">
        <v>891</v>
      </c>
      <c r="C41" s="389" t="s">
        <v>892</v>
      </c>
    </row>
    <row r="42" spans="1:3" x14ac:dyDescent="0.25">
      <c r="A42" s="388">
        <v>37</v>
      </c>
      <c r="B42" s="379" t="s">
        <v>893</v>
      </c>
      <c r="C42" s="389" t="s">
        <v>894</v>
      </c>
    </row>
    <row r="43" spans="1:3" x14ac:dyDescent="0.25">
      <c r="A43" s="388">
        <v>38</v>
      </c>
      <c r="B43" s="389" t="s">
        <v>714</v>
      </c>
      <c r="C43" s="389" t="s">
        <v>715</v>
      </c>
    </row>
    <row r="44" spans="1:3" x14ac:dyDescent="0.25">
      <c r="A44" s="388">
        <v>39</v>
      </c>
      <c r="B44" s="392" t="s">
        <v>895</v>
      </c>
      <c r="C44" s="389" t="s">
        <v>896</v>
      </c>
    </row>
    <row r="45" spans="1:3" x14ac:dyDescent="0.25">
      <c r="A45" s="388">
        <v>40</v>
      </c>
      <c r="B45" s="389" t="s">
        <v>897</v>
      </c>
      <c r="C45" s="389" t="s">
        <v>898</v>
      </c>
    </row>
    <row r="46" spans="1:3" x14ac:dyDescent="0.25">
      <c r="A46" s="388">
        <v>41</v>
      </c>
      <c r="B46" s="389" t="s">
        <v>899</v>
      </c>
      <c r="C46" s="389" t="s">
        <v>900</v>
      </c>
    </row>
    <row r="47" spans="1:3" x14ac:dyDescent="0.25">
      <c r="A47" s="388">
        <v>42</v>
      </c>
      <c r="B47" s="389" t="s">
        <v>901</v>
      </c>
      <c r="C47" s="389" t="s">
        <v>902</v>
      </c>
    </row>
    <row r="48" spans="1:3" x14ac:dyDescent="0.25">
      <c r="A48" s="388">
        <v>43</v>
      </c>
      <c r="B48" s="389" t="s">
        <v>903</v>
      </c>
      <c r="C48" s="389" t="s">
        <v>718</v>
      </c>
    </row>
    <row r="49" spans="1:3" x14ac:dyDescent="0.25">
      <c r="A49" s="388">
        <v>44</v>
      </c>
      <c r="B49" s="389" t="s">
        <v>904</v>
      </c>
      <c r="C49" s="389" t="s">
        <v>437</v>
      </c>
    </row>
    <row r="50" spans="1:3" x14ac:dyDescent="0.25">
      <c r="A50" s="388">
        <v>45</v>
      </c>
      <c r="B50" s="389" t="s">
        <v>905</v>
      </c>
      <c r="C50" s="389" t="s">
        <v>716</v>
      </c>
    </row>
    <row r="51" spans="1:3" x14ac:dyDescent="0.25">
      <c r="A51" s="388">
        <v>46</v>
      </c>
      <c r="B51" s="389" t="s">
        <v>719</v>
      </c>
      <c r="C51" s="389" t="s">
        <v>720</v>
      </c>
    </row>
    <row r="52" spans="1:3" x14ac:dyDescent="0.25">
      <c r="A52" s="388"/>
      <c r="B52" s="389" t="s">
        <v>906</v>
      </c>
      <c r="C52" s="389" t="s">
        <v>907</v>
      </c>
    </row>
    <row r="53" spans="1:3" x14ac:dyDescent="0.25">
      <c r="A53" s="388">
        <v>47</v>
      </c>
      <c r="B53" s="389" t="s">
        <v>908</v>
      </c>
      <c r="C53" s="389" t="s">
        <v>909</v>
      </c>
    </row>
    <row r="54" spans="1:3" x14ac:dyDescent="0.25">
      <c r="A54" s="388">
        <v>48</v>
      </c>
      <c r="B54" s="389" t="s">
        <v>910</v>
      </c>
      <c r="C54" s="389" t="s">
        <v>911</v>
      </c>
    </row>
    <row r="55" spans="1:3" x14ac:dyDescent="0.25">
      <c r="A55" s="388">
        <v>49</v>
      </c>
      <c r="B55" s="389" t="s">
        <v>912</v>
      </c>
      <c r="C55" s="389" t="s">
        <v>722</v>
      </c>
    </row>
    <row r="56" spans="1:3" x14ac:dyDescent="0.25">
      <c r="A56" s="388">
        <v>50</v>
      </c>
      <c r="B56" s="389" t="s">
        <v>1408</v>
      </c>
      <c r="C56" s="389"/>
    </row>
    <row r="57" spans="1:3" x14ac:dyDescent="0.25">
      <c r="A57" s="388">
        <v>51</v>
      </c>
      <c r="B57" s="389" t="s">
        <v>1409</v>
      </c>
      <c r="C57" s="389" t="s">
        <v>1448</v>
      </c>
    </row>
    <row r="58" spans="1:3" x14ac:dyDescent="0.25">
      <c r="A58" s="388">
        <v>52</v>
      </c>
      <c r="B58" s="389" t="s">
        <v>913</v>
      </c>
      <c r="C58" s="389" t="s">
        <v>914</v>
      </c>
    </row>
    <row r="59" spans="1:3" x14ac:dyDescent="0.25">
      <c r="A59" s="388">
        <v>53</v>
      </c>
      <c r="B59" s="389" t="s">
        <v>915</v>
      </c>
      <c r="C59" s="389" t="s">
        <v>721</v>
      </c>
    </row>
    <row r="60" spans="1:3" x14ac:dyDescent="0.25">
      <c r="A60" s="388">
        <v>54</v>
      </c>
      <c r="B60" s="389" t="s">
        <v>916</v>
      </c>
      <c r="C60" s="389" t="s">
        <v>442</v>
      </c>
    </row>
    <row r="61" spans="1:3" x14ac:dyDescent="0.25">
      <c r="A61" s="388">
        <v>55</v>
      </c>
      <c r="B61" s="389" t="s">
        <v>917</v>
      </c>
      <c r="C61" s="389" t="s">
        <v>443</v>
      </c>
    </row>
    <row r="62" spans="1:3" x14ac:dyDescent="0.25">
      <c r="A62" s="388">
        <v>56</v>
      </c>
      <c r="B62" s="389" t="s">
        <v>918</v>
      </c>
      <c r="C62" s="389" t="s">
        <v>443</v>
      </c>
    </row>
    <row r="63" spans="1:3" x14ac:dyDescent="0.25">
      <c r="A63" s="388">
        <v>57</v>
      </c>
      <c r="B63" s="389" t="s">
        <v>919</v>
      </c>
      <c r="C63" s="389" t="s">
        <v>443</v>
      </c>
    </row>
    <row r="64" spans="1:3" x14ac:dyDescent="0.25">
      <c r="A64" s="388">
        <v>58</v>
      </c>
      <c r="B64" s="389" t="s">
        <v>920</v>
      </c>
      <c r="C64" s="389" t="s">
        <v>921</v>
      </c>
    </row>
    <row r="65" spans="1:3" x14ac:dyDescent="0.25">
      <c r="A65" s="388">
        <v>59</v>
      </c>
      <c r="B65" s="389" t="s">
        <v>922</v>
      </c>
      <c r="C65" s="389" t="s">
        <v>726</v>
      </c>
    </row>
    <row r="66" spans="1:3" x14ac:dyDescent="0.25">
      <c r="A66" s="388">
        <v>60</v>
      </c>
      <c r="B66" s="389" t="s">
        <v>923</v>
      </c>
      <c r="C66" s="389" t="s">
        <v>924</v>
      </c>
    </row>
    <row r="67" spans="1:3" x14ac:dyDescent="0.25">
      <c r="A67" s="388">
        <v>61</v>
      </c>
      <c r="B67" s="389" t="s">
        <v>925</v>
      </c>
      <c r="C67" s="389" t="s">
        <v>447</v>
      </c>
    </row>
    <row r="68" spans="1:3" x14ac:dyDescent="0.25">
      <c r="A68" s="388">
        <v>62</v>
      </c>
      <c r="B68" s="389" t="s">
        <v>926</v>
      </c>
      <c r="C68" s="393" t="s">
        <v>927</v>
      </c>
    </row>
    <row r="69" spans="1:3" x14ac:dyDescent="0.25">
      <c r="A69" s="388">
        <v>63</v>
      </c>
      <c r="B69" s="389" t="s">
        <v>928</v>
      </c>
      <c r="C69" s="393" t="s">
        <v>929</v>
      </c>
    </row>
    <row r="70" spans="1:3" x14ac:dyDescent="0.25">
      <c r="A70" s="388">
        <v>64</v>
      </c>
      <c r="B70" s="394" t="s">
        <v>930</v>
      </c>
      <c r="C70" s="394" t="s">
        <v>725</v>
      </c>
    </row>
    <row r="71" spans="1:3" x14ac:dyDescent="0.25">
      <c r="A71" s="388">
        <v>65</v>
      </c>
      <c r="B71" s="389" t="s">
        <v>931</v>
      </c>
      <c r="C71" s="389" t="s">
        <v>932</v>
      </c>
    </row>
    <row r="72" spans="1:3" x14ac:dyDescent="0.25">
      <c r="A72" s="388">
        <v>66</v>
      </c>
      <c r="B72" s="389" t="s">
        <v>933</v>
      </c>
      <c r="C72" s="389" t="s">
        <v>894</v>
      </c>
    </row>
    <row r="73" spans="1:3" x14ac:dyDescent="0.25">
      <c r="A73" s="388">
        <v>67</v>
      </c>
      <c r="B73" s="389" t="s">
        <v>934</v>
      </c>
      <c r="C73" s="389" t="s">
        <v>452</v>
      </c>
    </row>
    <row r="74" spans="1:3" x14ac:dyDescent="0.25">
      <c r="A74" s="388">
        <v>68</v>
      </c>
      <c r="B74" s="389" t="s">
        <v>935</v>
      </c>
      <c r="C74" s="389" t="s">
        <v>936</v>
      </c>
    </row>
    <row r="75" spans="1:3" x14ac:dyDescent="0.25">
      <c r="A75" s="388">
        <v>69</v>
      </c>
      <c r="B75" s="389" t="s">
        <v>271</v>
      </c>
      <c r="C75" s="389" t="s">
        <v>639</v>
      </c>
    </row>
    <row r="76" spans="1:3" x14ac:dyDescent="0.25">
      <c r="A76" s="388">
        <v>70</v>
      </c>
      <c r="B76" s="389" t="s">
        <v>937</v>
      </c>
      <c r="C76" s="389" t="s">
        <v>938</v>
      </c>
    </row>
    <row r="77" spans="1:3" x14ac:dyDescent="0.25">
      <c r="A77" s="388"/>
      <c r="B77" s="389" t="s">
        <v>939</v>
      </c>
      <c r="C77" s="389" t="s">
        <v>455</v>
      </c>
    </row>
    <row r="78" spans="1:3" x14ac:dyDescent="0.25">
      <c r="A78" s="388">
        <v>71</v>
      </c>
      <c r="B78" s="389" t="s">
        <v>940</v>
      </c>
      <c r="C78" s="389" t="s">
        <v>941</v>
      </c>
    </row>
    <row r="79" spans="1:3" x14ac:dyDescent="0.25">
      <c r="A79" s="388">
        <v>72</v>
      </c>
      <c r="B79" s="389" t="s">
        <v>942</v>
      </c>
      <c r="C79" s="389" t="s">
        <v>943</v>
      </c>
    </row>
    <row r="80" spans="1:3" x14ac:dyDescent="0.25">
      <c r="A80" s="388">
        <v>73</v>
      </c>
      <c r="B80" s="389" t="s">
        <v>944</v>
      </c>
      <c r="C80" s="389" t="s">
        <v>945</v>
      </c>
    </row>
    <row r="81" spans="1:3" x14ac:dyDescent="0.25">
      <c r="A81" s="388">
        <v>74</v>
      </c>
      <c r="B81" s="389" t="s">
        <v>946</v>
      </c>
      <c r="C81" s="389" t="s">
        <v>639</v>
      </c>
    </row>
    <row r="82" spans="1:3" x14ac:dyDescent="0.25">
      <c r="A82" s="388">
        <v>75</v>
      </c>
      <c r="B82" s="389" t="s">
        <v>947</v>
      </c>
      <c r="C82" s="389" t="s">
        <v>948</v>
      </c>
    </row>
    <row r="83" spans="1:3" x14ac:dyDescent="0.25">
      <c r="A83" s="388">
        <v>76</v>
      </c>
      <c r="B83" s="389" t="s">
        <v>949</v>
      </c>
      <c r="C83" s="389" t="s">
        <v>950</v>
      </c>
    </row>
    <row r="84" spans="1:3" x14ac:dyDescent="0.25">
      <c r="A84" s="388">
        <v>77</v>
      </c>
      <c r="B84" s="389" t="s">
        <v>727</v>
      </c>
      <c r="C84" s="389" t="s">
        <v>951</v>
      </c>
    </row>
    <row r="85" spans="1:3" x14ac:dyDescent="0.25">
      <c r="A85" s="388">
        <v>78</v>
      </c>
      <c r="B85" s="389" t="s">
        <v>829</v>
      </c>
      <c r="C85" s="389" t="s">
        <v>952</v>
      </c>
    </row>
    <row r="86" spans="1:3" x14ac:dyDescent="0.25">
      <c r="A86" s="388">
        <v>79</v>
      </c>
      <c r="B86" s="389" t="s">
        <v>953</v>
      </c>
      <c r="C86" s="389" t="s">
        <v>954</v>
      </c>
    </row>
    <row r="87" spans="1:3" x14ac:dyDescent="0.25">
      <c r="A87" s="388">
        <v>80</v>
      </c>
      <c r="B87" s="389" t="s">
        <v>955</v>
      </c>
      <c r="C87" s="389" t="s">
        <v>956</v>
      </c>
    </row>
    <row r="88" spans="1:3" x14ac:dyDescent="0.25">
      <c r="A88" s="388">
        <v>81</v>
      </c>
      <c r="B88" s="389" t="s">
        <v>957</v>
      </c>
      <c r="C88" s="389" t="s">
        <v>958</v>
      </c>
    </row>
    <row r="89" spans="1:3" x14ac:dyDescent="0.25">
      <c r="A89" s="388">
        <v>82</v>
      </c>
      <c r="B89" s="389" t="s">
        <v>959</v>
      </c>
      <c r="C89" s="379" t="s">
        <v>960</v>
      </c>
    </row>
    <row r="90" spans="1:3" x14ac:dyDescent="0.25">
      <c r="A90" s="388">
        <v>83</v>
      </c>
      <c r="B90" s="389" t="s">
        <v>961</v>
      </c>
      <c r="C90" s="389" t="s">
        <v>463</v>
      </c>
    </row>
    <row r="91" spans="1:3" x14ac:dyDescent="0.25">
      <c r="A91" s="388">
        <v>84</v>
      </c>
      <c r="B91" s="389" t="s">
        <v>962</v>
      </c>
      <c r="C91" s="389" t="s">
        <v>462</v>
      </c>
    </row>
    <row r="92" spans="1:3" x14ac:dyDescent="0.25">
      <c r="A92" s="388">
        <v>85</v>
      </c>
      <c r="B92" s="389" t="s">
        <v>963</v>
      </c>
      <c r="C92" s="389" t="s">
        <v>964</v>
      </c>
    </row>
    <row r="93" spans="1:3" x14ac:dyDescent="0.25">
      <c r="A93" s="388">
        <v>86</v>
      </c>
      <c r="B93" s="389" t="s">
        <v>965</v>
      </c>
      <c r="C93" s="389" t="s">
        <v>966</v>
      </c>
    </row>
    <row r="94" spans="1:3" x14ac:dyDescent="0.25">
      <c r="A94" s="388">
        <v>87</v>
      </c>
      <c r="B94" s="389" t="s">
        <v>967</v>
      </c>
      <c r="C94" s="389" t="s">
        <v>464</v>
      </c>
    </row>
    <row r="95" spans="1:3" x14ac:dyDescent="0.25">
      <c r="A95" s="388">
        <v>88</v>
      </c>
      <c r="B95" s="389" t="s">
        <v>830</v>
      </c>
      <c r="C95" s="389" t="s">
        <v>640</v>
      </c>
    </row>
    <row r="96" spans="1:3" x14ac:dyDescent="0.25">
      <c r="A96" s="388">
        <v>89</v>
      </c>
      <c r="B96" s="389" t="s">
        <v>968</v>
      </c>
      <c r="C96" s="389" t="s">
        <v>969</v>
      </c>
    </row>
    <row r="97" spans="1:3" x14ac:dyDescent="0.25">
      <c r="A97" s="388">
        <v>90</v>
      </c>
      <c r="B97" s="389" t="s">
        <v>970</v>
      </c>
      <c r="C97" s="389" t="s">
        <v>828</v>
      </c>
    </row>
    <row r="98" spans="1:3" x14ac:dyDescent="0.25">
      <c r="A98" s="388"/>
      <c r="B98" s="389" t="s">
        <v>971</v>
      </c>
      <c r="C98" s="389" t="s">
        <v>972</v>
      </c>
    </row>
    <row r="99" spans="1:3" x14ac:dyDescent="0.25">
      <c r="A99" s="388">
        <v>91</v>
      </c>
      <c r="B99" s="389" t="s">
        <v>973</v>
      </c>
      <c r="C99" s="389" t="s">
        <v>974</v>
      </c>
    </row>
    <row r="100" spans="1:3" x14ac:dyDescent="0.25">
      <c r="A100" s="388"/>
      <c r="B100" s="389" t="s">
        <v>975</v>
      </c>
      <c r="C100" s="389" t="s">
        <v>976</v>
      </c>
    </row>
    <row r="101" spans="1:3" x14ac:dyDescent="0.25">
      <c r="A101" s="388">
        <v>92</v>
      </c>
      <c r="B101" s="389" t="s">
        <v>977</v>
      </c>
      <c r="C101" s="389" t="s">
        <v>978</v>
      </c>
    </row>
    <row r="102" spans="1:3" x14ac:dyDescent="0.25">
      <c r="A102" s="388">
        <v>93</v>
      </c>
      <c r="B102" s="389" t="s">
        <v>1410</v>
      </c>
      <c r="C102" s="389" t="s">
        <v>1449</v>
      </c>
    </row>
    <row r="103" spans="1:3" x14ac:dyDescent="0.25">
      <c r="A103" s="388">
        <v>94</v>
      </c>
      <c r="B103" s="389" t="s">
        <v>979</v>
      </c>
      <c r="C103" s="389" t="s">
        <v>980</v>
      </c>
    </row>
    <row r="104" spans="1:3" x14ac:dyDescent="0.25">
      <c r="A104" s="388">
        <v>95</v>
      </c>
      <c r="B104" s="389" t="s">
        <v>981</v>
      </c>
      <c r="C104" s="389" t="s">
        <v>1450</v>
      </c>
    </row>
    <row r="105" spans="1:3" x14ac:dyDescent="0.25">
      <c r="A105" s="388">
        <v>96</v>
      </c>
      <c r="B105" s="389" t="s">
        <v>982</v>
      </c>
      <c r="C105" s="389" t="s">
        <v>728</v>
      </c>
    </row>
    <row r="106" spans="1:3" x14ac:dyDescent="0.25">
      <c r="A106" s="388">
        <v>97</v>
      </c>
      <c r="B106" s="389" t="s">
        <v>983</v>
      </c>
      <c r="C106" s="389" t="s">
        <v>984</v>
      </c>
    </row>
    <row r="107" spans="1:3" x14ac:dyDescent="0.25">
      <c r="A107" s="388">
        <v>98</v>
      </c>
      <c r="B107" s="389" t="s">
        <v>985</v>
      </c>
      <c r="C107" s="389" t="s">
        <v>986</v>
      </c>
    </row>
    <row r="108" spans="1:3" x14ac:dyDescent="0.25">
      <c r="A108" s="388">
        <v>99</v>
      </c>
      <c r="B108" s="389" t="s">
        <v>987</v>
      </c>
      <c r="C108" s="389" t="s">
        <v>988</v>
      </c>
    </row>
    <row r="109" spans="1:3" x14ac:dyDescent="0.25">
      <c r="A109" s="388">
        <v>100</v>
      </c>
      <c r="B109" s="389" t="s">
        <v>989</v>
      </c>
      <c r="C109" s="389" t="s">
        <v>990</v>
      </c>
    </row>
    <row r="110" spans="1:3" x14ac:dyDescent="0.25">
      <c r="A110" s="388">
        <v>101</v>
      </c>
      <c r="B110" s="389" t="s">
        <v>991</v>
      </c>
      <c r="C110" s="389" t="s">
        <v>471</v>
      </c>
    </row>
    <row r="111" spans="1:3" x14ac:dyDescent="0.25">
      <c r="A111" s="388">
        <v>102</v>
      </c>
      <c r="B111" s="389" t="s">
        <v>992</v>
      </c>
      <c r="C111" s="389" t="s">
        <v>993</v>
      </c>
    </row>
    <row r="112" spans="1:3" x14ac:dyDescent="0.25">
      <c r="A112" s="388">
        <v>103</v>
      </c>
      <c r="B112" s="389" t="s">
        <v>994</v>
      </c>
      <c r="C112" s="389"/>
    </row>
    <row r="113" spans="1:3" x14ac:dyDescent="0.25">
      <c r="A113" s="388">
        <v>104</v>
      </c>
      <c r="B113" s="389" t="s">
        <v>995</v>
      </c>
      <c r="C113" s="389" t="s">
        <v>996</v>
      </c>
    </row>
    <row r="114" spans="1:3" x14ac:dyDescent="0.25">
      <c r="A114" s="388">
        <v>105</v>
      </c>
      <c r="B114" s="389" t="s">
        <v>997</v>
      </c>
      <c r="C114" s="389" t="s">
        <v>998</v>
      </c>
    </row>
    <row r="115" spans="1:3" x14ac:dyDescent="0.25">
      <c r="A115" s="388">
        <v>106</v>
      </c>
      <c r="B115" s="389" t="s">
        <v>999</v>
      </c>
      <c r="C115" s="389" t="s">
        <v>1000</v>
      </c>
    </row>
    <row r="116" spans="1:3" x14ac:dyDescent="0.25">
      <c r="A116" s="388">
        <v>107</v>
      </c>
      <c r="B116" s="389" t="s">
        <v>730</v>
      </c>
      <c r="C116" s="389" t="s">
        <v>731</v>
      </c>
    </row>
    <row r="117" spans="1:3" x14ac:dyDescent="0.25">
      <c r="A117" s="388">
        <v>108</v>
      </c>
      <c r="B117" s="389" t="s">
        <v>1001</v>
      </c>
      <c r="C117" s="389" t="s">
        <v>1002</v>
      </c>
    </row>
    <row r="118" spans="1:3" x14ac:dyDescent="0.25">
      <c r="A118" s="388">
        <v>109</v>
      </c>
      <c r="B118" s="389" t="s">
        <v>1003</v>
      </c>
      <c r="C118" s="389" t="s">
        <v>1004</v>
      </c>
    </row>
    <row r="119" spans="1:3" x14ac:dyDescent="0.25">
      <c r="A119" s="388">
        <v>110</v>
      </c>
      <c r="B119" s="389" t="s">
        <v>1411</v>
      </c>
      <c r="C119" s="389" t="s">
        <v>1451</v>
      </c>
    </row>
    <row r="120" spans="1:3" x14ac:dyDescent="0.25">
      <c r="A120" s="388">
        <v>111</v>
      </c>
      <c r="B120" s="389" t="s">
        <v>1005</v>
      </c>
      <c r="C120" s="389" t="s">
        <v>1006</v>
      </c>
    </row>
    <row r="121" spans="1:3" x14ac:dyDescent="0.25">
      <c r="A121" s="388">
        <v>112</v>
      </c>
      <c r="B121" s="389" t="s">
        <v>1007</v>
      </c>
      <c r="C121" s="389" t="s">
        <v>1008</v>
      </c>
    </row>
    <row r="122" spans="1:3" x14ac:dyDescent="0.25">
      <c r="A122" s="388">
        <v>113</v>
      </c>
      <c r="B122" s="389" t="s">
        <v>1009</v>
      </c>
      <c r="C122" s="389" t="s">
        <v>1010</v>
      </c>
    </row>
    <row r="123" spans="1:3" x14ac:dyDescent="0.25">
      <c r="A123" s="388">
        <v>114</v>
      </c>
      <c r="B123" s="389" t="s">
        <v>1011</v>
      </c>
      <c r="C123" s="389" t="s">
        <v>732</v>
      </c>
    </row>
    <row r="124" spans="1:3" x14ac:dyDescent="0.25">
      <c r="A124" s="388">
        <v>115</v>
      </c>
      <c r="B124" s="389" t="s">
        <v>734</v>
      </c>
      <c r="C124" s="389" t="s">
        <v>735</v>
      </c>
    </row>
    <row r="125" spans="1:3" x14ac:dyDescent="0.25">
      <c r="A125" s="388">
        <v>116</v>
      </c>
      <c r="B125" s="389" t="s">
        <v>1012</v>
      </c>
      <c r="C125" s="389" t="s">
        <v>733</v>
      </c>
    </row>
    <row r="126" spans="1:3" x14ac:dyDescent="0.25">
      <c r="A126" s="388">
        <v>117</v>
      </c>
      <c r="B126" s="389" t="s">
        <v>1013</v>
      </c>
      <c r="C126" s="389" t="s">
        <v>1014</v>
      </c>
    </row>
    <row r="127" spans="1:3" x14ac:dyDescent="0.25">
      <c r="A127" s="388">
        <v>118</v>
      </c>
      <c r="B127" s="389" t="s">
        <v>1015</v>
      </c>
      <c r="C127" s="389" t="s">
        <v>736</v>
      </c>
    </row>
    <row r="128" spans="1:3" x14ac:dyDescent="0.25">
      <c r="A128" s="388">
        <v>119</v>
      </c>
      <c r="B128" s="389" t="s">
        <v>1016</v>
      </c>
      <c r="C128" s="389" t="s">
        <v>1017</v>
      </c>
    </row>
    <row r="129" spans="1:3" x14ac:dyDescent="0.25">
      <c r="A129" s="388">
        <v>120</v>
      </c>
      <c r="B129" s="389" t="s">
        <v>1018</v>
      </c>
      <c r="C129" s="389" t="s">
        <v>1019</v>
      </c>
    </row>
    <row r="130" spans="1:3" x14ac:dyDescent="0.25">
      <c r="A130" s="388">
        <v>121</v>
      </c>
      <c r="B130" s="389" t="s">
        <v>1020</v>
      </c>
      <c r="C130" s="389" t="s">
        <v>1021</v>
      </c>
    </row>
    <row r="131" spans="1:3" x14ac:dyDescent="0.25">
      <c r="A131" s="388">
        <v>122</v>
      </c>
      <c r="B131" s="389" t="s">
        <v>737</v>
      </c>
      <c r="C131" s="389" t="s">
        <v>738</v>
      </c>
    </row>
    <row r="132" spans="1:3" x14ac:dyDescent="0.25">
      <c r="A132" s="388"/>
      <c r="B132" s="389" t="s">
        <v>1022</v>
      </c>
      <c r="C132" s="389" t="s">
        <v>1023</v>
      </c>
    </row>
    <row r="133" spans="1:3" x14ac:dyDescent="0.25">
      <c r="A133" s="388">
        <v>123</v>
      </c>
      <c r="B133" s="389" t="s">
        <v>1024</v>
      </c>
      <c r="C133" s="389" t="s">
        <v>1025</v>
      </c>
    </row>
    <row r="134" spans="1:3" x14ac:dyDescent="0.25">
      <c r="A134" s="388">
        <v>124</v>
      </c>
      <c r="B134" s="389" t="s">
        <v>1026</v>
      </c>
      <c r="C134" s="389" t="s">
        <v>1452</v>
      </c>
    </row>
    <row r="135" spans="1:3" x14ac:dyDescent="0.25">
      <c r="A135" s="388">
        <v>125</v>
      </c>
      <c r="B135" s="389" t="s">
        <v>1027</v>
      </c>
      <c r="C135" s="389" t="s">
        <v>1028</v>
      </c>
    </row>
    <row r="136" spans="1:3" x14ac:dyDescent="0.25">
      <c r="A136" s="388">
        <v>126</v>
      </c>
      <c r="B136" s="389" t="s">
        <v>831</v>
      </c>
      <c r="C136" s="389" t="s">
        <v>1029</v>
      </c>
    </row>
    <row r="137" spans="1:3" x14ac:dyDescent="0.25">
      <c r="A137" s="388">
        <v>127</v>
      </c>
      <c r="B137" s="389" t="s">
        <v>1030</v>
      </c>
      <c r="C137" s="389" t="s">
        <v>1031</v>
      </c>
    </row>
    <row r="138" spans="1:3" x14ac:dyDescent="0.25">
      <c r="A138" s="388">
        <v>128</v>
      </c>
      <c r="B138" s="389" t="s">
        <v>1032</v>
      </c>
      <c r="C138" s="389" t="s">
        <v>739</v>
      </c>
    </row>
    <row r="139" spans="1:3" x14ac:dyDescent="0.25">
      <c r="A139" s="388">
        <v>129</v>
      </c>
      <c r="B139" s="389" t="s">
        <v>1033</v>
      </c>
      <c r="C139" s="389" t="s">
        <v>1034</v>
      </c>
    </row>
    <row r="140" spans="1:3" x14ac:dyDescent="0.25">
      <c r="A140" s="388">
        <v>130</v>
      </c>
      <c r="B140" s="389" t="s">
        <v>1035</v>
      </c>
      <c r="C140" s="389" t="s">
        <v>1036</v>
      </c>
    </row>
    <row r="141" spans="1:3" x14ac:dyDescent="0.25">
      <c r="A141" s="388"/>
      <c r="B141" s="389" t="s">
        <v>1037</v>
      </c>
      <c r="C141" s="389" t="s">
        <v>769</v>
      </c>
    </row>
    <row r="142" spans="1:3" x14ac:dyDescent="0.25">
      <c r="A142" s="388">
        <v>131</v>
      </c>
      <c r="B142" s="389" t="s">
        <v>1038</v>
      </c>
      <c r="C142" s="389" t="s">
        <v>740</v>
      </c>
    </row>
    <row r="143" spans="1:3" x14ac:dyDescent="0.25">
      <c r="A143" s="388">
        <v>132</v>
      </c>
      <c r="B143" s="389" t="s">
        <v>1039</v>
      </c>
      <c r="C143" s="389" t="s">
        <v>1040</v>
      </c>
    </row>
    <row r="144" spans="1:3" x14ac:dyDescent="0.25">
      <c r="A144" s="388">
        <v>133</v>
      </c>
      <c r="B144" s="389" t="s">
        <v>1041</v>
      </c>
      <c r="C144" s="389" t="s">
        <v>483</v>
      </c>
    </row>
    <row r="145" spans="1:3" ht="26.4" x14ac:dyDescent="0.25">
      <c r="A145" s="388">
        <v>134</v>
      </c>
      <c r="B145" s="389" t="s">
        <v>1042</v>
      </c>
      <c r="C145" s="389" t="s">
        <v>1043</v>
      </c>
    </row>
    <row r="146" spans="1:3" x14ac:dyDescent="0.25">
      <c r="A146" s="388">
        <v>135</v>
      </c>
      <c r="B146" s="389" t="s">
        <v>1044</v>
      </c>
      <c r="C146" s="389" t="s">
        <v>1045</v>
      </c>
    </row>
    <row r="147" spans="1:3" ht="26.4" x14ac:dyDescent="0.25">
      <c r="A147" s="388">
        <v>136</v>
      </c>
      <c r="B147" s="389" t="s">
        <v>1046</v>
      </c>
      <c r="C147" s="389" t="s">
        <v>1047</v>
      </c>
    </row>
    <row r="148" spans="1:3" x14ac:dyDescent="0.25">
      <c r="A148" s="388">
        <v>137</v>
      </c>
      <c r="B148" s="389" t="s">
        <v>1048</v>
      </c>
      <c r="C148" s="389" t="s">
        <v>1049</v>
      </c>
    </row>
    <row r="149" spans="1:3" x14ac:dyDescent="0.25">
      <c r="A149" s="388">
        <v>138</v>
      </c>
      <c r="B149" s="389" t="s">
        <v>1050</v>
      </c>
      <c r="C149" s="389" t="s">
        <v>1051</v>
      </c>
    </row>
    <row r="150" spans="1:3" x14ac:dyDescent="0.25">
      <c r="A150" s="388">
        <v>139</v>
      </c>
      <c r="B150" s="389" t="s">
        <v>1412</v>
      </c>
      <c r="C150" s="389" t="s">
        <v>1453</v>
      </c>
    </row>
    <row r="151" spans="1:3" x14ac:dyDescent="0.25">
      <c r="A151" s="388">
        <v>140</v>
      </c>
      <c r="B151" s="389" t="s">
        <v>1052</v>
      </c>
      <c r="C151" s="389" t="s">
        <v>1053</v>
      </c>
    </row>
    <row r="152" spans="1:3" x14ac:dyDescent="0.25">
      <c r="A152" s="388">
        <v>141</v>
      </c>
      <c r="B152" s="389" t="s">
        <v>1054</v>
      </c>
      <c r="C152" s="389" t="s">
        <v>742</v>
      </c>
    </row>
    <row r="153" spans="1:3" x14ac:dyDescent="0.25">
      <c r="A153" s="388">
        <v>142</v>
      </c>
      <c r="B153" s="389" t="s">
        <v>1055</v>
      </c>
      <c r="C153" s="389" t="s">
        <v>745</v>
      </c>
    </row>
    <row r="154" spans="1:3" x14ac:dyDescent="0.25">
      <c r="A154" s="388">
        <v>143</v>
      </c>
      <c r="B154" s="389" t="s">
        <v>1056</v>
      </c>
      <c r="C154" s="389" t="s">
        <v>1057</v>
      </c>
    </row>
    <row r="155" spans="1:3" x14ac:dyDescent="0.25">
      <c r="A155" s="388">
        <v>144</v>
      </c>
      <c r="B155" s="389" t="s">
        <v>1058</v>
      </c>
      <c r="C155" s="389" t="s">
        <v>639</v>
      </c>
    </row>
    <row r="156" spans="1:3" x14ac:dyDescent="0.25">
      <c r="A156" s="388">
        <v>145</v>
      </c>
      <c r="B156" s="389" t="s">
        <v>1059</v>
      </c>
      <c r="C156" s="389" t="s">
        <v>488</v>
      </c>
    </row>
    <row r="157" spans="1:3" x14ac:dyDescent="0.25">
      <c r="A157" s="388">
        <v>146</v>
      </c>
      <c r="B157" s="389" t="s">
        <v>1060</v>
      </c>
      <c r="C157" s="389" t="s">
        <v>1061</v>
      </c>
    </row>
    <row r="158" spans="1:3" x14ac:dyDescent="0.25">
      <c r="A158" s="388"/>
      <c r="B158" s="389" t="s">
        <v>1413</v>
      </c>
      <c r="C158" s="389" t="s">
        <v>1454</v>
      </c>
    </row>
    <row r="159" spans="1:3" x14ac:dyDescent="0.25">
      <c r="A159" s="388">
        <v>147</v>
      </c>
      <c r="B159" s="389" t="s">
        <v>1062</v>
      </c>
      <c r="C159" s="389" t="s">
        <v>741</v>
      </c>
    </row>
    <row r="160" spans="1:3" x14ac:dyDescent="0.25">
      <c r="A160" s="388">
        <v>148</v>
      </c>
      <c r="B160" s="389" t="s">
        <v>1063</v>
      </c>
      <c r="C160" s="389" t="s">
        <v>1064</v>
      </c>
    </row>
    <row r="161" spans="1:3" x14ac:dyDescent="0.25">
      <c r="A161" s="388">
        <v>149</v>
      </c>
      <c r="B161" s="389" t="s">
        <v>1065</v>
      </c>
      <c r="C161" s="389" t="s">
        <v>729</v>
      </c>
    </row>
    <row r="162" spans="1:3" x14ac:dyDescent="0.25">
      <c r="A162" s="388">
        <v>150</v>
      </c>
      <c r="B162" s="389" t="s">
        <v>1414</v>
      </c>
      <c r="C162" s="389" t="s">
        <v>1455</v>
      </c>
    </row>
    <row r="163" spans="1:3" x14ac:dyDescent="0.25">
      <c r="A163" s="388">
        <v>151</v>
      </c>
      <c r="B163" s="389" t="s">
        <v>1066</v>
      </c>
      <c r="C163" s="389" t="s">
        <v>1067</v>
      </c>
    </row>
    <row r="164" spans="1:3" x14ac:dyDescent="0.25">
      <c r="A164" s="388">
        <v>152</v>
      </c>
      <c r="B164" s="389" t="s">
        <v>1068</v>
      </c>
      <c r="C164" s="389" t="s">
        <v>1069</v>
      </c>
    </row>
    <row r="165" spans="1:3" x14ac:dyDescent="0.25">
      <c r="A165" s="388">
        <v>153</v>
      </c>
      <c r="B165" s="389" t="s">
        <v>1070</v>
      </c>
      <c r="C165" s="389" t="s">
        <v>1071</v>
      </c>
    </row>
    <row r="166" spans="1:3" x14ac:dyDescent="0.25">
      <c r="A166" s="388">
        <v>154</v>
      </c>
      <c r="B166" s="389" t="s">
        <v>743</v>
      </c>
      <c r="C166" s="389" t="s">
        <v>744</v>
      </c>
    </row>
    <row r="167" spans="1:3" x14ac:dyDescent="0.25">
      <c r="A167" s="388">
        <v>155</v>
      </c>
      <c r="B167" s="389" t="s">
        <v>748</v>
      </c>
      <c r="C167" s="389" t="s">
        <v>490</v>
      </c>
    </row>
    <row r="168" spans="1:3" x14ac:dyDescent="0.25">
      <c r="A168" s="388">
        <v>156</v>
      </c>
      <c r="B168" s="389" t="s">
        <v>1072</v>
      </c>
      <c r="C168" s="389" t="s">
        <v>832</v>
      </c>
    </row>
    <row r="169" spans="1:3" x14ac:dyDescent="0.25">
      <c r="A169" s="388">
        <v>157</v>
      </c>
      <c r="B169" s="389" t="s">
        <v>1073</v>
      </c>
      <c r="C169" s="389" t="s">
        <v>639</v>
      </c>
    </row>
    <row r="170" spans="1:3" x14ac:dyDescent="0.25">
      <c r="A170" s="388">
        <v>158</v>
      </c>
      <c r="B170" s="389" t="s">
        <v>1074</v>
      </c>
      <c r="C170" s="389" t="s">
        <v>1075</v>
      </c>
    </row>
    <row r="171" spans="1:3" x14ac:dyDescent="0.25">
      <c r="A171" s="388">
        <v>159</v>
      </c>
      <c r="B171" s="389" t="s">
        <v>1415</v>
      </c>
      <c r="C171" s="389" t="s">
        <v>1456</v>
      </c>
    </row>
    <row r="172" spans="1:3" x14ac:dyDescent="0.25">
      <c r="A172" s="388">
        <v>160</v>
      </c>
      <c r="B172" s="389" t="s">
        <v>1416</v>
      </c>
      <c r="C172" s="389" t="s">
        <v>1457</v>
      </c>
    </row>
    <row r="173" spans="1:3" x14ac:dyDescent="0.25">
      <c r="A173" s="388">
        <v>161</v>
      </c>
      <c r="B173" s="389" t="s">
        <v>1076</v>
      </c>
      <c r="C173" s="389" t="s">
        <v>746</v>
      </c>
    </row>
    <row r="174" spans="1:3" x14ac:dyDescent="0.25">
      <c r="A174" s="388">
        <v>162</v>
      </c>
      <c r="B174" s="389" t="s">
        <v>1077</v>
      </c>
      <c r="C174" s="389" t="s">
        <v>1078</v>
      </c>
    </row>
    <row r="175" spans="1:3" x14ac:dyDescent="0.25">
      <c r="A175" s="388">
        <v>163</v>
      </c>
      <c r="B175" s="389" t="s">
        <v>1079</v>
      </c>
      <c r="C175" s="389" t="s">
        <v>1080</v>
      </c>
    </row>
    <row r="176" spans="1:3" x14ac:dyDescent="0.25">
      <c r="A176" s="388">
        <v>164</v>
      </c>
      <c r="B176" s="389" t="s">
        <v>1417</v>
      </c>
      <c r="C176" s="389" t="s">
        <v>1458</v>
      </c>
    </row>
    <row r="177" spans="1:3" x14ac:dyDescent="0.25">
      <c r="A177" s="388">
        <v>165</v>
      </c>
      <c r="B177" s="389" t="s">
        <v>316</v>
      </c>
      <c r="C177" s="389" t="s">
        <v>492</v>
      </c>
    </row>
    <row r="178" spans="1:3" x14ac:dyDescent="0.25">
      <c r="A178" s="388">
        <v>166</v>
      </c>
      <c r="B178" s="395" t="s">
        <v>1081</v>
      </c>
      <c r="C178" s="389" t="s">
        <v>749</v>
      </c>
    </row>
    <row r="179" spans="1:3" ht="26.4" x14ac:dyDescent="0.25">
      <c r="A179" s="388">
        <v>167</v>
      </c>
      <c r="B179" s="389" t="s">
        <v>1082</v>
      </c>
      <c r="C179" s="389" t="s">
        <v>1083</v>
      </c>
    </row>
    <row r="180" spans="1:3" x14ac:dyDescent="0.25">
      <c r="A180" s="388">
        <v>168</v>
      </c>
      <c r="B180" s="389" t="s">
        <v>753</v>
      </c>
      <c r="C180" s="389" t="s">
        <v>754</v>
      </c>
    </row>
    <row r="181" spans="1:3" x14ac:dyDescent="0.25">
      <c r="A181" s="388">
        <v>169</v>
      </c>
      <c r="B181" s="389" t="s">
        <v>1084</v>
      </c>
      <c r="C181" s="389" t="s">
        <v>1085</v>
      </c>
    </row>
    <row r="182" spans="1:3" x14ac:dyDescent="0.25">
      <c r="A182" s="388">
        <v>170</v>
      </c>
      <c r="B182" s="389" t="s">
        <v>1086</v>
      </c>
      <c r="C182" s="389" t="s">
        <v>1087</v>
      </c>
    </row>
    <row r="183" spans="1:3" x14ac:dyDescent="0.25">
      <c r="A183" s="388">
        <v>171</v>
      </c>
      <c r="B183" s="389" t="s">
        <v>1088</v>
      </c>
      <c r="C183" s="389" t="s">
        <v>857</v>
      </c>
    </row>
    <row r="184" spans="1:3" x14ac:dyDescent="0.25">
      <c r="A184" s="388">
        <v>172</v>
      </c>
      <c r="B184" s="389" t="s">
        <v>1089</v>
      </c>
      <c r="C184" s="389" t="s">
        <v>1090</v>
      </c>
    </row>
    <row r="185" spans="1:3" x14ac:dyDescent="0.25">
      <c r="A185" s="388">
        <v>173</v>
      </c>
      <c r="B185" s="389" t="s">
        <v>1091</v>
      </c>
      <c r="C185" s="389" t="s">
        <v>762</v>
      </c>
    </row>
    <row r="186" spans="1:3" x14ac:dyDescent="0.25">
      <c r="A186" s="388">
        <v>174</v>
      </c>
      <c r="B186" s="389" t="s">
        <v>1092</v>
      </c>
      <c r="C186" s="389" t="s">
        <v>1093</v>
      </c>
    </row>
    <row r="187" spans="1:3" x14ac:dyDescent="0.25">
      <c r="A187" s="388">
        <v>175</v>
      </c>
      <c r="B187" s="389" t="s">
        <v>1094</v>
      </c>
      <c r="C187" s="389" t="s">
        <v>1095</v>
      </c>
    </row>
    <row r="188" spans="1:3" x14ac:dyDescent="0.25">
      <c r="A188" s="388">
        <v>176</v>
      </c>
      <c r="B188" s="389" t="s">
        <v>1096</v>
      </c>
      <c r="C188" s="389" t="s">
        <v>1097</v>
      </c>
    </row>
    <row r="189" spans="1:3" x14ac:dyDescent="0.25">
      <c r="A189" s="388">
        <v>177</v>
      </c>
      <c r="B189" s="389" t="s">
        <v>1098</v>
      </c>
      <c r="C189" s="392" t="s">
        <v>1099</v>
      </c>
    </row>
    <row r="190" spans="1:3" ht="13.5" customHeight="1" x14ac:dyDescent="0.25">
      <c r="A190" s="388">
        <v>178</v>
      </c>
      <c r="B190" s="389" t="s">
        <v>1100</v>
      </c>
      <c r="C190" s="392" t="s">
        <v>1101</v>
      </c>
    </row>
    <row r="191" spans="1:3" x14ac:dyDescent="0.25">
      <c r="A191" s="388">
        <v>179</v>
      </c>
      <c r="B191" s="389" t="s">
        <v>1102</v>
      </c>
      <c r="C191" s="389" t="s">
        <v>1103</v>
      </c>
    </row>
    <row r="192" spans="1:3" x14ac:dyDescent="0.25">
      <c r="A192" s="388">
        <v>180</v>
      </c>
      <c r="B192" s="389" t="s">
        <v>756</v>
      </c>
      <c r="C192" s="389" t="s">
        <v>757</v>
      </c>
    </row>
    <row r="193" spans="1:3" x14ac:dyDescent="0.25">
      <c r="A193" s="388">
        <v>181</v>
      </c>
      <c r="B193" s="389" t="s">
        <v>1104</v>
      </c>
      <c r="C193" s="389" t="s">
        <v>1105</v>
      </c>
    </row>
    <row r="194" spans="1:3" x14ac:dyDescent="0.25">
      <c r="A194" s="388">
        <v>182</v>
      </c>
      <c r="B194" s="389" t="s">
        <v>1106</v>
      </c>
      <c r="C194" s="389" t="s">
        <v>1105</v>
      </c>
    </row>
    <row r="195" spans="1:3" x14ac:dyDescent="0.25">
      <c r="A195" s="388">
        <v>183</v>
      </c>
      <c r="B195" s="392" t="s">
        <v>1107</v>
      </c>
      <c r="C195" s="389" t="s">
        <v>1108</v>
      </c>
    </row>
    <row r="196" spans="1:3" x14ac:dyDescent="0.25">
      <c r="A196" s="388">
        <v>184</v>
      </c>
      <c r="B196" s="392" t="s">
        <v>1418</v>
      </c>
      <c r="C196" s="389" t="s">
        <v>1459</v>
      </c>
    </row>
    <row r="197" spans="1:3" x14ac:dyDescent="0.25">
      <c r="A197" s="388">
        <v>185</v>
      </c>
      <c r="B197" s="389" t="s">
        <v>1419</v>
      </c>
      <c r="C197" s="389" t="s">
        <v>760</v>
      </c>
    </row>
    <row r="198" spans="1:3" x14ac:dyDescent="0.25">
      <c r="A198" s="388">
        <v>186</v>
      </c>
      <c r="B198" s="389" t="s">
        <v>1109</v>
      </c>
      <c r="C198" s="389" t="s">
        <v>1110</v>
      </c>
    </row>
    <row r="199" spans="1:3" ht="26.4" x14ac:dyDescent="0.25">
      <c r="A199" s="388">
        <v>187</v>
      </c>
      <c r="B199" s="389" t="s">
        <v>1420</v>
      </c>
      <c r="C199" s="389" t="s">
        <v>1460</v>
      </c>
    </row>
    <row r="200" spans="1:3" x14ac:dyDescent="0.25">
      <c r="A200" s="388">
        <v>188</v>
      </c>
      <c r="B200" s="389" t="s">
        <v>1111</v>
      </c>
      <c r="C200" s="389" t="s">
        <v>751</v>
      </c>
    </row>
    <row r="201" spans="1:3" x14ac:dyDescent="0.25">
      <c r="A201" s="388">
        <v>189</v>
      </c>
      <c r="B201" s="389" t="s">
        <v>1421</v>
      </c>
      <c r="C201" s="389" t="s">
        <v>639</v>
      </c>
    </row>
    <row r="202" spans="1:3" x14ac:dyDescent="0.25">
      <c r="A202" s="388">
        <v>190</v>
      </c>
      <c r="B202" s="389" t="s">
        <v>1112</v>
      </c>
      <c r="C202" s="389" t="s">
        <v>1113</v>
      </c>
    </row>
    <row r="203" spans="1:3" x14ac:dyDescent="0.25">
      <c r="A203" s="388">
        <v>191</v>
      </c>
      <c r="B203" s="389" t="s">
        <v>724</v>
      </c>
      <c r="C203" s="389" t="s">
        <v>1461</v>
      </c>
    </row>
    <row r="204" spans="1:3" x14ac:dyDescent="0.25">
      <c r="A204" s="388">
        <v>192</v>
      </c>
      <c r="B204" s="389" t="s">
        <v>1114</v>
      </c>
      <c r="C204" s="389" t="s">
        <v>1115</v>
      </c>
    </row>
    <row r="205" spans="1:3" x14ac:dyDescent="0.25">
      <c r="A205" s="388">
        <v>193</v>
      </c>
      <c r="B205" s="389" t="s">
        <v>845</v>
      </c>
      <c r="C205" s="389" t="s">
        <v>510</v>
      </c>
    </row>
    <row r="206" spans="1:3" x14ac:dyDescent="0.25">
      <c r="A206" s="388">
        <v>194</v>
      </c>
      <c r="B206" s="389" t="s">
        <v>750</v>
      </c>
      <c r="C206" s="389" t="s">
        <v>1116</v>
      </c>
    </row>
    <row r="207" spans="1:3" x14ac:dyDescent="0.25">
      <c r="A207" s="388">
        <v>195</v>
      </c>
      <c r="B207" s="389" t="s">
        <v>1117</v>
      </c>
      <c r="C207" s="389" t="s">
        <v>1118</v>
      </c>
    </row>
    <row r="208" spans="1:3" x14ac:dyDescent="0.25">
      <c r="A208" s="388">
        <v>196</v>
      </c>
      <c r="B208" s="389" t="s">
        <v>1119</v>
      </c>
      <c r="C208" s="389" t="s">
        <v>1120</v>
      </c>
    </row>
    <row r="209" spans="1:3" x14ac:dyDescent="0.25">
      <c r="A209" s="388">
        <v>197</v>
      </c>
      <c r="B209" s="389" t="s">
        <v>1121</v>
      </c>
      <c r="C209" s="389" t="s">
        <v>752</v>
      </c>
    </row>
    <row r="210" spans="1:3" x14ac:dyDescent="0.25">
      <c r="A210" s="388">
        <v>198</v>
      </c>
      <c r="B210" s="389" t="s">
        <v>1122</v>
      </c>
      <c r="C210" s="389" t="s">
        <v>761</v>
      </c>
    </row>
    <row r="211" spans="1:3" x14ac:dyDescent="0.25">
      <c r="A211" s="388">
        <v>199</v>
      </c>
      <c r="B211" s="389" t="s">
        <v>1123</v>
      </c>
      <c r="C211" s="389" t="s">
        <v>1124</v>
      </c>
    </row>
    <row r="212" spans="1:3" x14ac:dyDescent="0.25">
      <c r="A212" s="388">
        <v>200</v>
      </c>
      <c r="B212" s="389" t="s">
        <v>1125</v>
      </c>
      <c r="C212" s="389" t="s">
        <v>1126</v>
      </c>
    </row>
    <row r="213" spans="1:3" x14ac:dyDescent="0.25">
      <c r="A213" s="388">
        <v>201</v>
      </c>
      <c r="B213" s="389" t="s">
        <v>1127</v>
      </c>
      <c r="C213" s="389" t="s">
        <v>755</v>
      </c>
    </row>
    <row r="214" spans="1:3" x14ac:dyDescent="0.25">
      <c r="A214" s="388">
        <v>202</v>
      </c>
      <c r="B214" s="389" t="s">
        <v>1128</v>
      </c>
      <c r="C214" s="389" t="s">
        <v>1129</v>
      </c>
    </row>
    <row r="215" spans="1:3" x14ac:dyDescent="0.25">
      <c r="A215" s="388">
        <v>203</v>
      </c>
      <c r="B215" s="389" t="s">
        <v>1130</v>
      </c>
      <c r="C215" s="389" t="s">
        <v>1131</v>
      </c>
    </row>
    <row r="216" spans="1:3" x14ac:dyDescent="0.25">
      <c r="A216" s="388">
        <v>204</v>
      </c>
      <c r="B216" s="389" t="s">
        <v>1132</v>
      </c>
      <c r="C216" s="389" t="s">
        <v>759</v>
      </c>
    </row>
    <row r="217" spans="1:3" ht="26.4" x14ac:dyDescent="0.25">
      <c r="A217" s="388">
        <v>205</v>
      </c>
      <c r="B217" s="389" t="s">
        <v>1133</v>
      </c>
      <c r="C217" s="389" t="s">
        <v>1134</v>
      </c>
    </row>
    <row r="218" spans="1:3" ht="26.4" x14ac:dyDescent="0.25">
      <c r="A218" s="388">
        <v>206</v>
      </c>
      <c r="B218" s="389" t="s">
        <v>1135</v>
      </c>
      <c r="C218" s="389" t="s">
        <v>1136</v>
      </c>
    </row>
    <row r="219" spans="1:3" x14ac:dyDescent="0.25">
      <c r="A219" s="388">
        <v>207</v>
      </c>
      <c r="B219" s="389" t="s">
        <v>1137</v>
      </c>
      <c r="C219" s="389" t="s">
        <v>502</v>
      </c>
    </row>
    <row r="220" spans="1:3" x14ac:dyDescent="0.25">
      <c r="A220" s="388">
        <v>208</v>
      </c>
      <c r="B220" s="389" t="s">
        <v>1138</v>
      </c>
      <c r="C220" s="389" t="s">
        <v>1139</v>
      </c>
    </row>
    <row r="221" spans="1:3" x14ac:dyDescent="0.25">
      <c r="A221" s="388">
        <v>209</v>
      </c>
      <c r="B221" s="392" t="s">
        <v>1140</v>
      </c>
      <c r="C221" s="389" t="s">
        <v>1141</v>
      </c>
    </row>
    <row r="222" spans="1:3" x14ac:dyDescent="0.25">
      <c r="A222" s="388">
        <v>210</v>
      </c>
      <c r="B222" s="392" t="s">
        <v>1422</v>
      </c>
      <c r="C222" s="389" t="s">
        <v>1462</v>
      </c>
    </row>
    <row r="223" spans="1:3" x14ac:dyDescent="0.25">
      <c r="A223" s="388">
        <v>211</v>
      </c>
      <c r="B223" s="392" t="s">
        <v>1142</v>
      </c>
      <c r="C223" s="389" t="s">
        <v>1143</v>
      </c>
    </row>
    <row r="224" spans="1:3" x14ac:dyDescent="0.25">
      <c r="A224" s="388">
        <v>212</v>
      </c>
      <c r="B224" s="389" t="s">
        <v>1144</v>
      </c>
      <c r="C224" s="389" t="s">
        <v>1145</v>
      </c>
    </row>
    <row r="225" spans="1:3" x14ac:dyDescent="0.25">
      <c r="A225" s="388">
        <v>213</v>
      </c>
      <c r="B225" s="389" t="s">
        <v>1146</v>
      </c>
      <c r="C225" s="389" t="s">
        <v>1147</v>
      </c>
    </row>
    <row r="226" spans="1:3" x14ac:dyDescent="0.25">
      <c r="A226" s="388">
        <v>214</v>
      </c>
      <c r="B226" s="389" t="s">
        <v>1148</v>
      </c>
      <c r="C226" s="389" t="s">
        <v>1149</v>
      </c>
    </row>
    <row r="227" spans="1:3" x14ac:dyDescent="0.25">
      <c r="A227" s="388">
        <v>215</v>
      </c>
      <c r="B227" s="389" t="s">
        <v>1150</v>
      </c>
      <c r="C227" s="389" t="s">
        <v>1151</v>
      </c>
    </row>
    <row r="228" spans="1:3" x14ac:dyDescent="0.25">
      <c r="A228" s="388">
        <v>216</v>
      </c>
      <c r="B228" s="398" t="s">
        <v>1423</v>
      </c>
      <c r="C228" s="398" t="s">
        <v>1463</v>
      </c>
    </row>
    <row r="229" spans="1:3" x14ac:dyDescent="0.25">
      <c r="A229" s="388">
        <v>217</v>
      </c>
      <c r="B229" s="389" t="s">
        <v>1152</v>
      </c>
      <c r="C229" s="389" t="s">
        <v>1153</v>
      </c>
    </row>
    <row r="230" spans="1:3" x14ac:dyDescent="0.25">
      <c r="A230" s="388">
        <v>218</v>
      </c>
      <c r="B230" s="389" t="s">
        <v>1154</v>
      </c>
      <c r="C230" s="392" t="s">
        <v>833</v>
      </c>
    </row>
    <row r="231" spans="1:3" x14ac:dyDescent="0.25">
      <c r="A231" s="388">
        <v>219</v>
      </c>
      <c r="B231" s="389" t="s">
        <v>1155</v>
      </c>
      <c r="C231" s="389" t="s">
        <v>1156</v>
      </c>
    </row>
    <row r="232" spans="1:3" x14ac:dyDescent="0.25">
      <c r="A232" s="388"/>
      <c r="B232" s="389" t="s">
        <v>418</v>
      </c>
      <c r="C232" s="389" t="s">
        <v>1157</v>
      </c>
    </row>
    <row r="233" spans="1:3" x14ac:dyDescent="0.25">
      <c r="A233" s="388">
        <v>220</v>
      </c>
      <c r="B233" s="389" t="s">
        <v>1158</v>
      </c>
      <c r="C233" s="389" t="s">
        <v>1159</v>
      </c>
    </row>
    <row r="234" spans="1:3" x14ac:dyDescent="0.25">
      <c r="A234" s="388">
        <v>221</v>
      </c>
      <c r="B234" s="389" t="s">
        <v>770</v>
      </c>
      <c r="C234" s="389" t="s">
        <v>771</v>
      </c>
    </row>
    <row r="235" spans="1:3" x14ac:dyDescent="0.25">
      <c r="A235" s="388"/>
      <c r="B235" s="389" t="s">
        <v>1160</v>
      </c>
      <c r="C235" s="389" t="s">
        <v>1161</v>
      </c>
    </row>
    <row r="236" spans="1:3" x14ac:dyDescent="0.25">
      <c r="A236" s="388">
        <v>222</v>
      </c>
      <c r="B236" s="389" t="s">
        <v>1162</v>
      </c>
      <c r="C236" s="389" t="s">
        <v>1163</v>
      </c>
    </row>
    <row r="237" spans="1:3" ht="26.4" x14ac:dyDescent="0.25">
      <c r="A237" s="388">
        <v>223</v>
      </c>
      <c r="B237" s="389" t="s">
        <v>1164</v>
      </c>
      <c r="C237" s="389" t="s">
        <v>1165</v>
      </c>
    </row>
    <row r="238" spans="1:3" ht="26.4" x14ac:dyDescent="0.25">
      <c r="A238" s="388">
        <v>224</v>
      </c>
      <c r="B238" s="389" t="s">
        <v>766</v>
      </c>
      <c r="C238" s="389" t="s">
        <v>1165</v>
      </c>
    </row>
    <row r="239" spans="1:3" x14ac:dyDescent="0.25">
      <c r="A239" s="388">
        <v>225</v>
      </c>
      <c r="B239" s="389" t="s">
        <v>834</v>
      </c>
      <c r="C239" s="389" t="s">
        <v>835</v>
      </c>
    </row>
    <row r="240" spans="1:3" x14ac:dyDescent="0.25">
      <c r="A240" s="388">
        <v>226</v>
      </c>
      <c r="B240" s="389" t="s">
        <v>1166</v>
      </c>
      <c r="C240" s="389" t="s">
        <v>1167</v>
      </c>
    </row>
    <row r="241" spans="1:3" x14ac:dyDescent="0.25">
      <c r="A241" s="388">
        <v>227</v>
      </c>
      <c r="B241" s="389" t="s">
        <v>764</v>
      </c>
      <c r="C241" s="389" t="s">
        <v>765</v>
      </c>
    </row>
    <row r="242" spans="1:3" x14ac:dyDescent="0.25">
      <c r="A242" s="388">
        <v>228</v>
      </c>
      <c r="B242" s="389" t="s">
        <v>1168</v>
      </c>
      <c r="C242" s="389" t="s">
        <v>768</v>
      </c>
    </row>
    <row r="243" spans="1:3" x14ac:dyDescent="0.25">
      <c r="A243" s="388">
        <v>229</v>
      </c>
      <c r="B243" s="389" t="s">
        <v>1169</v>
      </c>
      <c r="C243" s="389" t="s">
        <v>763</v>
      </c>
    </row>
    <row r="244" spans="1:3" x14ac:dyDescent="0.25">
      <c r="A244" s="388"/>
      <c r="B244" s="389" t="s">
        <v>1170</v>
      </c>
      <c r="C244" s="389" t="s">
        <v>767</v>
      </c>
    </row>
    <row r="245" spans="1:3" x14ac:dyDescent="0.25">
      <c r="A245" s="388">
        <v>230</v>
      </c>
      <c r="B245" s="389" t="s">
        <v>1171</v>
      </c>
      <c r="C245" s="389" t="s">
        <v>1172</v>
      </c>
    </row>
    <row r="246" spans="1:3" x14ac:dyDescent="0.25">
      <c r="A246" s="388">
        <v>231</v>
      </c>
      <c r="B246" s="389" t="s">
        <v>1173</v>
      </c>
      <c r="C246" s="389" t="s">
        <v>1174</v>
      </c>
    </row>
    <row r="247" spans="1:3" x14ac:dyDescent="0.25">
      <c r="A247" s="388">
        <v>232</v>
      </c>
      <c r="B247" s="389" t="s">
        <v>1175</v>
      </c>
      <c r="C247" s="389" t="s">
        <v>1176</v>
      </c>
    </row>
    <row r="248" spans="1:3" x14ac:dyDescent="0.25">
      <c r="A248" s="388">
        <v>233</v>
      </c>
      <c r="B248" s="389" t="s">
        <v>1424</v>
      </c>
      <c r="C248" s="389" t="s">
        <v>1464</v>
      </c>
    </row>
    <row r="249" spans="1:3" x14ac:dyDescent="0.25">
      <c r="A249" s="388">
        <v>234</v>
      </c>
      <c r="B249" s="389" t="s">
        <v>1177</v>
      </c>
      <c r="C249" s="389" t="s">
        <v>1178</v>
      </c>
    </row>
    <row r="250" spans="1:3" x14ac:dyDescent="0.25">
      <c r="A250" s="388">
        <v>235</v>
      </c>
      <c r="B250" s="389" t="s">
        <v>1179</v>
      </c>
      <c r="C250" s="389" t="s">
        <v>1180</v>
      </c>
    </row>
    <row r="251" spans="1:3" x14ac:dyDescent="0.25">
      <c r="A251" s="388">
        <v>236</v>
      </c>
      <c r="B251" s="389" t="s">
        <v>1181</v>
      </c>
      <c r="C251" s="389" t="s">
        <v>1182</v>
      </c>
    </row>
    <row r="252" spans="1:3" x14ac:dyDescent="0.25">
      <c r="A252" s="388">
        <v>237</v>
      </c>
      <c r="B252" s="389" t="s">
        <v>1183</v>
      </c>
      <c r="C252" s="389" t="s">
        <v>1184</v>
      </c>
    </row>
    <row r="253" spans="1:3" x14ac:dyDescent="0.25">
      <c r="A253" s="388">
        <v>238</v>
      </c>
      <c r="B253" s="390" t="s">
        <v>342</v>
      </c>
      <c r="C253" s="390" t="s">
        <v>514</v>
      </c>
    </row>
    <row r="254" spans="1:3" x14ac:dyDescent="0.25">
      <c r="A254" s="388">
        <v>239</v>
      </c>
      <c r="B254" s="389" t="s">
        <v>1185</v>
      </c>
      <c r="C254" s="389" t="s">
        <v>769</v>
      </c>
    </row>
    <row r="255" spans="1:3" x14ac:dyDescent="0.25">
      <c r="A255" s="388">
        <v>240</v>
      </c>
      <c r="B255" s="389" t="s">
        <v>1186</v>
      </c>
      <c r="C255" s="389" t="s">
        <v>1187</v>
      </c>
    </row>
    <row r="256" spans="1:3" x14ac:dyDescent="0.25">
      <c r="A256" s="388">
        <v>241</v>
      </c>
      <c r="B256" s="389" t="s">
        <v>1188</v>
      </c>
      <c r="C256" s="389" t="s">
        <v>1189</v>
      </c>
    </row>
    <row r="257" spans="1:3" ht="26.4" x14ac:dyDescent="0.25">
      <c r="A257" s="388">
        <v>242</v>
      </c>
      <c r="B257" s="389" t="s">
        <v>774</v>
      </c>
      <c r="C257" s="389" t="s">
        <v>775</v>
      </c>
    </row>
    <row r="258" spans="1:3" x14ac:dyDescent="0.25">
      <c r="A258" s="388">
        <v>243</v>
      </c>
      <c r="B258" s="389" t="s">
        <v>772</v>
      </c>
      <c r="C258" s="389" t="s">
        <v>773</v>
      </c>
    </row>
    <row r="259" spans="1:3" x14ac:dyDescent="0.25">
      <c r="A259" s="388">
        <v>244</v>
      </c>
      <c r="B259" s="389" t="s">
        <v>1190</v>
      </c>
      <c r="C259" s="389" t="s">
        <v>723</v>
      </c>
    </row>
    <row r="260" spans="1:3" x14ac:dyDescent="0.25">
      <c r="A260" s="388">
        <v>245</v>
      </c>
      <c r="B260" s="389" t="s">
        <v>1191</v>
      </c>
      <c r="C260" s="389" t="s">
        <v>1192</v>
      </c>
    </row>
    <row r="261" spans="1:3" ht="26.4" x14ac:dyDescent="0.25">
      <c r="A261" s="388">
        <v>246</v>
      </c>
      <c r="B261" s="389" t="s">
        <v>1193</v>
      </c>
      <c r="C261" s="389" t="s">
        <v>1194</v>
      </c>
    </row>
    <row r="262" spans="1:3" x14ac:dyDescent="0.25">
      <c r="A262" s="388">
        <v>247</v>
      </c>
      <c r="B262" s="389" t="s">
        <v>779</v>
      </c>
      <c r="C262" s="389" t="s">
        <v>780</v>
      </c>
    </row>
    <row r="263" spans="1:3" x14ac:dyDescent="0.25">
      <c r="A263" s="388">
        <v>248</v>
      </c>
      <c r="B263" s="389" t="s">
        <v>1425</v>
      </c>
      <c r="C263" s="389" t="s">
        <v>1465</v>
      </c>
    </row>
    <row r="264" spans="1:3" x14ac:dyDescent="0.25">
      <c r="A264" s="388">
        <v>249</v>
      </c>
      <c r="B264" s="389" t="s">
        <v>345</v>
      </c>
      <c r="C264" s="389" t="s">
        <v>516</v>
      </c>
    </row>
    <row r="265" spans="1:3" x14ac:dyDescent="0.25">
      <c r="A265" s="388">
        <v>250</v>
      </c>
      <c r="B265" s="389" t="s">
        <v>1426</v>
      </c>
      <c r="C265" s="389" t="s">
        <v>1466</v>
      </c>
    </row>
    <row r="266" spans="1:3" x14ac:dyDescent="0.25">
      <c r="A266" s="388">
        <v>251</v>
      </c>
      <c r="B266" s="389" t="s">
        <v>1195</v>
      </c>
      <c r="C266" s="389" t="s">
        <v>1196</v>
      </c>
    </row>
    <row r="267" spans="1:3" x14ac:dyDescent="0.25">
      <c r="A267" s="388">
        <v>252</v>
      </c>
      <c r="B267" s="389" t="s">
        <v>778</v>
      </c>
      <c r="C267" s="389" t="s">
        <v>1197</v>
      </c>
    </row>
    <row r="268" spans="1:3" x14ac:dyDescent="0.25">
      <c r="A268" s="388">
        <v>253</v>
      </c>
      <c r="B268" s="389" t="s">
        <v>776</v>
      </c>
      <c r="C268" s="389" t="s">
        <v>777</v>
      </c>
    </row>
    <row r="269" spans="1:3" x14ac:dyDescent="0.25">
      <c r="A269" s="388">
        <v>254</v>
      </c>
      <c r="B269" s="389" t="s">
        <v>1198</v>
      </c>
      <c r="C269" s="389" t="s">
        <v>717</v>
      </c>
    </row>
    <row r="270" spans="1:3" x14ac:dyDescent="0.25">
      <c r="A270" s="388">
        <v>255</v>
      </c>
      <c r="B270" s="389" t="s">
        <v>1199</v>
      </c>
      <c r="C270" s="389" t="s">
        <v>1200</v>
      </c>
    </row>
    <row r="271" spans="1:3" x14ac:dyDescent="0.25">
      <c r="A271" s="388">
        <v>256</v>
      </c>
      <c r="B271" s="389" t="s">
        <v>1201</v>
      </c>
      <c r="C271" s="389" t="s">
        <v>518</v>
      </c>
    </row>
    <row r="272" spans="1:3" x14ac:dyDescent="0.25">
      <c r="A272" s="388"/>
      <c r="B272" s="389" t="s">
        <v>1427</v>
      </c>
      <c r="C272" s="389"/>
    </row>
    <row r="273" spans="1:3" x14ac:dyDescent="0.25">
      <c r="A273" s="388">
        <v>257</v>
      </c>
      <c r="B273" s="389" t="s">
        <v>1202</v>
      </c>
      <c r="C273" s="389" t="s">
        <v>1200</v>
      </c>
    </row>
    <row r="274" spans="1:3" x14ac:dyDescent="0.25">
      <c r="A274" s="388">
        <v>258</v>
      </c>
      <c r="B274" s="389" t="s">
        <v>1203</v>
      </c>
      <c r="C274" s="389" t="s">
        <v>639</v>
      </c>
    </row>
    <row r="275" spans="1:3" x14ac:dyDescent="0.25">
      <c r="A275" s="388">
        <v>259</v>
      </c>
      <c r="B275" s="389" t="s">
        <v>781</v>
      </c>
      <c r="C275" s="389" t="s">
        <v>782</v>
      </c>
    </row>
    <row r="276" spans="1:3" x14ac:dyDescent="0.25">
      <c r="A276" s="388">
        <v>260</v>
      </c>
      <c r="B276" s="389" t="s">
        <v>1204</v>
      </c>
      <c r="C276" s="389" t="s">
        <v>1205</v>
      </c>
    </row>
    <row r="277" spans="1:3" x14ac:dyDescent="0.25">
      <c r="A277" s="388">
        <v>261</v>
      </c>
      <c r="B277" s="389" t="s">
        <v>1206</v>
      </c>
      <c r="C277" s="389" t="s">
        <v>1207</v>
      </c>
    </row>
    <row r="278" spans="1:3" x14ac:dyDescent="0.25">
      <c r="A278" s="388">
        <v>262</v>
      </c>
      <c r="B278" s="389" t="s">
        <v>1208</v>
      </c>
      <c r="C278" s="389" t="s">
        <v>1209</v>
      </c>
    </row>
    <row r="279" spans="1:3" x14ac:dyDescent="0.25">
      <c r="A279" s="388">
        <v>263</v>
      </c>
      <c r="B279" s="389" t="s">
        <v>1428</v>
      </c>
      <c r="C279" s="389" t="s">
        <v>1467</v>
      </c>
    </row>
    <row r="280" spans="1:3" ht="26.4" x14ac:dyDescent="0.25">
      <c r="A280" s="388">
        <v>264</v>
      </c>
      <c r="B280" s="389" t="s">
        <v>783</v>
      </c>
      <c r="C280" s="389" t="s">
        <v>784</v>
      </c>
    </row>
    <row r="281" spans="1:3" x14ac:dyDescent="0.25">
      <c r="A281" s="388">
        <v>265</v>
      </c>
      <c r="B281" s="392" t="s">
        <v>1210</v>
      </c>
      <c r="C281" s="389" t="s">
        <v>1211</v>
      </c>
    </row>
    <row r="282" spans="1:3" x14ac:dyDescent="0.25">
      <c r="A282" s="388">
        <v>266</v>
      </c>
      <c r="B282" s="389" t="s">
        <v>787</v>
      </c>
      <c r="C282" s="389" t="s">
        <v>788</v>
      </c>
    </row>
    <row r="283" spans="1:3" x14ac:dyDescent="0.25">
      <c r="A283" s="388">
        <v>267</v>
      </c>
      <c r="B283" s="392" t="s">
        <v>785</v>
      </c>
      <c r="C283" s="389" t="s">
        <v>786</v>
      </c>
    </row>
    <row r="284" spans="1:3" x14ac:dyDescent="0.25">
      <c r="A284" s="388">
        <v>268</v>
      </c>
      <c r="B284" s="392" t="s">
        <v>1429</v>
      </c>
      <c r="C284" s="389" t="s">
        <v>1468</v>
      </c>
    </row>
    <row r="285" spans="1:3" ht="26.4" x14ac:dyDescent="0.25">
      <c r="A285" s="388">
        <v>269</v>
      </c>
      <c r="B285" s="392" t="s">
        <v>1430</v>
      </c>
      <c r="C285" s="389" t="s">
        <v>1469</v>
      </c>
    </row>
    <row r="286" spans="1:3" x14ac:dyDescent="0.25">
      <c r="A286" s="388">
        <v>270</v>
      </c>
      <c r="B286" s="392" t="s">
        <v>1212</v>
      </c>
      <c r="C286" s="389" t="s">
        <v>1213</v>
      </c>
    </row>
    <row r="287" spans="1:3" x14ac:dyDescent="0.25">
      <c r="A287" s="388">
        <v>271</v>
      </c>
      <c r="B287" s="392" t="s">
        <v>1431</v>
      </c>
      <c r="C287" s="389" t="s">
        <v>1470</v>
      </c>
    </row>
    <row r="288" spans="1:3" x14ac:dyDescent="0.25">
      <c r="A288" s="388">
        <v>272</v>
      </c>
      <c r="B288" s="392" t="s">
        <v>1214</v>
      </c>
      <c r="C288" s="389" t="s">
        <v>789</v>
      </c>
    </row>
    <row r="289" spans="1:3" x14ac:dyDescent="0.25">
      <c r="A289" s="388">
        <v>273</v>
      </c>
      <c r="B289" s="392" t="s">
        <v>1215</v>
      </c>
      <c r="C289" s="389" t="s">
        <v>1216</v>
      </c>
    </row>
    <row r="290" spans="1:3" x14ac:dyDescent="0.25">
      <c r="A290" s="388">
        <v>274</v>
      </c>
      <c r="B290" s="392" t="s">
        <v>1217</v>
      </c>
      <c r="C290" s="389" t="s">
        <v>529</v>
      </c>
    </row>
    <row r="291" spans="1:3" x14ac:dyDescent="0.25">
      <c r="A291" s="388">
        <v>275</v>
      </c>
      <c r="B291" s="392" t="s">
        <v>1218</v>
      </c>
      <c r="C291" s="389" t="s">
        <v>530</v>
      </c>
    </row>
    <row r="292" spans="1:3" x14ac:dyDescent="0.25">
      <c r="A292" s="388">
        <v>276</v>
      </c>
      <c r="B292" s="392" t="s">
        <v>360</v>
      </c>
      <c r="C292" s="389" t="s">
        <v>1219</v>
      </c>
    </row>
    <row r="293" spans="1:3" x14ac:dyDescent="0.25">
      <c r="A293" s="388">
        <v>277</v>
      </c>
      <c r="B293" s="392" t="s">
        <v>1220</v>
      </c>
      <c r="C293" s="389" t="s">
        <v>1221</v>
      </c>
    </row>
    <row r="294" spans="1:3" x14ac:dyDescent="0.25">
      <c r="A294" s="388">
        <v>278</v>
      </c>
      <c r="B294" s="392" t="s">
        <v>1222</v>
      </c>
      <c r="C294" s="389" t="s">
        <v>1223</v>
      </c>
    </row>
    <row r="295" spans="1:3" ht="13.8" x14ac:dyDescent="0.25">
      <c r="A295" s="388">
        <v>279</v>
      </c>
      <c r="B295" s="426" t="s">
        <v>1224</v>
      </c>
      <c r="C295" s="389" t="s">
        <v>1225</v>
      </c>
    </row>
    <row r="296" spans="1:3" ht="26.4" x14ac:dyDescent="0.25">
      <c r="A296" s="388">
        <v>280</v>
      </c>
      <c r="B296" s="379" t="s">
        <v>1226</v>
      </c>
      <c r="C296" s="389" t="s">
        <v>1227</v>
      </c>
    </row>
    <row r="297" spans="1:3" x14ac:dyDescent="0.25">
      <c r="A297" s="388">
        <v>281</v>
      </c>
      <c r="B297" s="392" t="s">
        <v>1228</v>
      </c>
      <c r="C297" s="389" t="s">
        <v>1229</v>
      </c>
    </row>
    <row r="298" spans="1:3" x14ac:dyDescent="0.25">
      <c r="A298" s="388">
        <v>282</v>
      </c>
      <c r="B298" s="392" t="s">
        <v>1432</v>
      </c>
      <c r="C298" s="389" t="s">
        <v>1471</v>
      </c>
    </row>
    <row r="299" spans="1:3" x14ac:dyDescent="0.25">
      <c r="A299" s="388">
        <v>283</v>
      </c>
      <c r="B299" s="396" t="s">
        <v>1230</v>
      </c>
      <c r="C299" s="390" t="s">
        <v>1231</v>
      </c>
    </row>
    <row r="300" spans="1:3" x14ac:dyDescent="0.25">
      <c r="A300" s="388">
        <v>284</v>
      </c>
      <c r="B300" s="396" t="s">
        <v>1232</v>
      </c>
      <c r="C300" s="390" t="s">
        <v>536</v>
      </c>
    </row>
    <row r="301" spans="1:3" x14ac:dyDescent="0.25">
      <c r="A301" s="388">
        <v>285</v>
      </c>
      <c r="B301" s="392" t="s">
        <v>1233</v>
      </c>
      <c r="C301" s="389" t="s">
        <v>1234</v>
      </c>
    </row>
    <row r="302" spans="1:3" x14ac:dyDescent="0.25">
      <c r="A302" s="388">
        <v>286</v>
      </c>
      <c r="B302" s="392" t="s">
        <v>1235</v>
      </c>
      <c r="C302" s="392" t="s">
        <v>1236</v>
      </c>
    </row>
    <row r="303" spans="1:3" x14ac:dyDescent="0.25">
      <c r="A303" s="388">
        <v>287</v>
      </c>
      <c r="B303" s="392" t="s">
        <v>1237</v>
      </c>
      <c r="C303" s="389" t="s">
        <v>1238</v>
      </c>
    </row>
    <row r="304" spans="1:3" x14ac:dyDescent="0.25">
      <c r="A304" s="388">
        <v>288</v>
      </c>
      <c r="B304" s="392" t="s">
        <v>1239</v>
      </c>
      <c r="C304" s="389" t="s">
        <v>792</v>
      </c>
    </row>
    <row r="305" spans="1:3" x14ac:dyDescent="0.25">
      <c r="A305" s="388">
        <v>289</v>
      </c>
      <c r="B305" s="392" t="s">
        <v>790</v>
      </c>
      <c r="C305" s="389" t="s">
        <v>539</v>
      </c>
    </row>
    <row r="306" spans="1:3" x14ac:dyDescent="0.25">
      <c r="A306" s="388">
        <v>290</v>
      </c>
      <c r="B306" s="392" t="s">
        <v>791</v>
      </c>
      <c r="C306" s="389" t="s">
        <v>1240</v>
      </c>
    </row>
    <row r="307" spans="1:3" x14ac:dyDescent="0.25">
      <c r="A307" s="388">
        <v>291</v>
      </c>
      <c r="B307" s="392" t="s">
        <v>1241</v>
      </c>
      <c r="C307" s="397" t="s">
        <v>1242</v>
      </c>
    </row>
    <row r="308" spans="1:3" x14ac:dyDescent="0.25">
      <c r="A308" s="388">
        <v>292</v>
      </c>
      <c r="B308" s="392" t="s">
        <v>1243</v>
      </c>
      <c r="C308" s="397" t="s">
        <v>1244</v>
      </c>
    </row>
    <row r="309" spans="1:3" x14ac:dyDescent="0.25">
      <c r="A309" s="388">
        <v>293</v>
      </c>
      <c r="B309" s="392" t="s">
        <v>1433</v>
      </c>
      <c r="C309" s="397" t="s">
        <v>639</v>
      </c>
    </row>
    <row r="310" spans="1:3" x14ac:dyDescent="0.25">
      <c r="A310" s="388">
        <v>294</v>
      </c>
      <c r="B310" s="389" t="s">
        <v>1245</v>
      </c>
      <c r="C310" s="389" t="s">
        <v>758</v>
      </c>
    </row>
    <row r="311" spans="1:3" x14ac:dyDescent="0.25">
      <c r="A311" s="388">
        <v>295</v>
      </c>
      <c r="B311" s="392" t="s">
        <v>1246</v>
      </c>
      <c r="C311" s="389" t="s">
        <v>540</v>
      </c>
    </row>
    <row r="312" spans="1:3" x14ac:dyDescent="0.25">
      <c r="A312" s="388">
        <v>296</v>
      </c>
      <c r="B312" s="392" t="s">
        <v>1247</v>
      </c>
      <c r="C312" s="389" t="s">
        <v>1248</v>
      </c>
    </row>
    <row r="313" spans="1:3" x14ac:dyDescent="0.25">
      <c r="A313" s="388">
        <v>297</v>
      </c>
      <c r="B313" s="392" t="s">
        <v>1249</v>
      </c>
      <c r="C313" s="389" t="s">
        <v>1250</v>
      </c>
    </row>
    <row r="314" spans="1:3" x14ac:dyDescent="0.25">
      <c r="A314" s="388">
        <v>298</v>
      </c>
      <c r="B314" s="392" t="s">
        <v>1434</v>
      </c>
      <c r="C314" s="389" t="s">
        <v>1472</v>
      </c>
    </row>
    <row r="315" spans="1:3" x14ac:dyDescent="0.25">
      <c r="A315" s="388">
        <v>299</v>
      </c>
      <c r="B315" s="392" t="s">
        <v>795</v>
      </c>
      <c r="C315" s="389" t="s">
        <v>796</v>
      </c>
    </row>
    <row r="316" spans="1:3" x14ac:dyDescent="0.25">
      <c r="A316" s="388">
        <v>300</v>
      </c>
      <c r="B316" s="392" t="s">
        <v>1251</v>
      </c>
      <c r="C316" s="389" t="s">
        <v>1252</v>
      </c>
    </row>
    <row r="317" spans="1:3" x14ac:dyDescent="0.25">
      <c r="A317" s="388">
        <v>301</v>
      </c>
      <c r="B317" s="392" t="s">
        <v>1253</v>
      </c>
      <c r="C317" s="389" t="s">
        <v>1254</v>
      </c>
    </row>
    <row r="318" spans="1:3" x14ac:dyDescent="0.25">
      <c r="A318" s="388">
        <v>302</v>
      </c>
      <c r="B318" s="392" t="s">
        <v>1255</v>
      </c>
      <c r="C318" s="389" t="s">
        <v>1256</v>
      </c>
    </row>
    <row r="319" spans="1:3" x14ac:dyDescent="0.25">
      <c r="A319" s="388">
        <v>303</v>
      </c>
      <c r="B319" s="392" t="s">
        <v>1257</v>
      </c>
      <c r="C319" s="389" t="s">
        <v>1258</v>
      </c>
    </row>
    <row r="320" spans="1:3" x14ac:dyDescent="0.25">
      <c r="A320" s="388">
        <v>304</v>
      </c>
      <c r="B320" s="389" t="s">
        <v>1259</v>
      </c>
      <c r="C320" s="389" t="s">
        <v>793</v>
      </c>
    </row>
    <row r="321" spans="1:3" x14ac:dyDescent="0.25">
      <c r="A321" s="388">
        <v>305</v>
      </c>
      <c r="B321" s="392" t="s">
        <v>1260</v>
      </c>
      <c r="C321" s="389" t="s">
        <v>1261</v>
      </c>
    </row>
    <row r="322" spans="1:3" x14ac:dyDescent="0.25">
      <c r="A322" s="388">
        <v>306</v>
      </c>
      <c r="B322" s="392" t="s">
        <v>1262</v>
      </c>
      <c r="C322" s="389" t="s">
        <v>838</v>
      </c>
    </row>
    <row r="323" spans="1:3" x14ac:dyDescent="0.25">
      <c r="A323" s="388">
        <v>307</v>
      </c>
      <c r="B323" s="392" t="s">
        <v>1263</v>
      </c>
      <c r="C323" s="389" t="s">
        <v>1097</v>
      </c>
    </row>
    <row r="324" spans="1:3" x14ac:dyDescent="0.25">
      <c r="A324" s="388">
        <v>308</v>
      </c>
      <c r="B324" s="392" t="s">
        <v>1264</v>
      </c>
      <c r="C324" s="389" t="s">
        <v>1265</v>
      </c>
    </row>
    <row r="325" spans="1:3" x14ac:dyDescent="0.25">
      <c r="A325" s="388">
        <v>309</v>
      </c>
      <c r="B325" s="392" t="s">
        <v>836</v>
      </c>
      <c r="C325" s="389" t="s">
        <v>837</v>
      </c>
    </row>
    <row r="326" spans="1:3" x14ac:dyDescent="0.25">
      <c r="A326" s="388">
        <v>310</v>
      </c>
      <c r="B326" s="392" t="s">
        <v>1435</v>
      </c>
      <c r="C326" s="389" t="s">
        <v>1473</v>
      </c>
    </row>
    <row r="327" spans="1:3" x14ac:dyDescent="0.25">
      <c r="A327" s="388">
        <v>311</v>
      </c>
      <c r="B327" s="392" t="s">
        <v>1266</v>
      </c>
      <c r="C327" s="389" t="s">
        <v>1267</v>
      </c>
    </row>
    <row r="328" spans="1:3" x14ac:dyDescent="0.25">
      <c r="A328" s="388">
        <v>312</v>
      </c>
      <c r="B328" s="392" t="s">
        <v>1268</v>
      </c>
      <c r="C328" s="389" t="s">
        <v>1269</v>
      </c>
    </row>
    <row r="329" spans="1:3" x14ac:dyDescent="0.25">
      <c r="A329" s="388">
        <v>313</v>
      </c>
      <c r="B329" s="392" t="s">
        <v>1270</v>
      </c>
      <c r="C329" s="389" t="s">
        <v>1271</v>
      </c>
    </row>
    <row r="330" spans="1:3" x14ac:dyDescent="0.25">
      <c r="A330" s="388">
        <v>314</v>
      </c>
      <c r="B330" s="392" t="s">
        <v>1272</v>
      </c>
      <c r="C330" s="389" t="s">
        <v>794</v>
      </c>
    </row>
    <row r="331" spans="1:3" x14ac:dyDescent="0.25">
      <c r="A331" s="388">
        <v>315</v>
      </c>
      <c r="B331" s="392" t="s">
        <v>1273</v>
      </c>
      <c r="C331" s="389" t="s">
        <v>552</v>
      </c>
    </row>
    <row r="332" spans="1:3" x14ac:dyDescent="0.25">
      <c r="A332" s="388">
        <v>316</v>
      </c>
      <c r="B332" s="392" t="s">
        <v>1274</v>
      </c>
      <c r="C332" s="389" t="s">
        <v>1275</v>
      </c>
    </row>
    <row r="333" spans="1:3" x14ac:dyDescent="0.25">
      <c r="A333" s="388">
        <v>317</v>
      </c>
      <c r="B333" s="392" t="s">
        <v>1276</v>
      </c>
      <c r="C333" s="389" t="s">
        <v>797</v>
      </c>
    </row>
    <row r="334" spans="1:3" x14ac:dyDescent="0.25">
      <c r="A334" s="388">
        <v>318</v>
      </c>
      <c r="B334" s="389" t="s">
        <v>1277</v>
      </c>
      <c r="C334" s="390" t="s">
        <v>1278</v>
      </c>
    </row>
    <row r="335" spans="1:3" x14ac:dyDescent="0.25">
      <c r="A335" s="388">
        <v>319</v>
      </c>
      <c r="B335" s="389" t="s">
        <v>1436</v>
      </c>
      <c r="C335" s="390" t="s">
        <v>1474</v>
      </c>
    </row>
    <row r="336" spans="1:3" x14ac:dyDescent="0.25">
      <c r="A336" s="388">
        <v>320</v>
      </c>
      <c r="B336" s="392" t="s">
        <v>1279</v>
      </c>
      <c r="C336" s="389" t="s">
        <v>1280</v>
      </c>
    </row>
    <row r="337" spans="1:3" x14ac:dyDescent="0.25">
      <c r="A337" s="388">
        <v>321</v>
      </c>
      <c r="B337" s="392" t="s">
        <v>798</v>
      </c>
      <c r="C337" s="389" t="s">
        <v>1281</v>
      </c>
    </row>
    <row r="338" spans="1:3" x14ac:dyDescent="0.25">
      <c r="A338" s="388">
        <v>322</v>
      </c>
      <c r="B338" s="392" t="s">
        <v>1282</v>
      </c>
      <c r="C338" s="389" t="s">
        <v>799</v>
      </c>
    </row>
    <row r="339" spans="1:3" x14ac:dyDescent="0.25">
      <c r="A339" s="388"/>
      <c r="B339" s="392" t="s">
        <v>1283</v>
      </c>
      <c r="C339" s="389" t="s">
        <v>461</v>
      </c>
    </row>
    <row r="340" spans="1:3" x14ac:dyDescent="0.25">
      <c r="A340" s="388">
        <v>323</v>
      </c>
      <c r="B340" s="392" t="s">
        <v>1284</v>
      </c>
      <c r="C340" s="389" t="s">
        <v>838</v>
      </c>
    </row>
    <row r="341" spans="1:3" x14ac:dyDescent="0.25">
      <c r="A341" s="388">
        <v>324</v>
      </c>
      <c r="B341" s="392" t="s">
        <v>1285</v>
      </c>
      <c r="C341" s="389" t="s">
        <v>1286</v>
      </c>
    </row>
    <row r="342" spans="1:3" x14ac:dyDescent="0.25">
      <c r="A342" s="388">
        <v>325</v>
      </c>
      <c r="B342" s="392" t="s">
        <v>1287</v>
      </c>
      <c r="C342" s="389" t="s">
        <v>1288</v>
      </c>
    </row>
    <row r="343" spans="1:3" x14ac:dyDescent="0.25">
      <c r="A343" s="388">
        <v>326</v>
      </c>
      <c r="B343" s="392" t="s">
        <v>1437</v>
      </c>
      <c r="C343" s="389" t="s">
        <v>1288</v>
      </c>
    </row>
    <row r="344" spans="1:3" x14ac:dyDescent="0.25">
      <c r="A344" s="388">
        <v>327</v>
      </c>
      <c r="B344" s="392" t="s">
        <v>1289</v>
      </c>
      <c r="C344" s="389" t="s">
        <v>1290</v>
      </c>
    </row>
    <row r="345" spans="1:3" x14ac:dyDescent="0.25">
      <c r="A345" s="388">
        <v>328</v>
      </c>
      <c r="B345" s="392" t="s">
        <v>1291</v>
      </c>
      <c r="C345" s="389" t="s">
        <v>1292</v>
      </c>
    </row>
    <row r="346" spans="1:3" ht="26.4" x14ac:dyDescent="0.25">
      <c r="A346" s="388">
        <v>329</v>
      </c>
      <c r="B346" s="392" t="s">
        <v>1293</v>
      </c>
      <c r="C346" s="389" t="s">
        <v>1294</v>
      </c>
    </row>
    <row r="347" spans="1:3" x14ac:dyDescent="0.25">
      <c r="A347" s="388">
        <v>330</v>
      </c>
      <c r="B347" s="392" t="s">
        <v>1295</v>
      </c>
      <c r="C347" s="389" t="s">
        <v>1296</v>
      </c>
    </row>
    <row r="348" spans="1:3" x14ac:dyDescent="0.25">
      <c r="A348" s="388">
        <v>331</v>
      </c>
      <c r="B348" s="392" t="s">
        <v>1297</v>
      </c>
      <c r="C348" s="389" t="s">
        <v>531</v>
      </c>
    </row>
    <row r="349" spans="1:3" x14ac:dyDescent="0.25">
      <c r="A349" s="388">
        <v>332</v>
      </c>
      <c r="B349" s="392" t="s">
        <v>1298</v>
      </c>
      <c r="C349" s="389" t="s">
        <v>736</v>
      </c>
    </row>
    <row r="350" spans="1:3" x14ac:dyDescent="0.25">
      <c r="A350" s="388">
        <v>333</v>
      </c>
      <c r="B350" s="392" t="s">
        <v>1299</v>
      </c>
      <c r="C350" s="389" t="s">
        <v>800</v>
      </c>
    </row>
    <row r="351" spans="1:3" x14ac:dyDescent="0.25">
      <c r="A351" s="388">
        <v>334</v>
      </c>
      <c r="B351" s="392" t="s">
        <v>1300</v>
      </c>
      <c r="C351" s="389" t="s">
        <v>1301</v>
      </c>
    </row>
    <row r="352" spans="1:3" ht="26.4" x14ac:dyDescent="0.25">
      <c r="A352" s="388">
        <v>335</v>
      </c>
      <c r="B352" s="392" t="s">
        <v>1302</v>
      </c>
      <c r="C352" s="389" t="s">
        <v>802</v>
      </c>
    </row>
    <row r="353" spans="1:3" x14ac:dyDescent="0.25">
      <c r="A353" s="388">
        <v>336</v>
      </c>
      <c r="B353" s="392" t="s">
        <v>1303</v>
      </c>
      <c r="C353" s="389" t="s">
        <v>1304</v>
      </c>
    </row>
    <row r="354" spans="1:3" x14ac:dyDescent="0.25">
      <c r="A354" s="388">
        <v>337</v>
      </c>
      <c r="B354" s="392" t="s">
        <v>1305</v>
      </c>
      <c r="C354" s="389" t="s">
        <v>801</v>
      </c>
    </row>
    <row r="355" spans="1:3" x14ac:dyDescent="0.25">
      <c r="A355" s="388">
        <v>338</v>
      </c>
      <c r="B355" s="392" t="s">
        <v>1306</v>
      </c>
      <c r="C355" s="389" t="s">
        <v>1307</v>
      </c>
    </row>
    <row r="356" spans="1:3" x14ac:dyDescent="0.25">
      <c r="A356" s="388">
        <v>339</v>
      </c>
      <c r="B356" s="392" t="s">
        <v>1308</v>
      </c>
      <c r="C356" s="389" t="s">
        <v>1309</v>
      </c>
    </row>
    <row r="357" spans="1:3" x14ac:dyDescent="0.25">
      <c r="A357" s="388">
        <v>340</v>
      </c>
      <c r="B357" s="392" t="s">
        <v>1310</v>
      </c>
      <c r="C357" s="389" t="s">
        <v>805</v>
      </c>
    </row>
    <row r="358" spans="1:3" x14ac:dyDescent="0.25">
      <c r="A358" s="388">
        <v>341</v>
      </c>
      <c r="B358" s="392" t="s">
        <v>1311</v>
      </c>
      <c r="C358" s="389" t="s">
        <v>1312</v>
      </c>
    </row>
    <row r="359" spans="1:3" x14ac:dyDescent="0.25">
      <c r="A359" s="388">
        <v>342</v>
      </c>
      <c r="B359" s="392" t="s">
        <v>1313</v>
      </c>
      <c r="C359" s="389" t="s">
        <v>1314</v>
      </c>
    </row>
    <row r="360" spans="1:3" x14ac:dyDescent="0.25">
      <c r="A360" s="388">
        <v>343</v>
      </c>
      <c r="B360" s="392" t="s">
        <v>803</v>
      </c>
      <c r="C360" s="389" t="s">
        <v>804</v>
      </c>
    </row>
    <row r="361" spans="1:3" x14ac:dyDescent="0.25">
      <c r="A361" s="388">
        <v>344</v>
      </c>
      <c r="B361" s="392" t="s">
        <v>1315</v>
      </c>
      <c r="C361" s="389" t="s">
        <v>1316</v>
      </c>
    </row>
    <row r="362" spans="1:3" x14ac:dyDescent="0.25">
      <c r="A362" s="388">
        <v>345</v>
      </c>
      <c r="B362" s="392" t="s">
        <v>1317</v>
      </c>
      <c r="C362" s="389" t="s">
        <v>1318</v>
      </c>
    </row>
    <row r="363" spans="1:3" x14ac:dyDescent="0.25">
      <c r="A363" s="388"/>
      <c r="B363" s="392" t="s">
        <v>1438</v>
      </c>
      <c r="C363" s="389" t="s">
        <v>1475</v>
      </c>
    </row>
    <row r="364" spans="1:3" x14ac:dyDescent="0.25">
      <c r="A364" s="388"/>
      <c r="B364" s="392" t="s">
        <v>808</v>
      </c>
      <c r="C364" s="389" t="s">
        <v>809</v>
      </c>
    </row>
    <row r="365" spans="1:3" x14ac:dyDescent="0.25">
      <c r="A365" s="388">
        <v>346</v>
      </c>
      <c r="B365" s="389" t="s">
        <v>1319</v>
      </c>
      <c r="C365" s="389" t="s">
        <v>442</v>
      </c>
    </row>
    <row r="366" spans="1:3" x14ac:dyDescent="0.25">
      <c r="A366" s="388">
        <v>347</v>
      </c>
      <c r="B366" s="389" t="s">
        <v>1320</v>
      </c>
      <c r="C366" s="389" t="s">
        <v>1321</v>
      </c>
    </row>
    <row r="367" spans="1:3" x14ac:dyDescent="0.25">
      <c r="A367" s="388">
        <v>348</v>
      </c>
      <c r="B367" s="389" t="s">
        <v>806</v>
      </c>
      <c r="C367" s="389" t="s">
        <v>559</v>
      </c>
    </row>
    <row r="368" spans="1:3" x14ac:dyDescent="0.25">
      <c r="A368" s="388"/>
      <c r="B368" s="392" t="s">
        <v>1322</v>
      </c>
      <c r="C368" s="389" t="s">
        <v>807</v>
      </c>
    </row>
    <row r="369" spans="1:3" ht="26.4" x14ac:dyDescent="0.25">
      <c r="A369" s="388"/>
      <c r="B369" s="392" t="s">
        <v>1323</v>
      </c>
      <c r="C369" s="389" t="s">
        <v>1324</v>
      </c>
    </row>
    <row r="370" spans="1:3" x14ac:dyDescent="0.25">
      <c r="A370" s="388">
        <v>349</v>
      </c>
      <c r="B370" s="392" t="s">
        <v>1325</v>
      </c>
      <c r="C370" s="389" t="s">
        <v>816</v>
      </c>
    </row>
    <row r="371" spans="1:3" x14ac:dyDescent="0.25">
      <c r="A371" s="388"/>
      <c r="B371" s="392" t="s">
        <v>1326</v>
      </c>
      <c r="C371" s="389" t="s">
        <v>1327</v>
      </c>
    </row>
    <row r="372" spans="1:3" x14ac:dyDescent="0.25">
      <c r="A372" s="388"/>
      <c r="B372" s="392" t="s">
        <v>1328</v>
      </c>
      <c r="C372" s="389" t="s">
        <v>813</v>
      </c>
    </row>
    <row r="373" spans="1:3" x14ac:dyDescent="0.25">
      <c r="A373" s="388"/>
      <c r="B373" s="392" t="s">
        <v>812</v>
      </c>
      <c r="C373" s="389" t="s">
        <v>485</v>
      </c>
    </row>
    <row r="374" spans="1:3" x14ac:dyDescent="0.25">
      <c r="A374" s="388"/>
      <c r="B374" s="392" t="s">
        <v>810</v>
      </c>
      <c r="C374" s="389" t="s">
        <v>811</v>
      </c>
    </row>
    <row r="375" spans="1:3" x14ac:dyDescent="0.25">
      <c r="A375" s="388"/>
      <c r="B375" s="392" t="s">
        <v>1329</v>
      </c>
      <c r="C375" s="389" t="s">
        <v>814</v>
      </c>
    </row>
    <row r="376" spans="1:3" x14ac:dyDescent="0.25">
      <c r="A376" s="388"/>
      <c r="B376" s="392" t="s">
        <v>1330</v>
      </c>
      <c r="C376" s="389" t="s">
        <v>561</v>
      </c>
    </row>
    <row r="377" spans="1:3" x14ac:dyDescent="0.25">
      <c r="A377" s="388"/>
      <c r="B377" s="392" t="s">
        <v>402</v>
      </c>
      <c r="C377" s="389" t="s">
        <v>1331</v>
      </c>
    </row>
    <row r="378" spans="1:3" x14ac:dyDescent="0.25">
      <c r="A378" s="388"/>
      <c r="B378" s="392" t="s">
        <v>1332</v>
      </c>
      <c r="C378" s="389" t="s">
        <v>701</v>
      </c>
    </row>
    <row r="379" spans="1:3" x14ac:dyDescent="0.25">
      <c r="A379" s="388"/>
      <c r="B379" s="392" t="s">
        <v>1333</v>
      </c>
      <c r="C379" s="389" t="s">
        <v>556</v>
      </c>
    </row>
    <row r="380" spans="1:3" x14ac:dyDescent="0.25">
      <c r="A380" s="388"/>
      <c r="B380" s="392" t="s">
        <v>1334</v>
      </c>
      <c r="C380" s="389" t="s">
        <v>1335</v>
      </c>
    </row>
    <row r="381" spans="1:3" x14ac:dyDescent="0.25">
      <c r="A381" s="388"/>
      <c r="B381" s="392" t="s">
        <v>405</v>
      </c>
      <c r="C381" s="389" t="s">
        <v>1336</v>
      </c>
    </row>
    <row r="382" spans="1:3" x14ac:dyDescent="0.25">
      <c r="A382" s="388"/>
      <c r="B382" s="392" t="s">
        <v>1337</v>
      </c>
      <c r="C382" s="389" t="s">
        <v>1338</v>
      </c>
    </row>
    <row r="383" spans="1:3" x14ac:dyDescent="0.25">
      <c r="A383" s="388"/>
      <c r="B383" s="392" t="s">
        <v>406</v>
      </c>
      <c r="C383" s="389" t="s">
        <v>565</v>
      </c>
    </row>
    <row r="384" spans="1:3" x14ac:dyDescent="0.25">
      <c r="A384" s="388"/>
      <c r="B384" s="392" t="s">
        <v>815</v>
      </c>
      <c r="C384" s="389" t="s">
        <v>1339</v>
      </c>
    </row>
    <row r="385" spans="1:3" x14ac:dyDescent="0.25">
      <c r="A385" s="388"/>
      <c r="B385" s="392" t="s">
        <v>1340</v>
      </c>
      <c r="C385" s="389" t="s">
        <v>1341</v>
      </c>
    </row>
    <row r="386" spans="1:3" x14ac:dyDescent="0.25">
      <c r="A386" s="388"/>
      <c r="B386" s="392" t="s">
        <v>1342</v>
      </c>
      <c r="C386" s="389" t="s">
        <v>1343</v>
      </c>
    </row>
    <row r="387" spans="1:3" x14ac:dyDescent="0.25">
      <c r="A387" s="388"/>
      <c r="B387" s="392" t="s">
        <v>1439</v>
      </c>
      <c r="C387" s="389" t="s">
        <v>1476</v>
      </c>
    </row>
    <row r="388" spans="1:3" ht="26.4" x14ac:dyDescent="0.25">
      <c r="A388" s="388"/>
      <c r="B388" s="392" t="s">
        <v>1440</v>
      </c>
      <c r="C388" s="389" t="s">
        <v>1477</v>
      </c>
    </row>
    <row r="389" spans="1:3" x14ac:dyDescent="0.25">
      <c r="A389" s="388"/>
      <c r="B389" s="392" t="s">
        <v>1344</v>
      </c>
      <c r="C389" s="389" t="s">
        <v>817</v>
      </c>
    </row>
    <row r="390" spans="1:3" x14ac:dyDescent="0.25">
      <c r="A390" s="388"/>
      <c r="B390" s="392" t="s">
        <v>820</v>
      </c>
      <c r="C390" s="389" t="s">
        <v>821</v>
      </c>
    </row>
    <row r="391" spans="1:3" x14ac:dyDescent="0.25">
      <c r="A391" s="388"/>
      <c r="B391" s="392" t="s">
        <v>1345</v>
      </c>
      <c r="C391" s="392" t="s">
        <v>819</v>
      </c>
    </row>
    <row r="392" spans="1:3" x14ac:dyDescent="0.25">
      <c r="A392" s="388"/>
      <c r="B392" s="392" t="s">
        <v>1346</v>
      </c>
      <c r="C392" s="392" t="s">
        <v>1347</v>
      </c>
    </row>
    <row r="393" spans="1:3" x14ac:dyDescent="0.25">
      <c r="A393" s="388"/>
      <c r="B393" s="392" t="s">
        <v>1348</v>
      </c>
      <c r="C393" s="392" t="s">
        <v>818</v>
      </c>
    </row>
    <row r="394" spans="1:3" x14ac:dyDescent="0.25">
      <c r="A394" s="388"/>
      <c r="B394" s="392" t="s">
        <v>1349</v>
      </c>
      <c r="C394" s="392" t="s">
        <v>1350</v>
      </c>
    </row>
    <row r="395" spans="1:3" x14ac:dyDescent="0.25">
      <c r="A395" s="388"/>
      <c r="B395" s="392" t="s">
        <v>1351</v>
      </c>
      <c r="C395" s="392" t="s">
        <v>964</v>
      </c>
    </row>
    <row r="396" spans="1:3" x14ac:dyDescent="0.25">
      <c r="A396" s="388"/>
      <c r="B396" s="392" t="s">
        <v>1352</v>
      </c>
      <c r="C396" s="392" t="s">
        <v>1353</v>
      </c>
    </row>
    <row r="397" spans="1:3" x14ac:dyDescent="0.25">
      <c r="A397" s="388"/>
      <c r="B397" s="392" t="s">
        <v>1354</v>
      </c>
      <c r="C397" s="392" t="s">
        <v>1355</v>
      </c>
    </row>
    <row r="398" spans="1:3" x14ac:dyDescent="0.25">
      <c r="A398" s="388"/>
      <c r="B398" s="392" t="s">
        <v>1356</v>
      </c>
      <c r="C398" s="392" t="s">
        <v>822</v>
      </c>
    </row>
    <row r="399" spans="1:3" x14ac:dyDescent="0.25">
      <c r="A399" s="388"/>
      <c r="B399" s="392" t="s">
        <v>1441</v>
      </c>
      <c r="C399" s="392" t="s">
        <v>1478</v>
      </c>
    </row>
    <row r="400" spans="1:3" x14ac:dyDescent="0.25">
      <c r="A400" s="388"/>
      <c r="B400" s="392" t="s">
        <v>1357</v>
      </c>
      <c r="C400" s="392" t="s">
        <v>574</v>
      </c>
    </row>
    <row r="401" spans="1:3" x14ac:dyDescent="0.25">
      <c r="A401" s="388"/>
      <c r="B401" s="392" t="s">
        <v>1442</v>
      </c>
      <c r="C401" s="392" t="s">
        <v>1479</v>
      </c>
    </row>
    <row r="402" spans="1:3" x14ac:dyDescent="0.25">
      <c r="A402" s="388"/>
      <c r="B402" s="392" t="s">
        <v>1358</v>
      </c>
      <c r="C402" s="392" t="s">
        <v>639</v>
      </c>
    </row>
    <row r="403" spans="1:3" x14ac:dyDescent="0.25">
      <c r="A403" s="388"/>
      <c r="B403" s="392" t="s">
        <v>1359</v>
      </c>
      <c r="C403" s="392" t="s">
        <v>1360</v>
      </c>
    </row>
    <row r="404" spans="1:3" x14ac:dyDescent="0.25">
      <c r="A404" s="388"/>
      <c r="B404" s="398" t="s">
        <v>1361</v>
      </c>
      <c r="C404" s="398" t="s">
        <v>639</v>
      </c>
    </row>
    <row r="405" spans="1:3" x14ac:dyDescent="0.25">
      <c r="A405" s="388"/>
      <c r="B405" s="398" t="s">
        <v>1443</v>
      </c>
      <c r="C405" s="398" t="s">
        <v>1480</v>
      </c>
    </row>
  </sheetData>
  <mergeCells count="2">
    <mergeCell ref="A2:C2"/>
    <mergeCell ref="B3:C3"/>
  </mergeCells>
  <conditionalFormatting sqref="B5">
    <cfRule type="duplicateValues" dxfId="30" priority="44"/>
  </conditionalFormatting>
  <conditionalFormatting sqref="B250:B251">
    <cfRule type="duplicateValues" dxfId="29" priority="24"/>
  </conditionalFormatting>
  <conditionalFormatting sqref="B224:B225">
    <cfRule type="duplicateValues" dxfId="28" priority="23"/>
  </conditionalFormatting>
  <conditionalFormatting sqref="B324">
    <cfRule type="duplicateValues" dxfId="27" priority="22"/>
  </conditionalFormatting>
  <conditionalFormatting sqref="B96">
    <cfRule type="duplicateValues" dxfId="26" priority="21"/>
  </conditionalFormatting>
  <conditionalFormatting sqref="B168">
    <cfRule type="duplicateValues" dxfId="25" priority="20"/>
  </conditionalFormatting>
  <conditionalFormatting sqref="B219">
    <cfRule type="duplicateValues" dxfId="24" priority="19"/>
  </conditionalFormatting>
  <conditionalFormatting sqref="B288">
    <cfRule type="duplicateValues" dxfId="23" priority="18"/>
  </conditionalFormatting>
  <conditionalFormatting sqref="B136:B137">
    <cfRule type="duplicateValues" dxfId="22" priority="17"/>
  </conditionalFormatting>
  <conditionalFormatting sqref="B226:B227">
    <cfRule type="duplicateValues" dxfId="21" priority="16"/>
  </conditionalFormatting>
  <conditionalFormatting sqref="B203">
    <cfRule type="duplicateValues" dxfId="20" priority="15"/>
  </conditionalFormatting>
  <conditionalFormatting sqref="B252">
    <cfRule type="duplicateValues" dxfId="19" priority="14"/>
  </conditionalFormatting>
  <conditionalFormatting sqref="B28">
    <cfRule type="duplicateValues" dxfId="18" priority="13"/>
  </conditionalFormatting>
  <conditionalFormatting sqref="B325:B342 B253:B261 B97:B119 B169:B192 B6:B11 B220:B223 B289:B294 B138:B157 B229:B249 B46:B95 B204:B218 B264:B276 B124:B135 B13:B15 B29:B44 B159:B161 B278:B287 B121:B122 B362:B368 B194:B202 B370:B390 B400:B402 B296:B323 B344:B360 B17:B27 B163:B167">
    <cfRule type="duplicateValues" dxfId="17" priority="25"/>
  </conditionalFormatting>
  <conditionalFormatting sqref="B277">
    <cfRule type="duplicateValues" dxfId="16" priority="12"/>
  </conditionalFormatting>
  <conditionalFormatting sqref="B120">
    <cfRule type="duplicateValues" dxfId="15" priority="11"/>
  </conditionalFormatting>
  <conditionalFormatting sqref="B361">
    <cfRule type="duplicateValues" dxfId="14" priority="10"/>
  </conditionalFormatting>
  <conditionalFormatting sqref="B193">
    <cfRule type="duplicateValues" dxfId="13" priority="9"/>
  </conditionalFormatting>
  <conditionalFormatting sqref="B369">
    <cfRule type="duplicateValues" dxfId="12" priority="8"/>
  </conditionalFormatting>
  <conditionalFormatting sqref="B403">
    <cfRule type="duplicateValues" dxfId="11" priority="7"/>
  </conditionalFormatting>
  <conditionalFormatting sqref="B391:B399">
    <cfRule type="duplicateValues" dxfId="10" priority="6"/>
  </conditionalFormatting>
  <conditionalFormatting sqref="B343">
    <cfRule type="duplicateValues" dxfId="9" priority="5"/>
  </conditionalFormatting>
  <conditionalFormatting sqref="B158">
    <cfRule type="duplicateValues" dxfId="8" priority="4"/>
  </conditionalFormatting>
  <conditionalFormatting sqref="B162">
    <cfRule type="duplicateValues" dxfId="7" priority="3"/>
  </conditionalFormatting>
  <conditionalFormatting sqref="C403">
    <cfRule type="duplicateValues" dxfId="6" priority="2"/>
  </conditionalFormatting>
  <conditionalFormatting sqref="C391:C399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B2:E3"/>
  <sheetViews>
    <sheetView workbookViewId="0">
      <selection activeCell="B45" sqref="A38:O55"/>
    </sheetView>
  </sheetViews>
  <sheetFormatPr baseColWidth="10" defaultColWidth="11.44140625" defaultRowHeight="14.4" x14ac:dyDescent="0.3"/>
  <cols>
    <col min="1" max="1" width="11.44140625" style="372"/>
    <col min="2" max="5" width="22.88671875" style="372" customWidth="1"/>
    <col min="6" max="16384" width="11.44140625" style="372"/>
  </cols>
  <sheetData>
    <row r="2" spans="2:5" x14ac:dyDescent="0.3">
      <c r="B2" s="371" t="s">
        <v>661</v>
      </c>
      <c r="C2" s="371" t="s">
        <v>56</v>
      </c>
      <c r="D2" s="371" t="s">
        <v>692</v>
      </c>
      <c r="E2" s="371" t="s">
        <v>693</v>
      </c>
    </row>
    <row r="3" spans="2:5" x14ac:dyDescent="0.3">
      <c r="B3" s="373" t="str">
        <f>Identificaciones!F22</f>
        <v>Vernier Digital</v>
      </c>
      <c r="C3" s="374">
        <f>Identificaciones!D6</f>
        <v>44962</v>
      </c>
      <c r="D3" s="374">
        <f>Identificaciones!M27</f>
        <v>562263321</v>
      </c>
      <c r="E3" s="373" t="str">
        <f>Identificaciones!F4</f>
        <v>NI-MC-D-1233-2023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AH103"/>
  <sheetViews>
    <sheetView view="pageLayout" topLeftCell="A75" zoomScale="95" zoomScaleNormal="100" zoomScaleSheetLayoutView="100" zoomScalePageLayoutView="95" workbookViewId="0">
      <selection activeCell="M83" sqref="M83:W86"/>
    </sheetView>
  </sheetViews>
  <sheetFormatPr baseColWidth="10" defaultColWidth="11.33203125" defaultRowHeight="14.4" x14ac:dyDescent="0.3"/>
  <cols>
    <col min="1" max="29" width="3.109375" style="314" customWidth="1"/>
    <col min="30" max="16384" width="11.33203125" style="314"/>
  </cols>
  <sheetData>
    <row r="1" spans="2:29" ht="14.85" customHeight="1" x14ac:dyDescent="0.3"/>
    <row r="2" spans="2:29" ht="14.85" customHeight="1" x14ac:dyDescent="0.3"/>
    <row r="3" spans="2:29" ht="14.85" customHeight="1" x14ac:dyDescent="0.3"/>
    <row r="4" spans="2:29" ht="14.85" customHeight="1" x14ac:dyDescent="0.3"/>
    <row r="5" spans="2:29" ht="14.85" customHeight="1" x14ac:dyDescent="0.3"/>
    <row r="6" spans="2:29" ht="14.85" customHeight="1" x14ac:dyDescent="0.3"/>
    <row r="7" spans="2:29" ht="12" customHeight="1" x14ac:dyDescent="0.3"/>
    <row r="8" spans="2:29" ht="14.85" customHeight="1" x14ac:dyDescent="0.3">
      <c r="B8" s="330" t="s">
        <v>671</v>
      </c>
      <c r="E8" s="322"/>
      <c r="F8" s="322"/>
      <c r="G8" s="329"/>
      <c r="H8" s="329"/>
      <c r="I8" s="329"/>
      <c r="J8" s="329"/>
      <c r="K8" s="329"/>
      <c r="L8" s="315"/>
      <c r="M8" s="315"/>
      <c r="P8" s="332"/>
      <c r="Q8" s="671" t="str">
        <f>Identificaciones!F4</f>
        <v>NI-MC-D-1233-2023</v>
      </c>
      <c r="R8" s="671"/>
      <c r="S8" s="671"/>
      <c r="T8" s="671"/>
      <c r="U8" s="671"/>
      <c r="V8" s="671"/>
      <c r="W8" s="671"/>
      <c r="X8" s="671"/>
      <c r="Y8" s="671"/>
      <c r="Z8" s="671"/>
      <c r="AA8" s="671"/>
      <c r="AB8" s="671"/>
      <c r="AC8" s="671"/>
    </row>
    <row r="9" spans="2:29" ht="14.85" customHeight="1" x14ac:dyDescent="0.3">
      <c r="B9" s="330" t="s">
        <v>846</v>
      </c>
      <c r="E9" s="322"/>
      <c r="F9" s="322"/>
      <c r="G9" s="329"/>
      <c r="H9" s="329"/>
      <c r="I9" s="329"/>
      <c r="J9" s="329"/>
      <c r="K9" s="329"/>
      <c r="L9" s="315"/>
      <c r="M9" s="315"/>
      <c r="P9" s="332"/>
      <c r="Q9" s="383" t="str">
        <f>Identificaciones!M4</f>
        <v>NI-CS-0062-23</v>
      </c>
      <c r="R9" s="383"/>
      <c r="S9" s="383"/>
      <c r="T9" s="383"/>
      <c r="U9" s="383"/>
      <c r="V9" s="383"/>
      <c r="W9" s="383"/>
      <c r="X9" s="383"/>
      <c r="Y9" s="383"/>
      <c r="Z9" s="383"/>
      <c r="AA9" s="383"/>
      <c r="AB9" s="383"/>
      <c r="AC9" s="383"/>
    </row>
    <row r="10" spans="2:29" ht="14.25" customHeight="1" x14ac:dyDescent="0.3">
      <c r="B10" s="330" t="s">
        <v>63</v>
      </c>
      <c r="E10" s="323"/>
      <c r="F10" s="323"/>
      <c r="G10" s="329"/>
      <c r="H10" s="329"/>
      <c r="I10" s="329"/>
      <c r="J10" s="329"/>
      <c r="K10" s="329"/>
      <c r="L10" s="315"/>
      <c r="M10" s="315"/>
      <c r="P10" s="331"/>
      <c r="Q10" s="672">
        <f>Identificaciones!D6</f>
        <v>44962</v>
      </c>
      <c r="R10" s="672"/>
      <c r="S10" s="672"/>
      <c r="T10" s="672"/>
      <c r="U10" s="672"/>
      <c r="V10" s="672"/>
      <c r="W10" s="672"/>
      <c r="X10" s="672"/>
      <c r="Y10" s="672"/>
      <c r="Z10" s="672"/>
      <c r="AA10" s="672"/>
      <c r="AB10" s="672"/>
      <c r="AC10" s="672"/>
    </row>
    <row r="11" spans="2:29" ht="14.25" customHeight="1" x14ac:dyDescent="0.3">
      <c r="B11" s="330" t="s">
        <v>841</v>
      </c>
      <c r="E11" s="323"/>
      <c r="F11" s="323"/>
      <c r="G11" s="329"/>
      <c r="H11" s="329"/>
      <c r="I11" s="329"/>
      <c r="J11" s="329"/>
      <c r="K11" s="329"/>
      <c r="L11" s="315"/>
      <c r="M11" s="315"/>
      <c r="P11" s="331"/>
      <c r="Q11" s="672">
        <f ca="1">NOW()</f>
        <v>45392.902506712962</v>
      </c>
      <c r="R11" s="672"/>
      <c r="S11" s="672"/>
      <c r="T11" s="672"/>
      <c r="U11" s="672"/>
      <c r="V11" s="672"/>
      <c r="W11" s="672"/>
      <c r="X11" s="672"/>
      <c r="Y11" s="672"/>
      <c r="Z11" s="672"/>
      <c r="AA11" s="672"/>
      <c r="AB11" s="672"/>
      <c r="AC11" s="672"/>
    </row>
    <row r="12" spans="2:29" ht="14.25" customHeight="1" x14ac:dyDescent="0.3">
      <c r="B12" s="330" t="s">
        <v>680</v>
      </c>
      <c r="E12" s="323"/>
      <c r="F12" s="323"/>
      <c r="G12" s="329"/>
      <c r="H12" s="329"/>
      <c r="I12" s="329"/>
      <c r="J12" s="329"/>
      <c r="K12" s="329"/>
      <c r="L12" s="315"/>
      <c r="M12" s="315"/>
      <c r="P12" s="331"/>
      <c r="Q12" s="665" t="str">
        <f>Identificaciones!F22</f>
        <v>Vernier Digital</v>
      </c>
      <c r="R12" s="666"/>
      <c r="S12" s="666"/>
      <c r="T12" s="666"/>
      <c r="U12" s="666"/>
      <c r="V12" s="666"/>
      <c r="W12" s="666"/>
      <c r="X12" s="666"/>
      <c r="Y12" s="666"/>
      <c r="Z12" s="666"/>
      <c r="AA12" s="666"/>
      <c r="AB12" s="666"/>
      <c r="AC12" s="666"/>
    </row>
    <row r="13" spans="2:29" ht="14.25" customHeight="1" x14ac:dyDescent="0.3">
      <c r="B13" s="330" t="s">
        <v>679</v>
      </c>
      <c r="E13" s="323"/>
      <c r="F13" s="323"/>
      <c r="G13" s="329"/>
      <c r="H13" s="329"/>
      <c r="I13" s="329"/>
      <c r="J13" s="329"/>
      <c r="K13" s="329"/>
      <c r="L13" s="315"/>
      <c r="M13" s="315"/>
      <c r="P13" s="331"/>
      <c r="Q13" s="665" t="str">
        <f>Identificaciones!D24</f>
        <v>Mitutoyo</v>
      </c>
      <c r="R13" s="666"/>
      <c r="S13" s="666"/>
      <c r="T13" s="666"/>
      <c r="U13" s="666"/>
      <c r="V13" s="666"/>
      <c r="W13" s="666"/>
      <c r="X13" s="666"/>
      <c r="Y13" s="666"/>
      <c r="Z13" s="666"/>
      <c r="AA13" s="666"/>
      <c r="AB13" s="666"/>
      <c r="AC13" s="666"/>
    </row>
    <row r="14" spans="2:29" ht="14.25" customHeight="1" x14ac:dyDescent="0.3">
      <c r="B14" s="330" t="s">
        <v>44</v>
      </c>
      <c r="E14" s="323"/>
      <c r="F14" s="323"/>
      <c r="G14" s="329"/>
      <c r="H14" s="329"/>
      <c r="I14" s="329"/>
      <c r="J14" s="329"/>
      <c r="K14" s="329"/>
      <c r="L14" s="315"/>
      <c r="M14" s="315"/>
      <c r="P14" s="331"/>
      <c r="Q14" s="665">
        <f>Identificaciones!H27</f>
        <v>59869956</v>
      </c>
      <c r="R14" s="666"/>
      <c r="S14" s="666"/>
      <c r="T14" s="666"/>
      <c r="U14" s="666"/>
      <c r="V14" s="666"/>
      <c r="W14" s="666"/>
      <c r="X14" s="666"/>
      <c r="Y14" s="666"/>
      <c r="Z14" s="666"/>
      <c r="AA14" s="666"/>
      <c r="AB14" s="666"/>
      <c r="AC14" s="666"/>
    </row>
    <row r="15" spans="2:29" ht="14.25" customHeight="1" x14ac:dyDescent="0.3">
      <c r="B15" s="330" t="s">
        <v>43</v>
      </c>
      <c r="E15" s="323"/>
      <c r="F15" s="323"/>
      <c r="G15" s="329"/>
      <c r="H15" s="329"/>
      <c r="I15" s="329"/>
      <c r="J15" s="329"/>
      <c r="K15" s="329"/>
      <c r="L15" s="315"/>
      <c r="M15" s="315"/>
      <c r="P15" s="331"/>
      <c r="Q15" s="665" t="str">
        <f>Identificaciones!D27</f>
        <v>Quantum Mike</v>
      </c>
      <c r="R15" s="666"/>
      <c r="S15" s="666"/>
      <c r="T15" s="666"/>
      <c r="U15" s="666"/>
      <c r="V15" s="666"/>
      <c r="W15" s="666"/>
      <c r="X15" s="666"/>
      <c r="Y15" s="666"/>
      <c r="Z15" s="666"/>
      <c r="AA15" s="666"/>
      <c r="AB15" s="666"/>
      <c r="AC15" s="666"/>
    </row>
    <row r="16" spans="2:29" ht="14.25" customHeight="1" x14ac:dyDescent="0.3">
      <c r="B16" s="330" t="s">
        <v>678</v>
      </c>
      <c r="E16" s="323"/>
      <c r="F16" s="323"/>
      <c r="G16" s="329"/>
      <c r="H16" s="329"/>
      <c r="I16" s="329"/>
      <c r="J16" s="329"/>
      <c r="K16" s="329"/>
      <c r="L16" s="315"/>
      <c r="M16" s="315"/>
      <c r="P16" s="331"/>
      <c r="Q16" s="665" t="str">
        <f>Identificaciones!M29</f>
        <v>0 mm a 150 mm</v>
      </c>
      <c r="R16" s="666"/>
      <c r="S16" s="666"/>
      <c r="T16" s="666"/>
      <c r="U16" s="666"/>
      <c r="V16" s="666"/>
      <c r="W16" s="666"/>
      <c r="X16" s="666"/>
      <c r="Y16" s="666"/>
      <c r="Z16" s="666"/>
      <c r="AA16" s="666"/>
      <c r="AB16" s="666"/>
      <c r="AC16" s="666"/>
    </row>
    <row r="17" spans="1:34" ht="14.25" customHeight="1" x14ac:dyDescent="0.3">
      <c r="B17" s="330" t="s">
        <v>47</v>
      </c>
      <c r="E17" s="323"/>
      <c r="F17" s="323"/>
      <c r="G17" s="329"/>
      <c r="H17" s="329"/>
      <c r="I17" s="329"/>
      <c r="J17" s="329"/>
      <c r="K17" s="329"/>
      <c r="L17" s="315"/>
      <c r="M17" s="315"/>
      <c r="P17" s="331"/>
      <c r="Q17" s="665">
        <f>Identificaciones!J31</f>
        <v>0.01</v>
      </c>
      <c r="R17" s="665"/>
      <c r="S17" s="382" t="str">
        <f>Identificaciones!L31</f>
        <v>mm</v>
      </c>
      <c r="T17" s="382"/>
      <c r="U17" s="382"/>
      <c r="V17" s="382"/>
      <c r="W17" s="382"/>
      <c r="X17" s="382"/>
      <c r="Y17" s="382"/>
      <c r="Z17" s="382"/>
      <c r="AA17" s="382"/>
      <c r="AB17" s="382"/>
      <c r="AC17" s="382"/>
    </row>
    <row r="18" spans="1:34" ht="14.25" customHeight="1" x14ac:dyDescent="0.3">
      <c r="B18" s="330" t="s">
        <v>677</v>
      </c>
      <c r="E18" s="323"/>
      <c r="F18" s="323"/>
      <c r="G18" s="329"/>
      <c r="H18" s="329"/>
      <c r="I18" s="329"/>
      <c r="J18" s="329"/>
      <c r="K18" s="329"/>
      <c r="L18" s="315"/>
      <c r="M18" s="315"/>
      <c r="P18" s="331"/>
      <c r="Q18" s="665">
        <f>Identificaciones!M27</f>
        <v>562263321</v>
      </c>
      <c r="R18" s="666"/>
      <c r="S18" s="666"/>
      <c r="T18" s="666"/>
      <c r="U18" s="666"/>
      <c r="V18" s="666"/>
      <c r="W18" s="666"/>
      <c r="X18" s="666"/>
      <c r="Y18" s="666"/>
      <c r="Z18" s="666"/>
      <c r="AA18" s="666"/>
      <c r="AB18" s="666"/>
      <c r="AC18" s="666"/>
    </row>
    <row r="19" spans="1:34" ht="14.25" customHeight="1" x14ac:dyDescent="0.3">
      <c r="B19" s="330" t="s">
        <v>676</v>
      </c>
      <c r="E19" s="323"/>
      <c r="F19" s="323"/>
      <c r="G19" s="329"/>
      <c r="H19" s="329"/>
      <c r="I19" s="329"/>
      <c r="J19" s="329"/>
      <c r="K19" s="329"/>
      <c r="L19" s="315"/>
      <c r="M19" s="315"/>
      <c r="P19" s="331"/>
      <c r="Q19" s="666" t="str">
        <f>Identificaciones!G16</f>
        <v>ACQUASU S.A. de CV</v>
      </c>
      <c r="R19" s="666"/>
      <c r="S19" s="666"/>
      <c r="T19" s="666"/>
      <c r="U19" s="666"/>
      <c r="V19" s="666"/>
      <c r="W19" s="666"/>
      <c r="X19" s="666"/>
      <c r="Y19" s="666"/>
      <c r="Z19" s="666"/>
      <c r="AA19" s="666"/>
      <c r="AB19" s="666"/>
      <c r="AC19" s="666"/>
    </row>
    <row r="20" spans="1:34" ht="14.25" customHeight="1" x14ac:dyDescent="0.3">
      <c r="B20" s="330" t="s">
        <v>675</v>
      </c>
      <c r="E20" s="323"/>
      <c r="F20" s="323"/>
      <c r="G20" s="329"/>
      <c r="H20" s="329"/>
      <c r="I20" s="329"/>
      <c r="J20" s="329"/>
      <c r="K20" s="329"/>
      <c r="L20" s="315"/>
      <c r="M20" s="315"/>
      <c r="P20" s="331"/>
      <c r="Q20" s="665" t="str">
        <f>Identificaciones!D17</f>
        <v>km 4,5 Carretera Norte</v>
      </c>
      <c r="R20" s="666"/>
      <c r="S20" s="666"/>
      <c r="T20" s="666"/>
      <c r="U20" s="666"/>
      <c r="V20" s="666"/>
      <c r="W20" s="666"/>
      <c r="X20" s="666"/>
      <c r="Y20" s="666"/>
      <c r="Z20" s="666"/>
      <c r="AA20" s="666"/>
      <c r="AB20" s="666"/>
      <c r="AC20" s="666"/>
    </row>
    <row r="21" spans="1:34" ht="14.25" customHeight="1" x14ac:dyDescent="0.3">
      <c r="B21" s="330" t="s">
        <v>674</v>
      </c>
      <c r="E21" s="323"/>
      <c r="F21" s="323"/>
      <c r="G21" s="329"/>
      <c r="H21" s="329"/>
      <c r="I21" s="329"/>
      <c r="J21" s="329"/>
      <c r="K21" s="329"/>
      <c r="L21" s="315"/>
      <c r="M21" s="315"/>
      <c r="P21" s="331"/>
      <c r="Q21" s="665" t="str">
        <f>Identificaciones!D18</f>
        <v>Laboratorio #1 Metrocal</v>
      </c>
      <c r="R21" s="666"/>
      <c r="S21" s="666"/>
      <c r="T21" s="666"/>
      <c r="U21" s="666"/>
      <c r="V21" s="666"/>
      <c r="W21" s="666"/>
      <c r="X21" s="666"/>
      <c r="Y21" s="666"/>
      <c r="Z21" s="666"/>
      <c r="AA21" s="666"/>
      <c r="AB21" s="666"/>
      <c r="AC21" s="666"/>
    </row>
    <row r="22" spans="1:34" ht="9" customHeight="1" x14ac:dyDescent="0.3">
      <c r="A22" s="319"/>
      <c r="N22" s="664"/>
      <c r="O22" s="664"/>
      <c r="P22" s="664"/>
      <c r="Q22" s="664"/>
      <c r="R22" s="664"/>
      <c r="S22" s="664"/>
      <c r="T22" s="664"/>
      <c r="U22" s="664"/>
      <c r="V22" s="664"/>
      <c r="W22" s="664"/>
      <c r="X22" s="664"/>
    </row>
    <row r="23" spans="1:34" x14ac:dyDescent="0.3">
      <c r="B23" s="319" t="s">
        <v>673</v>
      </c>
      <c r="C23" s="323"/>
      <c r="D23" s="323"/>
      <c r="E23" s="323"/>
      <c r="F23" s="323"/>
      <c r="AG23" s="315"/>
      <c r="AH23" s="315"/>
    </row>
    <row r="24" spans="1:34" ht="7.5" customHeight="1" x14ac:dyDescent="0.3">
      <c r="AG24" s="315"/>
      <c r="AH24" s="315"/>
    </row>
    <row r="25" spans="1:34" ht="15" customHeight="1" x14ac:dyDescent="0.3">
      <c r="C25" s="674" t="s">
        <v>142</v>
      </c>
      <c r="D25" s="674"/>
      <c r="E25" s="674"/>
      <c r="F25" s="674"/>
      <c r="G25" s="674" t="s">
        <v>32</v>
      </c>
      <c r="H25" s="674"/>
      <c r="I25" s="674"/>
      <c r="J25" s="674"/>
      <c r="K25" s="674" t="s">
        <v>681</v>
      </c>
      <c r="L25" s="674"/>
      <c r="M25" s="674"/>
      <c r="N25" s="674"/>
      <c r="O25" s="674" t="s">
        <v>682</v>
      </c>
      <c r="P25" s="674"/>
      <c r="Q25" s="674"/>
      <c r="R25" s="674"/>
      <c r="S25" s="674" t="s">
        <v>683</v>
      </c>
      <c r="T25" s="674"/>
      <c r="U25" s="674"/>
      <c r="V25" s="674"/>
      <c r="W25" s="673" t="s">
        <v>684</v>
      </c>
      <c r="X25" s="673"/>
      <c r="Y25" s="673"/>
      <c r="Z25" s="673"/>
      <c r="AA25" s="673"/>
    </row>
    <row r="26" spans="1:34" ht="19.2" customHeight="1" x14ac:dyDescent="0.3"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3"/>
      <c r="X26" s="673"/>
      <c r="Y26" s="673"/>
      <c r="Z26" s="673"/>
      <c r="AA26" s="673"/>
    </row>
    <row r="27" spans="1:34" ht="15" customHeight="1" x14ac:dyDescent="0.3">
      <c r="C27" s="691" t="str">
        <f>Resultados!B68</f>
        <v>(mm)</v>
      </c>
      <c r="D27" s="692"/>
      <c r="E27" s="692"/>
      <c r="F27" s="693"/>
      <c r="G27" s="691" t="str">
        <f>Resultados!B68</f>
        <v>(mm)</v>
      </c>
      <c r="H27" s="692"/>
      <c r="I27" s="692"/>
      <c r="J27" s="693"/>
      <c r="K27" s="691" t="str">
        <f>Resultados!C68</f>
        <v>(mm)</v>
      </c>
      <c r="L27" s="692"/>
      <c r="M27" s="692"/>
      <c r="N27" s="693"/>
      <c r="O27" s="691" t="str">
        <f>Resultados!J68</f>
        <v>(mm)</v>
      </c>
      <c r="P27" s="692"/>
      <c r="Q27" s="692"/>
      <c r="R27" s="693"/>
      <c r="S27" s="691" t="str">
        <f>Resultados!L68</f>
        <v>(μm)</v>
      </c>
      <c r="T27" s="692"/>
      <c r="U27" s="692"/>
      <c r="V27" s="693"/>
      <c r="W27" s="695" t="str">
        <f>S27</f>
        <v>(μm)</v>
      </c>
      <c r="X27" s="696"/>
      <c r="Y27" s="696"/>
      <c r="Z27" s="696"/>
      <c r="AA27" s="697"/>
    </row>
    <row r="28" spans="1:34" ht="15" customHeight="1" x14ac:dyDescent="0.3">
      <c r="C28" s="681">
        <v>1</v>
      </c>
      <c r="D28" s="682"/>
      <c r="E28" s="682"/>
      <c r="F28" s="683"/>
      <c r="G28" s="667">
        <f>Resultados!A11</f>
        <v>0</v>
      </c>
      <c r="H28" s="667"/>
      <c r="I28" s="667"/>
      <c r="J28" s="667"/>
      <c r="K28" s="667">
        <f>Resultados!E11</f>
        <v>0</v>
      </c>
      <c r="L28" s="667"/>
      <c r="M28" s="667"/>
      <c r="N28" s="667"/>
      <c r="O28" s="667">
        <f>Resultados!G11</f>
        <v>0</v>
      </c>
      <c r="P28" s="667"/>
      <c r="Q28" s="667"/>
      <c r="R28" s="667"/>
      <c r="S28" s="667">
        <f>Resultados!H11</f>
        <v>0</v>
      </c>
      <c r="T28" s="667"/>
      <c r="U28" s="667"/>
      <c r="V28" s="667"/>
      <c r="W28" s="667">
        <f>Resultados!AA21</f>
        <v>8.1649656580742018</v>
      </c>
      <c r="X28" s="667"/>
      <c r="Y28" s="667"/>
      <c r="Z28" s="667"/>
      <c r="AA28" s="667"/>
    </row>
    <row r="29" spans="1:34" ht="14.25" customHeight="1" x14ac:dyDescent="0.3">
      <c r="C29" s="681">
        <v>2</v>
      </c>
      <c r="D29" s="682"/>
      <c r="E29" s="682"/>
      <c r="F29" s="683"/>
      <c r="G29" s="667">
        <f>Resultados!B69</f>
        <v>0</v>
      </c>
      <c r="H29" s="667"/>
      <c r="I29" s="667"/>
      <c r="J29" s="667"/>
      <c r="K29" s="667">
        <f>Resultados!C69</f>
        <v>0</v>
      </c>
      <c r="L29" s="667"/>
      <c r="M29" s="667"/>
      <c r="N29" s="667"/>
      <c r="O29" s="667">
        <f>Resultados!J69</f>
        <v>0</v>
      </c>
      <c r="P29" s="667"/>
      <c r="Q29" s="667"/>
      <c r="R29" s="667"/>
      <c r="S29" s="667">
        <f>Resultados!L69</f>
        <v>0</v>
      </c>
      <c r="T29" s="667"/>
      <c r="U29" s="667"/>
      <c r="V29" s="667"/>
      <c r="W29" s="667">
        <f>Resultados!AA22</f>
        <v>8.1653738961665283</v>
      </c>
      <c r="X29" s="667"/>
      <c r="Y29" s="667"/>
      <c r="Z29" s="667"/>
      <c r="AA29" s="667"/>
    </row>
    <row r="30" spans="1:34" x14ac:dyDescent="0.3">
      <c r="C30" s="681">
        <v>3</v>
      </c>
      <c r="D30" s="682"/>
      <c r="E30" s="682"/>
      <c r="F30" s="683"/>
      <c r="G30" s="667">
        <f>Resultados!B70</f>
        <v>0</v>
      </c>
      <c r="H30" s="667"/>
      <c r="I30" s="667"/>
      <c r="J30" s="667"/>
      <c r="K30" s="667">
        <f>Resultados!C70</f>
        <v>0</v>
      </c>
      <c r="L30" s="667"/>
      <c r="M30" s="667"/>
      <c r="N30" s="667"/>
      <c r="O30" s="667">
        <f>Resultados!J70</f>
        <v>0</v>
      </c>
      <c r="P30" s="667"/>
      <c r="Q30" s="667"/>
      <c r="R30" s="667"/>
      <c r="S30" s="667">
        <f>Resultados!L70</f>
        <v>0</v>
      </c>
      <c r="T30" s="667"/>
      <c r="U30" s="667"/>
      <c r="V30" s="667"/>
      <c r="W30" s="667">
        <f>Resultados!AA23</f>
        <v>8.1653738961665283</v>
      </c>
      <c r="X30" s="667"/>
      <c r="Y30" s="667"/>
      <c r="Z30" s="667"/>
      <c r="AA30" s="667"/>
    </row>
    <row r="31" spans="1:34" x14ac:dyDescent="0.3">
      <c r="C31" s="681">
        <v>4</v>
      </c>
      <c r="D31" s="682"/>
      <c r="E31" s="682"/>
      <c r="F31" s="683"/>
      <c r="G31" s="667">
        <f>Resultados!B71</f>
        <v>0</v>
      </c>
      <c r="H31" s="667"/>
      <c r="I31" s="667"/>
      <c r="J31" s="667"/>
      <c r="K31" s="667">
        <f>Resultados!C71</f>
        <v>0</v>
      </c>
      <c r="L31" s="667"/>
      <c r="M31" s="667"/>
      <c r="N31" s="667"/>
      <c r="O31" s="667">
        <f>Resultados!J71</f>
        <v>0</v>
      </c>
      <c r="P31" s="667"/>
      <c r="Q31" s="667"/>
      <c r="R31" s="667"/>
      <c r="S31" s="667">
        <f>Resultados!L71</f>
        <v>0</v>
      </c>
      <c r="T31" s="667"/>
      <c r="U31" s="667"/>
      <c r="V31" s="667"/>
      <c r="W31" s="667">
        <f>Resultados!AA24</f>
        <v>8.1653738961665283</v>
      </c>
      <c r="X31" s="667"/>
      <c r="Y31" s="667"/>
      <c r="Z31" s="667"/>
      <c r="AA31" s="667"/>
    </row>
    <row r="32" spans="1:34" x14ac:dyDescent="0.3">
      <c r="C32" s="681">
        <v>5</v>
      </c>
      <c r="D32" s="682"/>
      <c r="E32" s="682"/>
      <c r="F32" s="683"/>
      <c r="G32" s="667">
        <f>Resultados!B72</f>
        <v>0</v>
      </c>
      <c r="H32" s="667"/>
      <c r="I32" s="667"/>
      <c r="J32" s="667"/>
      <c r="K32" s="667">
        <f>Resultados!C72</f>
        <v>0</v>
      </c>
      <c r="L32" s="667"/>
      <c r="M32" s="667"/>
      <c r="N32" s="667"/>
      <c r="O32" s="667">
        <f>Resultados!J72</f>
        <v>0</v>
      </c>
      <c r="P32" s="667"/>
      <c r="Q32" s="667"/>
      <c r="R32" s="667"/>
      <c r="S32" s="667">
        <f>Resultados!L72</f>
        <v>0</v>
      </c>
      <c r="T32" s="667"/>
      <c r="U32" s="667"/>
      <c r="V32" s="667"/>
      <c r="W32" s="667">
        <f>Resultados!AA25</f>
        <v>8.1653738961665283</v>
      </c>
      <c r="X32" s="667"/>
      <c r="Y32" s="667"/>
      <c r="Z32" s="667"/>
      <c r="AA32" s="667"/>
    </row>
    <row r="33" spans="2:34" x14ac:dyDescent="0.3">
      <c r="C33" s="681">
        <v>6</v>
      </c>
      <c r="D33" s="682"/>
      <c r="E33" s="682"/>
      <c r="F33" s="683"/>
      <c r="G33" s="667">
        <f>Resultados!B73</f>
        <v>0</v>
      </c>
      <c r="H33" s="667"/>
      <c r="I33" s="667"/>
      <c r="J33" s="667"/>
      <c r="K33" s="667">
        <f>Resultados!C73</f>
        <v>0</v>
      </c>
      <c r="L33" s="667"/>
      <c r="M33" s="667"/>
      <c r="N33" s="667"/>
      <c r="O33" s="667">
        <f>Resultados!J73</f>
        <v>0</v>
      </c>
      <c r="P33" s="667"/>
      <c r="Q33" s="667"/>
      <c r="R33" s="667"/>
      <c r="S33" s="667">
        <f>Resultados!L73</f>
        <v>0</v>
      </c>
      <c r="T33" s="667"/>
      <c r="U33" s="667"/>
      <c r="V33" s="667"/>
      <c r="W33" s="667">
        <f>Resultados!AA26</f>
        <v>8.1653738961665283</v>
      </c>
      <c r="X33" s="667"/>
      <c r="Y33" s="667"/>
      <c r="Z33" s="667"/>
      <c r="AA33" s="667"/>
    </row>
    <row r="34" spans="2:34" ht="14.4" hidden="1" customHeight="1" x14ac:dyDescent="0.3">
      <c r="C34" s="681">
        <v>7</v>
      </c>
      <c r="D34" s="682"/>
      <c r="E34" s="682"/>
      <c r="F34" s="683"/>
      <c r="G34" s="667">
        <f>Resultados!B74</f>
        <v>0</v>
      </c>
      <c r="H34" s="667"/>
      <c r="I34" s="667"/>
      <c r="J34" s="667"/>
      <c r="K34" s="667">
        <f>Resultados!C74</f>
        <v>0</v>
      </c>
      <c r="L34" s="667"/>
      <c r="M34" s="667"/>
      <c r="N34" s="667"/>
      <c r="O34" s="667">
        <f>Resultados!J74</f>
        <v>0</v>
      </c>
      <c r="P34" s="667"/>
      <c r="Q34" s="667"/>
      <c r="R34" s="667"/>
      <c r="S34" s="667">
        <f>Resultados!L74</f>
        <v>0</v>
      </c>
      <c r="T34" s="667"/>
      <c r="U34" s="667"/>
      <c r="V34" s="667"/>
      <c r="W34" s="667">
        <f>Resultados!AA27</f>
        <v>8.1653738961665283</v>
      </c>
      <c r="X34" s="667"/>
      <c r="Y34" s="667"/>
      <c r="Z34" s="667"/>
      <c r="AA34" s="667"/>
    </row>
    <row r="35" spans="2:34" ht="14.4" hidden="1" customHeight="1" x14ac:dyDescent="0.3">
      <c r="C35" s="681">
        <v>8</v>
      </c>
      <c r="D35" s="682"/>
      <c r="E35" s="682"/>
      <c r="F35" s="683"/>
      <c r="G35" s="667">
        <f>Resultados!B75</f>
        <v>0</v>
      </c>
      <c r="H35" s="667"/>
      <c r="I35" s="667"/>
      <c r="J35" s="667"/>
      <c r="K35" s="667">
        <f>Resultados!C75</f>
        <v>0</v>
      </c>
      <c r="L35" s="667"/>
      <c r="M35" s="667"/>
      <c r="N35" s="667"/>
      <c r="O35" s="667">
        <f>Resultados!J75</f>
        <v>0</v>
      </c>
      <c r="P35" s="667"/>
      <c r="Q35" s="667"/>
      <c r="R35" s="667"/>
      <c r="S35" s="667">
        <f>Resultados!L75</f>
        <v>0</v>
      </c>
      <c r="T35" s="667"/>
      <c r="U35" s="667"/>
      <c r="V35" s="667"/>
      <c r="W35" s="667">
        <f>Resultados!AA28</f>
        <v>0</v>
      </c>
      <c r="X35" s="667"/>
      <c r="Y35" s="667"/>
      <c r="Z35" s="667"/>
      <c r="AA35" s="667"/>
    </row>
    <row r="36" spans="2:34" x14ac:dyDescent="0.3">
      <c r="C36" s="681">
        <v>7</v>
      </c>
      <c r="D36" s="682"/>
      <c r="E36" s="682"/>
      <c r="F36" s="683"/>
      <c r="G36" s="667">
        <f>Resultados!B74</f>
        <v>0</v>
      </c>
      <c r="H36" s="667"/>
      <c r="I36" s="667"/>
      <c r="J36" s="667"/>
      <c r="K36" s="667">
        <f>Resultados!C74</f>
        <v>0</v>
      </c>
      <c r="L36" s="667"/>
      <c r="M36" s="667"/>
      <c r="N36" s="667"/>
      <c r="O36" s="667">
        <f>Resultados!J74</f>
        <v>0</v>
      </c>
      <c r="P36" s="667"/>
      <c r="Q36" s="667"/>
      <c r="R36" s="667"/>
      <c r="S36" s="667">
        <f>Resultados!L74</f>
        <v>0</v>
      </c>
      <c r="T36" s="667"/>
      <c r="U36" s="667"/>
      <c r="V36" s="667"/>
      <c r="W36" s="667">
        <f>Resultados!AA27</f>
        <v>8.1653738961665283</v>
      </c>
      <c r="X36" s="667"/>
      <c r="Y36" s="667"/>
      <c r="Z36" s="667"/>
      <c r="AA36" s="667"/>
    </row>
    <row r="37" spans="2:34" ht="9" customHeight="1" x14ac:dyDescent="0.3">
      <c r="F37" s="333"/>
      <c r="G37" s="333"/>
      <c r="H37" s="333"/>
      <c r="I37" s="333"/>
      <c r="J37" s="333"/>
      <c r="K37" s="333"/>
      <c r="L37" s="333"/>
      <c r="M37" s="333"/>
      <c r="N37" s="333"/>
      <c r="O37" s="333"/>
      <c r="P37" s="333"/>
      <c r="Q37" s="333"/>
      <c r="R37" s="333"/>
      <c r="S37" s="333"/>
      <c r="T37" s="333"/>
      <c r="U37" s="333"/>
      <c r="V37" s="333"/>
      <c r="W37" s="333"/>
    </row>
    <row r="38" spans="2:34" x14ac:dyDescent="0.3">
      <c r="C38" s="336"/>
      <c r="D38" s="694" t="s">
        <v>685</v>
      </c>
      <c r="E38" s="694"/>
      <c r="F38" s="694"/>
      <c r="G38" s="694"/>
      <c r="H38" s="694"/>
      <c r="I38" s="694"/>
      <c r="J38" s="694"/>
      <c r="K38" s="694"/>
      <c r="L38" s="694"/>
      <c r="M38" s="694"/>
      <c r="N38" s="694"/>
      <c r="O38" s="336"/>
      <c r="P38" s="333"/>
      <c r="Q38" s="333"/>
      <c r="R38" s="571" t="s">
        <v>686</v>
      </c>
      <c r="S38" s="571"/>
      <c r="T38" s="571"/>
      <c r="U38" s="571"/>
      <c r="V38" s="571"/>
      <c r="W38" s="571"/>
      <c r="X38" s="571"/>
      <c r="Y38" s="571"/>
      <c r="Z38" s="571"/>
      <c r="AA38" s="571"/>
    </row>
    <row r="39" spans="2:34" ht="15" customHeight="1" x14ac:dyDescent="0.3">
      <c r="B39" s="688" t="s">
        <v>687</v>
      </c>
      <c r="C39" s="688"/>
      <c r="D39" s="688"/>
      <c r="E39" s="674" t="s">
        <v>672</v>
      </c>
      <c r="F39" s="674"/>
      <c r="G39" s="674"/>
      <c r="H39" s="674" t="s">
        <v>688</v>
      </c>
      <c r="I39" s="674"/>
      <c r="J39" s="674"/>
      <c r="K39" s="674"/>
      <c r="L39" s="670" t="s">
        <v>683</v>
      </c>
      <c r="M39" s="670"/>
      <c r="N39" s="670"/>
      <c r="O39" s="670"/>
      <c r="P39" s="333"/>
      <c r="Q39" s="670" t="s">
        <v>687</v>
      </c>
      <c r="R39" s="670"/>
      <c r="S39" s="670"/>
      <c r="T39" s="674" t="s">
        <v>672</v>
      </c>
      <c r="U39" s="674"/>
      <c r="V39" s="674"/>
      <c r="W39" s="674" t="s">
        <v>688</v>
      </c>
      <c r="X39" s="674"/>
      <c r="Y39" s="674"/>
      <c r="Z39" s="689" t="s">
        <v>683</v>
      </c>
      <c r="AA39" s="689"/>
      <c r="AB39" s="689"/>
    </row>
    <row r="40" spans="2:34" x14ac:dyDescent="0.3">
      <c r="B40" s="688"/>
      <c r="C40" s="688"/>
      <c r="D40" s="688"/>
      <c r="E40" s="674"/>
      <c r="F40" s="674"/>
      <c r="G40" s="674"/>
      <c r="H40" s="674"/>
      <c r="I40" s="674"/>
      <c r="J40" s="674"/>
      <c r="K40" s="674"/>
      <c r="L40" s="670"/>
      <c r="M40" s="670"/>
      <c r="N40" s="670"/>
      <c r="O40" s="670"/>
      <c r="P40" s="327"/>
      <c r="Q40" s="670"/>
      <c r="R40" s="670"/>
      <c r="S40" s="670"/>
      <c r="T40" s="674"/>
      <c r="U40" s="674"/>
      <c r="V40" s="674"/>
      <c r="W40" s="674"/>
      <c r="X40" s="674"/>
      <c r="Y40" s="674"/>
      <c r="Z40" s="689"/>
      <c r="AA40" s="689"/>
      <c r="AB40" s="689"/>
      <c r="AG40" s="315"/>
      <c r="AH40" s="315"/>
    </row>
    <row r="41" spans="2:34" x14ac:dyDescent="0.3">
      <c r="B41" s="688"/>
      <c r="C41" s="688"/>
      <c r="D41" s="688"/>
      <c r="E41" s="687" t="str">
        <f>Resultados!B20</f>
        <v>(mm)</v>
      </c>
      <c r="F41" s="687"/>
      <c r="G41" s="687"/>
      <c r="H41" s="687" t="str">
        <f>Resultados!K20</f>
        <v>(mm)</v>
      </c>
      <c r="I41" s="687"/>
      <c r="J41" s="687"/>
      <c r="K41" s="687"/>
      <c r="L41" s="687" t="str">
        <f>Resultados!L20</f>
        <v>(μm)</v>
      </c>
      <c r="M41" s="687"/>
      <c r="N41" s="687"/>
      <c r="O41" s="687"/>
      <c r="P41" s="334"/>
      <c r="Q41" s="670"/>
      <c r="R41" s="670"/>
      <c r="S41" s="670"/>
      <c r="T41" s="687" t="str">
        <f>Resultados!C48</f>
        <v>(mm)</v>
      </c>
      <c r="U41" s="687"/>
      <c r="V41" s="687"/>
      <c r="W41" s="687" t="str">
        <f>Resultados!K48</f>
        <v>(mm)</v>
      </c>
      <c r="X41" s="687"/>
      <c r="Y41" s="687"/>
      <c r="Z41" s="687" t="str">
        <f>Resultados!L48</f>
        <v>(μm)</v>
      </c>
      <c r="AA41" s="687"/>
      <c r="AB41" s="687"/>
      <c r="AG41" s="315"/>
      <c r="AH41" s="315"/>
    </row>
    <row r="42" spans="2:34" x14ac:dyDescent="0.3">
      <c r="B42" s="684" t="s">
        <v>94</v>
      </c>
      <c r="C42" s="684"/>
      <c r="D42" s="684"/>
      <c r="E42" s="686">
        <f>Resultados!C21</f>
        <v>0</v>
      </c>
      <c r="F42" s="686"/>
      <c r="G42" s="686"/>
      <c r="H42" s="685">
        <f>Resultados!K21</f>
        <v>0</v>
      </c>
      <c r="I42" s="685"/>
      <c r="J42" s="685"/>
      <c r="K42" s="685"/>
      <c r="L42" s="685">
        <f>Resultados!L21</f>
        <v>0</v>
      </c>
      <c r="M42" s="685"/>
      <c r="N42" s="685"/>
      <c r="O42" s="685"/>
      <c r="P42" s="335"/>
      <c r="Q42" s="684" t="s">
        <v>94</v>
      </c>
      <c r="R42" s="684"/>
      <c r="S42" s="684"/>
      <c r="T42" s="698" t="str">
        <f>Resultados!C49</f>
        <v>N/A</v>
      </c>
      <c r="U42" s="698"/>
      <c r="V42" s="698"/>
      <c r="W42" s="698">
        <f>Resultados!K49</f>
        <v>0</v>
      </c>
      <c r="X42" s="698"/>
      <c r="Y42" s="698"/>
      <c r="Z42" s="685">
        <f>Resultados!L49</f>
        <v>0</v>
      </c>
      <c r="AA42" s="685"/>
      <c r="AB42" s="685"/>
      <c r="AG42" s="315"/>
      <c r="AH42" s="315"/>
    </row>
    <row r="43" spans="2:34" x14ac:dyDescent="0.3">
      <c r="B43" s="684" t="s">
        <v>95</v>
      </c>
      <c r="C43" s="684"/>
      <c r="D43" s="684"/>
      <c r="E43" s="686"/>
      <c r="F43" s="686"/>
      <c r="G43" s="686"/>
      <c r="H43" s="685">
        <f>Resultados!K22</f>
        <v>0</v>
      </c>
      <c r="I43" s="685"/>
      <c r="J43" s="685"/>
      <c r="K43" s="685"/>
      <c r="L43" s="685"/>
      <c r="M43" s="685"/>
      <c r="N43" s="685"/>
      <c r="O43" s="685"/>
      <c r="P43" s="333"/>
      <c r="Q43" s="684" t="s">
        <v>95</v>
      </c>
      <c r="R43" s="684"/>
      <c r="S43" s="684"/>
      <c r="T43" s="698"/>
      <c r="U43" s="698"/>
      <c r="V43" s="698"/>
      <c r="W43" s="699">
        <f>Resultados!K50</f>
        <v>0</v>
      </c>
      <c r="X43" s="699"/>
      <c r="Y43" s="699"/>
      <c r="Z43" s="685"/>
      <c r="AA43" s="685"/>
      <c r="AB43" s="685"/>
      <c r="AG43" s="315"/>
      <c r="AH43" s="315"/>
    </row>
    <row r="44" spans="2:34" x14ac:dyDescent="0.3">
      <c r="B44" s="684" t="s">
        <v>94</v>
      </c>
      <c r="C44" s="684"/>
      <c r="D44" s="684"/>
      <c r="E44" s="686">
        <f>Resultados!C23</f>
        <v>0</v>
      </c>
      <c r="F44" s="686"/>
      <c r="G44" s="686"/>
      <c r="H44" s="685">
        <f>Resultados!K23</f>
        <v>0</v>
      </c>
      <c r="I44" s="685"/>
      <c r="J44" s="685"/>
      <c r="K44" s="685"/>
      <c r="L44" s="685">
        <f>Resultados!L23</f>
        <v>0</v>
      </c>
      <c r="M44" s="685"/>
      <c r="N44" s="685"/>
      <c r="O44" s="685"/>
      <c r="P44" s="333"/>
      <c r="Q44" s="1"/>
      <c r="R44" s="1"/>
      <c r="S44" s="1"/>
      <c r="T44" s="150"/>
      <c r="U44" s="150"/>
      <c r="V44" s="150"/>
      <c r="W44" s="150"/>
      <c r="X44" s="150"/>
      <c r="Y44" s="150"/>
      <c r="Z44" s="381"/>
      <c r="AA44" s="381"/>
      <c r="AB44" s="381"/>
      <c r="AG44" s="315"/>
      <c r="AH44" s="315"/>
    </row>
    <row r="45" spans="2:34" ht="15" customHeight="1" x14ac:dyDescent="0.3">
      <c r="B45" s="684" t="s">
        <v>95</v>
      </c>
      <c r="C45" s="684"/>
      <c r="D45" s="684"/>
      <c r="E45" s="686"/>
      <c r="F45" s="686"/>
      <c r="G45" s="686"/>
      <c r="H45" s="685">
        <f>Resultados!K24</f>
        <v>0</v>
      </c>
      <c r="I45" s="685"/>
      <c r="J45" s="685"/>
      <c r="K45" s="685"/>
      <c r="L45" s="685"/>
      <c r="M45" s="685"/>
      <c r="N45" s="685"/>
      <c r="O45" s="685"/>
      <c r="Q45" s="1"/>
      <c r="R45" s="1"/>
      <c r="S45" s="1"/>
      <c r="T45" s="150"/>
      <c r="U45" s="150"/>
      <c r="V45" s="150"/>
      <c r="W45" s="150"/>
      <c r="X45" s="150"/>
      <c r="Y45" s="150"/>
      <c r="Z45" s="381"/>
      <c r="AA45" s="381"/>
      <c r="AB45" s="381"/>
      <c r="AG45" s="315"/>
      <c r="AH45" s="315"/>
    </row>
    <row r="46" spans="2:34" x14ac:dyDescent="0.3">
      <c r="B46" s="684" t="s">
        <v>94</v>
      </c>
      <c r="C46" s="684"/>
      <c r="D46" s="684"/>
      <c r="E46" s="686">
        <f>Resultados!C25</f>
        <v>0</v>
      </c>
      <c r="F46" s="686"/>
      <c r="G46" s="686"/>
      <c r="H46" s="685">
        <f>Resultados!K25</f>
        <v>0</v>
      </c>
      <c r="I46" s="685"/>
      <c r="J46" s="685"/>
      <c r="K46" s="685"/>
      <c r="L46" s="685">
        <f>Resultados!L25</f>
        <v>0</v>
      </c>
      <c r="M46" s="685"/>
      <c r="N46" s="685"/>
      <c r="O46" s="685"/>
      <c r="P46" s="334"/>
      <c r="Q46" s="1"/>
      <c r="R46" s="1"/>
      <c r="S46" s="1"/>
      <c r="T46" s="150"/>
      <c r="U46" s="150"/>
      <c r="V46" s="150"/>
      <c r="W46" s="150"/>
      <c r="X46" s="150"/>
      <c r="Y46" s="150"/>
      <c r="Z46" s="381"/>
      <c r="AA46" s="381"/>
      <c r="AB46" s="381"/>
    </row>
    <row r="47" spans="2:34" x14ac:dyDescent="0.3">
      <c r="B47" s="684" t="s">
        <v>95</v>
      </c>
      <c r="C47" s="684"/>
      <c r="D47" s="684"/>
      <c r="E47" s="686"/>
      <c r="F47" s="686"/>
      <c r="G47" s="686"/>
      <c r="H47" s="685">
        <f>Resultados!K26</f>
        <v>0</v>
      </c>
      <c r="I47" s="685"/>
      <c r="J47" s="685"/>
      <c r="K47" s="685"/>
      <c r="L47" s="685"/>
      <c r="M47" s="685"/>
      <c r="N47" s="685"/>
      <c r="O47" s="685"/>
      <c r="P47" s="335"/>
      <c r="Q47" s="1"/>
      <c r="R47" s="1"/>
      <c r="S47" s="1"/>
      <c r="T47" s="150"/>
      <c r="U47" s="150"/>
      <c r="V47" s="150"/>
      <c r="W47" s="150"/>
      <c r="X47" s="150"/>
      <c r="Y47" s="150"/>
      <c r="Z47" s="381"/>
      <c r="AA47" s="381"/>
      <c r="AB47" s="381"/>
      <c r="AG47" s="319"/>
      <c r="AH47" s="315"/>
    </row>
    <row r="48" spans="2:34" x14ac:dyDescent="0.3">
      <c r="B48" s="684" t="s">
        <v>94</v>
      </c>
      <c r="C48" s="684"/>
      <c r="D48" s="684"/>
      <c r="E48" s="686">
        <f>Resultados!C27</f>
        <v>0</v>
      </c>
      <c r="F48" s="686"/>
      <c r="G48" s="686"/>
      <c r="H48" s="685">
        <f>Resultados!K27</f>
        <v>0</v>
      </c>
      <c r="I48" s="685"/>
      <c r="J48" s="685"/>
      <c r="K48" s="685"/>
      <c r="L48" s="685">
        <f>Resultados!L27</f>
        <v>0</v>
      </c>
      <c r="M48" s="685"/>
      <c r="N48" s="685"/>
      <c r="O48" s="685"/>
      <c r="P48" s="333"/>
      <c r="Q48" s="333"/>
      <c r="R48" s="333"/>
      <c r="S48" s="333"/>
      <c r="T48" s="333"/>
      <c r="U48" s="324"/>
      <c r="V48" s="324"/>
    </row>
    <row r="49" spans="2:22" x14ac:dyDescent="0.3">
      <c r="B49" s="684" t="s">
        <v>95</v>
      </c>
      <c r="C49" s="684"/>
      <c r="D49" s="684"/>
      <c r="E49" s="686"/>
      <c r="F49" s="686"/>
      <c r="G49" s="686"/>
      <c r="H49" s="685">
        <f>Resultados!K28</f>
        <v>0</v>
      </c>
      <c r="I49" s="685"/>
      <c r="J49" s="685"/>
      <c r="K49" s="685"/>
      <c r="L49" s="685"/>
      <c r="M49" s="685"/>
      <c r="N49" s="685"/>
      <c r="O49" s="685"/>
      <c r="P49" s="333"/>
      <c r="Q49" s="333"/>
      <c r="R49" s="333"/>
      <c r="S49" s="333"/>
      <c r="T49" s="333"/>
      <c r="U49" s="324"/>
      <c r="V49" s="324"/>
    </row>
    <row r="50" spans="2:22" x14ac:dyDescent="0.3">
      <c r="B50" s="684" t="s">
        <v>94</v>
      </c>
      <c r="C50" s="684"/>
      <c r="D50" s="684"/>
      <c r="E50" s="686">
        <f>Resultados!C29</f>
        <v>0</v>
      </c>
      <c r="F50" s="686"/>
      <c r="G50" s="686"/>
      <c r="H50" s="685">
        <f>Resultados!K29</f>
        <v>0</v>
      </c>
      <c r="I50" s="685"/>
      <c r="J50" s="685"/>
      <c r="K50" s="685"/>
      <c r="L50" s="685">
        <f>Resultados!L29</f>
        <v>0</v>
      </c>
      <c r="M50" s="685"/>
      <c r="N50" s="685"/>
      <c r="O50" s="685"/>
      <c r="P50" s="328"/>
      <c r="Q50" s="328"/>
      <c r="R50" s="328"/>
      <c r="S50" s="328"/>
      <c r="T50" s="328"/>
      <c r="U50" s="324"/>
      <c r="V50" s="324"/>
    </row>
    <row r="51" spans="2:22" x14ac:dyDescent="0.3">
      <c r="B51" s="684" t="s">
        <v>95</v>
      </c>
      <c r="C51" s="684"/>
      <c r="D51" s="684"/>
      <c r="E51" s="686"/>
      <c r="F51" s="686"/>
      <c r="G51" s="686"/>
      <c r="H51" s="685">
        <f>Resultados!K30</f>
        <v>0</v>
      </c>
      <c r="I51" s="685"/>
      <c r="J51" s="685"/>
      <c r="K51" s="685"/>
      <c r="L51" s="685"/>
      <c r="M51" s="685"/>
      <c r="N51" s="685"/>
      <c r="O51" s="685"/>
      <c r="P51" s="328"/>
      <c r="Q51" s="328"/>
      <c r="R51" s="328"/>
      <c r="S51" s="328"/>
      <c r="T51" s="328"/>
      <c r="U51" s="324"/>
      <c r="V51" s="324"/>
    </row>
    <row r="52" spans="2:22" ht="14.4" hidden="1" customHeight="1" x14ac:dyDescent="0.3">
      <c r="B52" s="684" t="s">
        <v>94</v>
      </c>
      <c r="C52" s="684"/>
      <c r="D52" s="684"/>
      <c r="E52" s="686">
        <f>Resultados!C31</f>
        <v>0</v>
      </c>
      <c r="F52" s="686"/>
      <c r="G52" s="686"/>
      <c r="H52" s="685" t="e">
        <f>[5]Resultados!#REF!</f>
        <v>#REF!</v>
      </c>
      <c r="I52" s="685"/>
      <c r="J52" s="685"/>
      <c r="K52" s="685"/>
      <c r="L52" s="685">
        <f>Resultados!L31</f>
        <v>0</v>
      </c>
      <c r="M52" s="685"/>
      <c r="N52" s="685"/>
      <c r="O52" s="685"/>
      <c r="P52" s="328"/>
      <c r="Q52" s="328"/>
      <c r="R52" s="328"/>
      <c r="S52" s="328"/>
      <c r="T52" s="328"/>
      <c r="U52" s="324"/>
      <c r="V52" s="324"/>
    </row>
    <row r="53" spans="2:22" ht="14.4" hidden="1" customHeight="1" x14ac:dyDescent="0.3">
      <c r="B53" s="684" t="s">
        <v>95</v>
      </c>
      <c r="C53" s="684"/>
      <c r="D53" s="684"/>
      <c r="E53" s="686"/>
      <c r="F53" s="686"/>
      <c r="G53" s="686"/>
      <c r="H53" s="685" t="e">
        <f>[5]Resultados!#REF!</f>
        <v>#REF!</v>
      </c>
      <c r="I53" s="685"/>
      <c r="J53" s="685"/>
      <c r="K53" s="685"/>
      <c r="L53" s="685"/>
      <c r="M53" s="685"/>
      <c r="N53" s="685"/>
      <c r="O53" s="685"/>
      <c r="P53" s="328"/>
      <c r="Q53" s="328"/>
      <c r="R53" s="328"/>
      <c r="S53" s="328"/>
      <c r="T53" s="328"/>
      <c r="U53" s="324"/>
      <c r="V53" s="324"/>
    </row>
    <row r="54" spans="2:22" x14ac:dyDescent="0.3">
      <c r="B54" s="684" t="s">
        <v>94</v>
      </c>
      <c r="C54" s="684"/>
      <c r="D54" s="684"/>
      <c r="E54" s="686">
        <f>Resultados!C31</f>
        <v>0</v>
      </c>
      <c r="F54" s="686"/>
      <c r="G54" s="686"/>
      <c r="H54" s="685">
        <f>Resultados!K31</f>
        <v>0</v>
      </c>
      <c r="I54" s="685"/>
      <c r="J54" s="685"/>
      <c r="K54" s="685"/>
      <c r="L54" s="685">
        <f>Resultados!L31</f>
        <v>0</v>
      </c>
      <c r="M54" s="685"/>
      <c r="N54" s="685"/>
      <c r="O54" s="685"/>
      <c r="P54" s="328"/>
      <c r="Q54" s="328"/>
      <c r="R54" s="328"/>
      <c r="S54" s="328"/>
      <c r="T54" s="328"/>
      <c r="U54" s="324"/>
      <c r="V54" s="324"/>
    </row>
    <row r="55" spans="2:22" x14ac:dyDescent="0.3">
      <c r="B55" s="684" t="s">
        <v>95</v>
      </c>
      <c r="C55" s="684"/>
      <c r="D55" s="684"/>
      <c r="E55" s="686"/>
      <c r="F55" s="686"/>
      <c r="G55" s="686"/>
      <c r="H55" s="685">
        <f>Resultados!K32</f>
        <v>0</v>
      </c>
      <c r="I55" s="685"/>
      <c r="J55" s="685"/>
      <c r="K55" s="685"/>
      <c r="L55" s="685"/>
      <c r="M55" s="685"/>
      <c r="N55" s="685"/>
      <c r="O55" s="685"/>
    </row>
    <row r="58" spans="2:22" x14ac:dyDescent="0.3">
      <c r="E58" s="315"/>
      <c r="F58" s="327"/>
      <c r="G58" s="327"/>
      <c r="H58" s="327"/>
      <c r="I58" s="327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4"/>
      <c r="V58" s="324"/>
    </row>
    <row r="59" spans="2:22" x14ac:dyDescent="0.3">
      <c r="E59" s="315"/>
      <c r="F59" s="327"/>
      <c r="G59" s="327"/>
      <c r="H59" s="327"/>
      <c r="I59" s="327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4"/>
      <c r="V59" s="324"/>
    </row>
    <row r="60" spans="2:22" x14ac:dyDescent="0.3">
      <c r="E60" s="315"/>
      <c r="F60" s="327"/>
      <c r="G60" s="327"/>
      <c r="H60" s="327"/>
      <c r="I60" s="327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4"/>
      <c r="V60" s="324"/>
    </row>
    <row r="61" spans="2:22" x14ac:dyDescent="0.3">
      <c r="E61" s="315"/>
      <c r="F61" s="327"/>
      <c r="G61" s="327"/>
      <c r="H61" s="327"/>
      <c r="I61" s="327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4"/>
      <c r="V61" s="324"/>
    </row>
    <row r="62" spans="2:22" x14ac:dyDescent="0.3">
      <c r="E62" s="315"/>
      <c r="F62" s="327"/>
      <c r="G62" s="327"/>
      <c r="H62" s="327"/>
      <c r="I62" s="327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4"/>
      <c r="V62" s="324"/>
    </row>
    <row r="63" spans="2:22" x14ac:dyDescent="0.3">
      <c r="E63" s="315"/>
      <c r="F63" s="327"/>
      <c r="G63" s="327"/>
      <c r="H63" s="327"/>
      <c r="I63" s="327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4"/>
      <c r="V63" s="324"/>
    </row>
    <row r="64" spans="2:22" x14ac:dyDescent="0.3">
      <c r="E64" s="315"/>
      <c r="F64" s="327"/>
      <c r="G64" s="327"/>
      <c r="H64" s="327"/>
      <c r="I64" s="327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4"/>
      <c r="V64" s="324"/>
    </row>
    <row r="65" spans="1:29" x14ac:dyDescent="0.3">
      <c r="B65" s="319" t="s">
        <v>671</v>
      </c>
      <c r="C65" s="323"/>
      <c r="D65" s="322"/>
      <c r="E65" s="322"/>
      <c r="F65" s="322"/>
      <c r="G65" s="315"/>
      <c r="H65" s="315"/>
      <c r="I65" s="315"/>
      <c r="J65" s="315"/>
      <c r="K65" s="315"/>
      <c r="L65" s="315"/>
      <c r="M65" s="315"/>
      <c r="Q65" s="321"/>
      <c r="R65" s="668" t="str">
        <f>Q8</f>
        <v>NI-MC-D-1233-2023</v>
      </c>
      <c r="S65" s="668"/>
      <c r="T65" s="668"/>
      <c r="U65" s="668"/>
      <c r="V65" s="668"/>
      <c r="W65" s="668"/>
      <c r="X65" s="668"/>
      <c r="Y65" s="668"/>
      <c r="Z65" s="668"/>
      <c r="AA65" s="668"/>
      <c r="AB65" s="668"/>
    </row>
    <row r="66" spans="1:29" x14ac:dyDescent="0.3">
      <c r="A66" s="345"/>
      <c r="B66" s="345"/>
      <c r="C66" s="345"/>
      <c r="D66" s="345"/>
      <c r="E66" s="326"/>
      <c r="F66" s="325"/>
      <c r="G66" s="346"/>
      <c r="H66" s="325"/>
      <c r="I66" s="315"/>
      <c r="J66" s="315"/>
      <c r="K66" s="315"/>
      <c r="L66" s="315"/>
      <c r="M66" s="315"/>
      <c r="N66" s="315"/>
      <c r="O66" s="315"/>
      <c r="P66" s="315"/>
      <c r="Q66" s="315"/>
      <c r="R66" s="315"/>
      <c r="S66" s="315"/>
      <c r="T66" s="315"/>
      <c r="U66" s="315"/>
      <c r="V66" s="315"/>
      <c r="W66" s="315"/>
      <c r="X66" s="315"/>
      <c r="Y66" s="315"/>
    </row>
    <row r="67" spans="1:29" x14ac:dyDescent="0.3">
      <c r="A67" s="319" t="s">
        <v>670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</row>
    <row r="68" spans="1:29" x14ac:dyDescent="0.3">
      <c r="C68" s="676" t="s">
        <v>669</v>
      </c>
      <c r="D68" s="676"/>
      <c r="E68" s="676"/>
      <c r="F68" s="676"/>
      <c r="G68" s="669">
        <f>AVERAGE(Identificaciones!B44,Identificaciones!D44)</f>
        <v>22.35</v>
      </c>
      <c r="H68" s="669"/>
      <c r="I68" s="325" t="s">
        <v>10</v>
      </c>
      <c r="J68" s="669">
        <f>IF(Resultados!S52=1,AVERAGE(Resultados!X55,Resultados!Z55),IF(Resultados!S52=2,AVERAGE(Resultados!X56,Resultados!Z56),IF(Resultados!S52=3,AVERAGE(Resultados!X57,Resultados!Z57),"Error")))</f>
        <v>0.45</v>
      </c>
      <c r="K68" s="669"/>
      <c r="L68" s="314" t="s">
        <v>667</v>
      </c>
      <c r="M68" s="664" t="s">
        <v>175</v>
      </c>
      <c r="N68" s="664"/>
      <c r="O68" s="324"/>
    </row>
    <row r="69" spans="1:29" x14ac:dyDescent="0.3">
      <c r="A69" s="676" t="s">
        <v>668</v>
      </c>
      <c r="B69" s="676"/>
      <c r="C69" s="676"/>
      <c r="D69" s="676"/>
      <c r="E69" s="676"/>
      <c r="F69" s="676"/>
      <c r="G69" s="669">
        <f>AVERAGE(Identificaciones!B45,Identificaciones!D45)</f>
        <v>58</v>
      </c>
      <c r="H69" s="669"/>
      <c r="I69" s="325" t="s">
        <v>10</v>
      </c>
      <c r="J69" s="669">
        <f>IF(Resultados!S52=1,AVERAGE(Resultados!Y55,Resultados!AA55),IF(Resultados!S52=2,AVERAGE(Resultados!Y56,Resultados!AA56),IF(Resultados!S52=3,AVERAGE(Resultados!Y57,Resultados!AA57),"Error")))</f>
        <v>2.35</v>
      </c>
      <c r="K69" s="669"/>
      <c r="L69" s="314" t="s">
        <v>667</v>
      </c>
      <c r="M69" s="664" t="s">
        <v>666</v>
      </c>
      <c r="N69" s="664"/>
      <c r="O69" s="324"/>
    </row>
    <row r="70" spans="1:29" x14ac:dyDescent="0.3">
      <c r="A70" s="375"/>
      <c r="B70" s="375"/>
      <c r="C70" s="375"/>
      <c r="D70" s="375"/>
      <c r="E70" s="375"/>
      <c r="F70" s="346"/>
      <c r="G70" s="346"/>
      <c r="H70" s="325"/>
      <c r="I70" s="346"/>
      <c r="J70" s="346"/>
      <c r="L70" s="345"/>
      <c r="M70" s="345"/>
      <c r="N70" s="324"/>
      <c r="O70" s="324"/>
      <c r="P70" s="324"/>
      <c r="Q70" s="324"/>
      <c r="R70" s="324"/>
      <c r="S70" s="324"/>
    </row>
    <row r="71" spans="1:29" ht="15" customHeight="1" x14ac:dyDescent="0.3">
      <c r="A71" s="319" t="s">
        <v>665</v>
      </c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</row>
    <row r="72" spans="1:29" ht="15" customHeight="1" x14ac:dyDescent="0.3">
      <c r="A72" s="675" t="s">
        <v>844</v>
      </c>
      <c r="B72" s="675"/>
      <c r="C72" s="675"/>
      <c r="D72" s="675"/>
      <c r="E72" s="675"/>
      <c r="F72" s="675"/>
      <c r="G72" s="675"/>
      <c r="H72" s="675"/>
      <c r="I72" s="675"/>
      <c r="J72" s="675"/>
      <c r="K72" s="675"/>
      <c r="L72" s="675"/>
      <c r="M72" s="675"/>
      <c r="N72" s="675"/>
      <c r="O72" s="675"/>
      <c r="P72" s="675"/>
      <c r="Q72" s="675"/>
      <c r="R72" s="675"/>
      <c r="S72" s="675"/>
      <c r="T72" s="675"/>
      <c r="U72" s="675"/>
      <c r="V72" s="675"/>
      <c r="W72" s="675"/>
      <c r="X72" s="675"/>
      <c r="Y72" s="675"/>
      <c r="Z72" s="675"/>
      <c r="AA72" s="675"/>
      <c r="AB72" s="675"/>
      <c r="AC72" s="675"/>
    </row>
    <row r="73" spans="1:29" x14ac:dyDescent="0.3">
      <c r="A73" s="319"/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</row>
    <row r="74" spans="1:29" x14ac:dyDescent="0.3">
      <c r="A74" s="319" t="s">
        <v>664</v>
      </c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17"/>
      <c r="M74" s="317"/>
      <c r="N74" s="317"/>
      <c r="O74" s="317"/>
      <c r="P74" s="317"/>
      <c r="Q74" s="317"/>
      <c r="R74" s="317"/>
      <c r="S74" s="317"/>
      <c r="T74" s="317"/>
      <c r="U74" s="317"/>
      <c r="V74" s="317"/>
      <c r="W74" s="317"/>
      <c r="X74" s="317"/>
      <c r="Y74" s="317"/>
    </row>
    <row r="75" spans="1:29" ht="15" customHeight="1" x14ac:dyDescent="0.3">
      <c r="A75" s="675" t="s">
        <v>663</v>
      </c>
      <c r="B75" s="675"/>
      <c r="C75" s="675"/>
      <c r="D75" s="675"/>
      <c r="E75" s="675"/>
      <c r="F75" s="675"/>
      <c r="G75" s="675"/>
      <c r="H75" s="675"/>
      <c r="I75" s="675"/>
      <c r="J75" s="675"/>
      <c r="K75" s="675"/>
      <c r="L75" s="675"/>
      <c r="M75" s="675"/>
      <c r="N75" s="675"/>
      <c r="O75" s="675"/>
      <c r="P75" s="675"/>
      <c r="Q75" s="675"/>
      <c r="R75" s="675"/>
      <c r="S75" s="675"/>
      <c r="T75" s="675"/>
      <c r="U75" s="675"/>
      <c r="V75" s="675"/>
      <c r="W75" s="675"/>
      <c r="X75" s="675"/>
      <c r="Y75" s="675"/>
      <c r="Z75" s="675"/>
      <c r="AA75" s="675"/>
      <c r="AB75" s="675"/>
      <c r="AC75" s="675"/>
    </row>
    <row r="76" spans="1:29" x14ac:dyDescent="0.3">
      <c r="A76" s="675"/>
      <c r="B76" s="675"/>
      <c r="C76" s="675"/>
      <c r="D76" s="675"/>
      <c r="E76" s="675"/>
      <c r="F76" s="675"/>
      <c r="G76" s="675"/>
      <c r="H76" s="675"/>
      <c r="I76" s="675"/>
      <c r="J76" s="675"/>
      <c r="K76" s="675"/>
      <c r="L76" s="675"/>
      <c r="M76" s="675"/>
      <c r="N76" s="675"/>
      <c r="O76" s="675"/>
      <c r="P76" s="675"/>
      <c r="Q76" s="675"/>
      <c r="R76" s="675"/>
      <c r="S76" s="675"/>
      <c r="T76" s="675"/>
      <c r="U76" s="675"/>
      <c r="V76" s="675"/>
      <c r="W76" s="675"/>
      <c r="X76" s="675"/>
      <c r="Y76" s="675"/>
      <c r="Z76" s="675"/>
      <c r="AA76" s="675"/>
      <c r="AB76" s="675"/>
      <c r="AC76" s="675"/>
    </row>
    <row r="77" spans="1:29" x14ac:dyDescent="0.3">
      <c r="A77" s="675"/>
      <c r="B77" s="675"/>
      <c r="C77" s="675"/>
      <c r="D77" s="675"/>
      <c r="E77" s="675"/>
      <c r="F77" s="675"/>
      <c r="G77" s="675"/>
      <c r="H77" s="675"/>
      <c r="I77" s="675"/>
      <c r="J77" s="675"/>
      <c r="K77" s="675"/>
      <c r="L77" s="675"/>
      <c r="M77" s="675"/>
      <c r="N77" s="675"/>
      <c r="O77" s="675"/>
      <c r="P77" s="675"/>
      <c r="Q77" s="675"/>
      <c r="R77" s="675"/>
      <c r="S77" s="675"/>
      <c r="T77" s="675"/>
      <c r="U77" s="675"/>
      <c r="V77" s="675"/>
      <c r="W77" s="675"/>
      <c r="X77" s="675"/>
      <c r="Y77" s="675"/>
      <c r="Z77" s="675"/>
      <c r="AA77" s="675"/>
      <c r="AB77" s="675"/>
      <c r="AC77" s="675"/>
    </row>
    <row r="78" spans="1:29" x14ac:dyDescent="0.3">
      <c r="A78" s="675"/>
      <c r="B78" s="675"/>
      <c r="C78" s="675"/>
      <c r="D78" s="675"/>
      <c r="E78" s="675"/>
      <c r="F78" s="675"/>
      <c r="G78" s="675"/>
      <c r="H78" s="675"/>
      <c r="I78" s="675"/>
      <c r="J78" s="675"/>
      <c r="K78" s="675"/>
      <c r="L78" s="675"/>
      <c r="M78" s="675"/>
      <c r="N78" s="675"/>
      <c r="O78" s="675"/>
      <c r="P78" s="675"/>
      <c r="Q78" s="675"/>
      <c r="R78" s="675"/>
      <c r="S78" s="675"/>
      <c r="T78" s="675"/>
      <c r="U78" s="675"/>
      <c r="V78" s="675"/>
      <c r="W78" s="675"/>
      <c r="X78" s="675"/>
      <c r="Y78" s="675"/>
      <c r="Z78" s="675"/>
      <c r="AA78" s="675"/>
      <c r="AB78" s="675"/>
      <c r="AC78" s="675"/>
    </row>
    <row r="79" spans="1:29" x14ac:dyDescent="0.3">
      <c r="A79" s="675"/>
      <c r="B79" s="675"/>
      <c r="C79" s="675"/>
      <c r="D79" s="675"/>
      <c r="E79" s="675"/>
      <c r="F79" s="675"/>
      <c r="G79" s="675"/>
      <c r="H79" s="675"/>
      <c r="I79" s="675"/>
      <c r="J79" s="675"/>
      <c r="K79" s="675"/>
      <c r="L79" s="675"/>
      <c r="M79" s="675"/>
      <c r="N79" s="675"/>
      <c r="O79" s="675"/>
      <c r="P79" s="675"/>
      <c r="Q79" s="675"/>
      <c r="R79" s="675"/>
      <c r="S79" s="675"/>
      <c r="T79" s="675"/>
      <c r="U79" s="675"/>
      <c r="V79" s="675"/>
      <c r="W79" s="675"/>
      <c r="X79" s="675"/>
      <c r="Y79" s="675"/>
      <c r="Z79" s="675"/>
      <c r="AA79" s="675"/>
      <c r="AB79" s="675"/>
      <c r="AC79" s="675"/>
    </row>
    <row r="80" spans="1:29" x14ac:dyDescent="0.3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  <c r="AA80" s="320"/>
      <c r="AB80" s="320"/>
    </row>
    <row r="81" spans="1:29" x14ac:dyDescent="0.3">
      <c r="A81" s="319" t="s">
        <v>662</v>
      </c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</row>
    <row r="82" spans="1:29" ht="15" customHeight="1" x14ac:dyDescent="0.3">
      <c r="A82" s="690" t="s">
        <v>661</v>
      </c>
      <c r="B82" s="690"/>
      <c r="C82" s="690"/>
      <c r="D82" s="690"/>
      <c r="E82" s="690"/>
      <c r="F82" s="690"/>
      <c r="G82" s="690"/>
      <c r="H82" s="690"/>
      <c r="I82" s="690" t="s">
        <v>591</v>
      </c>
      <c r="J82" s="690"/>
      <c r="K82" s="690"/>
      <c r="L82" s="690"/>
      <c r="M82" s="690" t="s">
        <v>587</v>
      </c>
      <c r="N82" s="690"/>
      <c r="O82" s="690"/>
      <c r="P82" s="690"/>
      <c r="Q82" s="690"/>
      <c r="R82" s="690" t="s">
        <v>660</v>
      </c>
      <c r="S82" s="690"/>
      <c r="T82" s="690"/>
      <c r="U82" s="690"/>
      <c r="V82" s="690"/>
      <c r="W82" s="690"/>
      <c r="X82" s="690" t="s">
        <v>659</v>
      </c>
      <c r="Y82" s="690"/>
      <c r="Z82" s="690"/>
      <c r="AA82" s="690"/>
      <c r="AB82" s="690"/>
      <c r="AC82" s="690"/>
    </row>
    <row r="83" spans="1:29" x14ac:dyDescent="0.3">
      <c r="A83" s="662"/>
      <c r="B83" s="662"/>
      <c r="C83" s="662"/>
      <c r="D83" s="662"/>
      <c r="E83" s="662"/>
      <c r="F83" s="662"/>
      <c r="G83" s="662"/>
      <c r="H83" s="662"/>
      <c r="I83" s="662"/>
      <c r="J83" s="662"/>
      <c r="K83" s="662"/>
      <c r="L83" s="662"/>
      <c r="M83" s="662"/>
      <c r="N83" s="662"/>
      <c r="O83" s="662"/>
      <c r="P83" s="662"/>
      <c r="Q83" s="662"/>
      <c r="R83" s="662"/>
      <c r="S83" s="662"/>
      <c r="T83" s="662"/>
      <c r="U83" s="662"/>
      <c r="V83" s="662"/>
      <c r="W83" s="662"/>
      <c r="X83" s="663">
        <v>45021</v>
      </c>
      <c r="Y83" s="663"/>
      <c r="Z83" s="663"/>
      <c r="AA83" s="663"/>
      <c r="AB83" s="663"/>
      <c r="AC83" s="663"/>
    </row>
    <row r="84" spans="1:29" ht="15" customHeight="1" x14ac:dyDescent="0.3">
      <c r="A84" s="662"/>
      <c r="B84" s="662"/>
      <c r="C84" s="662"/>
      <c r="D84" s="662"/>
      <c r="E84" s="662"/>
      <c r="F84" s="662"/>
      <c r="G84" s="662"/>
      <c r="H84" s="662"/>
      <c r="I84" s="662"/>
      <c r="J84" s="662"/>
      <c r="K84" s="662"/>
      <c r="L84" s="662"/>
      <c r="M84" s="662"/>
      <c r="N84" s="662"/>
      <c r="O84" s="662"/>
      <c r="P84" s="662"/>
      <c r="Q84" s="662"/>
      <c r="R84" s="662"/>
      <c r="S84" s="662"/>
      <c r="T84" s="662"/>
      <c r="U84" s="662"/>
      <c r="V84" s="662"/>
      <c r="W84" s="662"/>
      <c r="X84" s="663">
        <v>45132</v>
      </c>
      <c r="Y84" s="663"/>
      <c r="Z84" s="663"/>
      <c r="AA84" s="663"/>
      <c r="AB84" s="663"/>
      <c r="AC84" s="663"/>
    </row>
    <row r="85" spans="1:29" ht="15" customHeight="1" x14ac:dyDescent="0.3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2"/>
      <c r="P85" s="662"/>
      <c r="Q85" s="662"/>
      <c r="R85" s="662"/>
      <c r="S85" s="662"/>
      <c r="T85" s="662"/>
      <c r="U85" s="662"/>
      <c r="V85" s="662"/>
      <c r="W85" s="662"/>
      <c r="X85" s="663">
        <v>45437</v>
      </c>
      <c r="Y85" s="663"/>
      <c r="Z85" s="663"/>
      <c r="AA85" s="663"/>
      <c r="AB85" s="663"/>
      <c r="AC85" s="663"/>
    </row>
    <row r="86" spans="1:29" ht="15" customHeight="1" x14ac:dyDescent="0.3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2"/>
      <c r="P86" s="662"/>
      <c r="Q86" s="662"/>
      <c r="R86" s="662"/>
      <c r="S86" s="662"/>
      <c r="T86" s="662"/>
      <c r="U86" s="662"/>
      <c r="V86" s="662"/>
      <c r="W86" s="662"/>
      <c r="X86" s="663">
        <v>45361</v>
      </c>
      <c r="Y86" s="663"/>
      <c r="Z86" s="663"/>
      <c r="AA86" s="663"/>
      <c r="AB86" s="663"/>
      <c r="AC86" s="663"/>
    </row>
    <row r="87" spans="1:29" x14ac:dyDescent="0.3">
      <c r="A87" s="320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</row>
    <row r="88" spans="1:29" x14ac:dyDescent="0.3">
      <c r="A88" s="319" t="s">
        <v>658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</row>
    <row r="89" spans="1:29" ht="15" customHeight="1" x14ac:dyDescent="0.3">
      <c r="A89" s="316" t="s">
        <v>657</v>
      </c>
      <c r="B89" s="315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15"/>
    </row>
    <row r="90" spans="1:29" ht="15" customHeight="1" x14ac:dyDescent="0.3">
      <c r="A90" s="318" t="str">
        <f>'[3]Salida de Datos'!$L$7</f>
        <v>La corrección corresponde al valor del patrón menos las indicación del equipo.</v>
      </c>
      <c r="B90" s="315"/>
      <c r="C90" s="317"/>
      <c r="D90" s="317"/>
      <c r="E90" s="317"/>
      <c r="F90" s="317"/>
      <c r="G90" s="317"/>
      <c r="H90" s="317"/>
      <c r="I90" s="317"/>
      <c r="J90" s="317"/>
      <c r="K90" s="317"/>
      <c r="L90" s="317"/>
      <c r="M90" s="317"/>
      <c r="N90" s="317"/>
      <c r="O90" s="317"/>
      <c r="P90" s="317"/>
      <c r="Q90" s="317"/>
      <c r="R90" s="317"/>
      <c r="S90" s="317"/>
      <c r="T90" s="317"/>
      <c r="U90" s="317"/>
      <c r="V90" s="317"/>
      <c r="W90" s="317"/>
      <c r="X90" s="317"/>
      <c r="Y90" s="315"/>
    </row>
    <row r="91" spans="1:29" ht="15" customHeight="1" x14ac:dyDescent="0.3">
      <c r="A91" s="318" t="str">
        <f>'[3]Salida de Datos'!$L$8</f>
        <v>La indicación del equipo corresponde al promedio de 3 mediciones en cada punto de calibración.</v>
      </c>
      <c r="B91" s="317"/>
      <c r="C91" s="317"/>
      <c r="D91" s="317"/>
      <c r="E91" s="317"/>
      <c r="F91" s="317"/>
      <c r="G91" s="317"/>
      <c r="H91" s="317"/>
      <c r="I91" s="317"/>
      <c r="J91" s="317"/>
      <c r="K91" s="317"/>
      <c r="L91" s="317"/>
      <c r="M91" s="317"/>
      <c r="N91" s="317"/>
      <c r="O91" s="317"/>
      <c r="P91" s="317"/>
      <c r="Q91" s="317"/>
      <c r="R91" s="317"/>
      <c r="S91" s="317"/>
      <c r="T91" s="317"/>
      <c r="U91" s="317"/>
      <c r="V91" s="317"/>
      <c r="W91" s="317"/>
      <c r="X91" s="317"/>
      <c r="Y91" s="317"/>
    </row>
    <row r="92" spans="1:29" x14ac:dyDescent="0.3">
      <c r="A92" s="316" t="s">
        <v>656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</row>
    <row r="93" spans="1:29" x14ac:dyDescent="0.3">
      <c r="A93" s="316" t="s">
        <v>655</v>
      </c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</row>
    <row r="94" spans="1:29" ht="15" customHeight="1" x14ac:dyDescent="0.3">
      <c r="A94" s="316" t="s">
        <v>839</v>
      </c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</row>
    <row r="95" spans="1:29" x14ac:dyDescent="0.3">
      <c r="A95" s="316" t="s">
        <v>840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</row>
    <row r="99" spans="11:20" x14ac:dyDescent="0.3">
      <c r="K99" s="678" t="s">
        <v>654</v>
      </c>
      <c r="L99" s="678"/>
      <c r="M99" s="678"/>
      <c r="N99" s="678"/>
      <c r="O99" s="678"/>
      <c r="P99" s="678"/>
      <c r="Q99" s="678"/>
      <c r="R99" s="678"/>
      <c r="S99" s="678"/>
      <c r="T99" s="678"/>
    </row>
    <row r="100" spans="11:20" x14ac:dyDescent="0.3">
      <c r="K100" s="679" t="str">
        <f>IF($K$99=[3]Generales!F1,[3]Generales!F8,[3]Generales!F7)</f>
        <v>Director Técnico</v>
      </c>
      <c r="L100" s="679"/>
      <c r="M100" s="679"/>
      <c r="N100" s="679"/>
      <c r="O100" s="679"/>
      <c r="P100" s="679"/>
      <c r="Q100" s="679"/>
      <c r="R100" s="679"/>
      <c r="S100" s="679"/>
      <c r="T100" s="679"/>
    </row>
    <row r="101" spans="11:20" x14ac:dyDescent="0.3">
      <c r="K101" s="680" t="s">
        <v>653</v>
      </c>
      <c r="L101" s="680"/>
      <c r="M101" s="680"/>
      <c r="N101" s="680"/>
      <c r="O101" s="680"/>
      <c r="P101" s="680"/>
      <c r="Q101" s="680"/>
      <c r="R101" s="680"/>
      <c r="S101" s="680"/>
      <c r="T101" s="680"/>
    </row>
    <row r="103" spans="11:20" x14ac:dyDescent="0.3">
      <c r="K103" s="677" t="s">
        <v>652</v>
      </c>
      <c r="L103" s="677"/>
      <c r="M103" s="677"/>
      <c r="N103" s="677"/>
      <c r="O103" s="677"/>
      <c r="P103" s="677"/>
      <c r="Q103" s="677"/>
      <c r="R103" s="677"/>
      <c r="S103" s="677"/>
      <c r="T103" s="677"/>
    </row>
  </sheetData>
  <sheetProtection formatCells="0" formatColumns="0" formatRows="0"/>
  <mergeCells count="184">
    <mergeCell ref="L44:O45"/>
    <mergeCell ref="Z42:AB43"/>
    <mergeCell ref="E42:G43"/>
    <mergeCell ref="E44:G45"/>
    <mergeCell ref="E46:G47"/>
    <mergeCell ref="E48:G49"/>
    <mergeCell ref="L46:O47"/>
    <mergeCell ref="B48:D48"/>
    <mergeCell ref="B47:D47"/>
    <mergeCell ref="B49:D49"/>
    <mergeCell ref="B46:D46"/>
    <mergeCell ref="T42:V43"/>
    <mergeCell ref="L48:O49"/>
    <mergeCell ref="H48:K48"/>
    <mergeCell ref="H49:K49"/>
    <mergeCell ref="H46:K46"/>
    <mergeCell ref="H47:K47"/>
    <mergeCell ref="Z41:AB41"/>
    <mergeCell ref="E39:G40"/>
    <mergeCell ref="Q39:S41"/>
    <mergeCell ref="Q42:S42"/>
    <mergeCell ref="Q43:S43"/>
    <mergeCell ref="H39:K40"/>
    <mergeCell ref="W41:Y41"/>
    <mergeCell ref="W42:Y42"/>
    <mergeCell ref="W43:Y43"/>
    <mergeCell ref="T41:V41"/>
    <mergeCell ref="E41:G41"/>
    <mergeCell ref="L41:O41"/>
    <mergeCell ref="L42:O43"/>
    <mergeCell ref="W27:AA27"/>
    <mergeCell ref="G35:J35"/>
    <mergeCell ref="W35:AA35"/>
    <mergeCell ref="S35:V35"/>
    <mergeCell ref="O35:R35"/>
    <mergeCell ref="W32:AA32"/>
    <mergeCell ref="W31:AA31"/>
    <mergeCell ref="W30:AA30"/>
    <mergeCell ref="W29:AA29"/>
    <mergeCell ref="K35:N35"/>
    <mergeCell ref="W34:AA34"/>
    <mergeCell ref="S34:V34"/>
    <mergeCell ref="O34:R34"/>
    <mergeCell ref="K34:N34"/>
    <mergeCell ref="W33:AA33"/>
    <mergeCell ref="S33:V33"/>
    <mergeCell ref="O33:R33"/>
    <mergeCell ref="K33:N33"/>
    <mergeCell ref="O28:R28"/>
    <mergeCell ref="O29:R29"/>
    <mergeCell ref="O30:R30"/>
    <mergeCell ref="O31:R31"/>
    <mergeCell ref="O32:R32"/>
    <mergeCell ref="S28:V28"/>
    <mergeCell ref="C28:F28"/>
    <mergeCell ref="C29:F29"/>
    <mergeCell ref="C30:F30"/>
    <mergeCell ref="C31:F31"/>
    <mergeCell ref="C32:F32"/>
    <mergeCell ref="C33:F33"/>
    <mergeCell ref="C34:F34"/>
    <mergeCell ref="C35:F35"/>
    <mergeCell ref="C27:F27"/>
    <mergeCell ref="S29:V29"/>
    <mergeCell ref="S30:V30"/>
    <mergeCell ref="S31:V31"/>
    <mergeCell ref="S32:V32"/>
    <mergeCell ref="O27:R27"/>
    <mergeCell ref="S27:V27"/>
    <mergeCell ref="H44:K44"/>
    <mergeCell ref="G25:J26"/>
    <mergeCell ref="G28:J28"/>
    <mergeCell ref="G29:J29"/>
    <mergeCell ref="G30:J30"/>
    <mergeCell ref="G31:J31"/>
    <mergeCell ref="G32:J32"/>
    <mergeCell ref="K25:N26"/>
    <mergeCell ref="K28:N28"/>
    <mergeCell ref="K29:N29"/>
    <mergeCell ref="K30:N30"/>
    <mergeCell ref="K31:N31"/>
    <mergeCell ref="K32:N32"/>
    <mergeCell ref="G27:J27"/>
    <mergeCell ref="K27:N27"/>
    <mergeCell ref="R38:AA38"/>
    <mergeCell ref="D38:N38"/>
    <mergeCell ref="C25:F26"/>
    <mergeCell ref="I85:L85"/>
    <mergeCell ref="M85:Q85"/>
    <mergeCell ref="R85:W85"/>
    <mergeCell ref="X85:AC85"/>
    <mergeCell ref="A82:H82"/>
    <mergeCell ref="I82:L82"/>
    <mergeCell ref="M82:Q82"/>
    <mergeCell ref="R82:W82"/>
    <mergeCell ref="X82:AC82"/>
    <mergeCell ref="A83:H83"/>
    <mergeCell ref="I83:L83"/>
    <mergeCell ref="M83:Q83"/>
    <mergeCell ref="R83:W83"/>
    <mergeCell ref="X83:AC83"/>
    <mergeCell ref="B53:D53"/>
    <mergeCell ref="L52:O53"/>
    <mergeCell ref="H52:K52"/>
    <mergeCell ref="H53:K53"/>
    <mergeCell ref="B50:D50"/>
    <mergeCell ref="B51:D51"/>
    <mergeCell ref="B52:D52"/>
    <mergeCell ref="H41:K41"/>
    <mergeCell ref="A72:AC72"/>
    <mergeCell ref="H55:K55"/>
    <mergeCell ref="L54:O55"/>
    <mergeCell ref="E52:G53"/>
    <mergeCell ref="L50:O51"/>
    <mergeCell ref="H50:K50"/>
    <mergeCell ref="H51:K51"/>
    <mergeCell ref="E50:G51"/>
    <mergeCell ref="B39:D41"/>
    <mergeCell ref="B42:D42"/>
    <mergeCell ref="B43:D43"/>
    <mergeCell ref="B44:D44"/>
    <mergeCell ref="B45:D45"/>
    <mergeCell ref="T39:V40"/>
    <mergeCell ref="W39:Y40"/>
    <mergeCell ref="Z39:AB40"/>
    <mergeCell ref="A75:AC79"/>
    <mergeCell ref="G69:H69"/>
    <mergeCell ref="C68:F68"/>
    <mergeCell ref="G68:H68"/>
    <mergeCell ref="W36:AA36"/>
    <mergeCell ref="K103:T103"/>
    <mergeCell ref="K99:T99"/>
    <mergeCell ref="K100:T100"/>
    <mergeCell ref="K101:T101"/>
    <mergeCell ref="A84:H84"/>
    <mergeCell ref="I84:L84"/>
    <mergeCell ref="M84:Q84"/>
    <mergeCell ref="R84:W84"/>
    <mergeCell ref="X84:AC84"/>
    <mergeCell ref="A85:H85"/>
    <mergeCell ref="C36:F36"/>
    <mergeCell ref="A69:F69"/>
    <mergeCell ref="B54:D54"/>
    <mergeCell ref="B55:D55"/>
    <mergeCell ref="H42:K42"/>
    <mergeCell ref="H45:K45"/>
    <mergeCell ref="H43:K43"/>
    <mergeCell ref="E54:G55"/>
    <mergeCell ref="H54:K54"/>
    <mergeCell ref="Q8:AC8"/>
    <mergeCell ref="Q14:AC14"/>
    <mergeCell ref="Q13:AC13"/>
    <mergeCell ref="Q12:AC12"/>
    <mergeCell ref="Q10:AC10"/>
    <mergeCell ref="Q15:AC15"/>
    <mergeCell ref="Q11:AC11"/>
    <mergeCell ref="Q17:R17"/>
    <mergeCell ref="W25:AA26"/>
    <mergeCell ref="O25:R26"/>
    <mergeCell ref="S25:V26"/>
    <mergeCell ref="A86:H86"/>
    <mergeCell ref="I86:L86"/>
    <mergeCell ref="M86:Q86"/>
    <mergeCell ref="R86:W86"/>
    <mergeCell ref="X86:AC86"/>
    <mergeCell ref="N22:X22"/>
    <mergeCell ref="Q16:AC16"/>
    <mergeCell ref="Q21:AC21"/>
    <mergeCell ref="Q18:AC18"/>
    <mergeCell ref="Q19:AC19"/>
    <mergeCell ref="Q20:AC20"/>
    <mergeCell ref="W28:AA28"/>
    <mergeCell ref="R65:AB65"/>
    <mergeCell ref="J68:K68"/>
    <mergeCell ref="M68:N68"/>
    <mergeCell ref="J69:K69"/>
    <mergeCell ref="M69:N69"/>
    <mergeCell ref="G33:J33"/>
    <mergeCell ref="G34:J34"/>
    <mergeCell ref="G36:J36"/>
    <mergeCell ref="K36:N36"/>
    <mergeCell ref="O36:R36"/>
    <mergeCell ref="S36:V36"/>
    <mergeCell ref="L39:O40"/>
  </mergeCells>
  <pageMargins left="0.51181102362204722" right="0.31496062992125984" top="0.51181102362204722" bottom="0.51181102362204722" header="0" footer="0.31496062992125984"/>
  <pageSetup orientation="portrait" verticalDpi="4294967293" r:id="rId1"/>
  <headerFooter>
    <oddHeader>&amp;C
&amp;G</oddHeader>
    <oddFooter xml:space="preserve">&amp;C&amp;G&amp;R&amp;7Página &amp;Pde&amp;N&amp;8
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'F:\SGC Vigente 2018-07-08\Clientes\Certificados\2018\Fuera de alcance\Dimensional\[NI-R02-MCIT-D-01 Hoja de calculo de calibradores universales v2 2018-05-21.xlsx]Generales'!#REF!</xm:f>
          </x14:formula1>
          <xm:sqref>K99:T99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AH101"/>
  <sheetViews>
    <sheetView tabSelected="1" view="pageLayout" topLeftCell="A64" zoomScaleNormal="100" zoomScaleSheetLayoutView="100" workbookViewId="0">
      <selection activeCell="X70" sqref="X70"/>
    </sheetView>
  </sheetViews>
  <sheetFormatPr baseColWidth="10" defaultColWidth="11.33203125" defaultRowHeight="14.4" x14ac:dyDescent="0.3"/>
  <cols>
    <col min="1" max="29" width="3.109375" style="314" customWidth="1"/>
    <col min="30" max="16384" width="11.33203125" style="314"/>
  </cols>
  <sheetData>
    <row r="1" spans="2:29" ht="14.85" customHeight="1" x14ac:dyDescent="0.3"/>
    <row r="2" spans="2:29" ht="14.85" customHeight="1" x14ac:dyDescent="0.3"/>
    <row r="3" spans="2:29" ht="14.85" customHeight="1" x14ac:dyDescent="0.3"/>
    <row r="4" spans="2:29" ht="14.85" customHeight="1" x14ac:dyDescent="0.3"/>
    <row r="5" spans="2:29" ht="14.85" customHeight="1" x14ac:dyDescent="0.3"/>
    <row r="6" spans="2:29" ht="14.85" customHeight="1" x14ac:dyDescent="0.3"/>
    <row r="7" spans="2:29" ht="14.85" customHeight="1" x14ac:dyDescent="0.3"/>
    <row r="8" spans="2:29" ht="14.85" customHeight="1" x14ac:dyDescent="0.3">
      <c r="B8" s="330" t="s">
        <v>671</v>
      </c>
      <c r="E8" s="322"/>
      <c r="F8" s="322"/>
      <c r="G8" s="329"/>
      <c r="H8" s="329"/>
      <c r="I8" s="329"/>
      <c r="J8" s="329"/>
      <c r="K8" s="329"/>
      <c r="L8" s="315"/>
      <c r="M8" s="315"/>
      <c r="P8" s="332"/>
      <c r="Q8" s="671" t="str">
        <f>Identificaciones!F4</f>
        <v>NI-MC-D-1233-2023</v>
      </c>
      <c r="R8" s="671"/>
      <c r="S8" s="671"/>
      <c r="T8" s="671"/>
      <c r="U8" s="671"/>
      <c r="V8" s="671"/>
      <c r="W8" s="671"/>
      <c r="X8" s="671"/>
      <c r="Y8" s="671"/>
      <c r="Z8" s="671"/>
      <c r="AA8" s="671"/>
      <c r="AB8" s="671"/>
      <c r="AC8" s="671"/>
    </row>
    <row r="9" spans="2:29" ht="14.25" customHeight="1" x14ac:dyDescent="0.3">
      <c r="B9" s="330" t="s">
        <v>63</v>
      </c>
      <c r="E9" s="323"/>
      <c r="F9" s="323"/>
      <c r="G9" s="329"/>
      <c r="H9" s="329"/>
      <c r="I9" s="329"/>
      <c r="J9" s="329"/>
      <c r="K9" s="329"/>
      <c r="L9" s="315"/>
      <c r="M9" s="315"/>
      <c r="P9" s="331"/>
      <c r="Q9" s="665">
        <f>Identificaciones!D6</f>
        <v>44962</v>
      </c>
      <c r="R9" s="666"/>
      <c r="S9" s="666"/>
      <c r="T9" s="666"/>
      <c r="U9" s="666"/>
      <c r="V9" s="666"/>
      <c r="W9" s="666"/>
      <c r="X9" s="666"/>
      <c r="Y9" s="666"/>
      <c r="Z9" s="666"/>
      <c r="AA9" s="666"/>
      <c r="AB9" s="666"/>
      <c r="AC9" s="666"/>
    </row>
    <row r="10" spans="2:29" ht="14.25" customHeight="1" x14ac:dyDescent="0.3">
      <c r="B10" s="330" t="s">
        <v>841</v>
      </c>
      <c r="E10" s="323"/>
      <c r="F10" s="323"/>
      <c r="G10" s="329"/>
      <c r="H10" s="329"/>
      <c r="I10" s="329"/>
      <c r="J10" s="329"/>
      <c r="K10" s="329"/>
      <c r="L10" s="315"/>
      <c r="M10" s="315"/>
      <c r="P10" s="331"/>
      <c r="Q10" s="672">
        <f ca="1">NOW()</f>
        <v>45392.902506712962</v>
      </c>
      <c r="R10" s="672"/>
      <c r="S10" s="672"/>
      <c r="T10" s="672"/>
      <c r="U10" s="672"/>
      <c r="V10" s="672"/>
      <c r="W10" s="672"/>
      <c r="X10" s="672"/>
      <c r="Y10" s="672"/>
      <c r="Z10" s="672"/>
      <c r="AA10" s="672"/>
      <c r="AB10" s="672"/>
      <c r="AC10" s="672"/>
    </row>
    <row r="11" spans="2:29" ht="14.25" customHeight="1" x14ac:dyDescent="0.3">
      <c r="B11" s="330" t="s">
        <v>680</v>
      </c>
      <c r="E11" s="323"/>
      <c r="F11" s="323"/>
      <c r="G11" s="329"/>
      <c r="H11" s="329"/>
      <c r="I11" s="329"/>
      <c r="J11" s="329"/>
      <c r="K11" s="329"/>
      <c r="L11" s="315"/>
      <c r="M11" s="315"/>
      <c r="P11" s="331"/>
      <c r="Q11" s="665" t="str">
        <f>Identificaciones!F22</f>
        <v>Vernier Digital</v>
      </c>
      <c r="R11" s="666"/>
      <c r="S11" s="666"/>
      <c r="T11" s="666"/>
      <c r="U11" s="666"/>
      <c r="V11" s="666"/>
      <c r="W11" s="666"/>
      <c r="X11" s="666"/>
      <c r="Y11" s="666"/>
      <c r="Z11" s="666"/>
      <c r="AA11" s="666"/>
      <c r="AB11" s="666"/>
      <c r="AC11" s="666"/>
    </row>
    <row r="12" spans="2:29" ht="14.25" customHeight="1" x14ac:dyDescent="0.3">
      <c r="B12" s="330" t="s">
        <v>679</v>
      </c>
      <c r="E12" s="323"/>
      <c r="F12" s="323"/>
      <c r="G12" s="329"/>
      <c r="H12" s="329"/>
      <c r="I12" s="329"/>
      <c r="J12" s="329"/>
      <c r="K12" s="329"/>
      <c r="L12" s="315"/>
      <c r="M12" s="315"/>
      <c r="P12" s="331"/>
      <c r="Q12" s="665" t="str">
        <f>Identificaciones!D24</f>
        <v>Mitutoyo</v>
      </c>
      <c r="R12" s="666"/>
      <c r="S12" s="666"/>
      <c r="T12" s="666"/>
      <c r="U12" s="666"/>
      <c r="V12" s="666"/>
      <c r="W12" s="666"/>
      <c r="X12" s="666"/>
      <c r="Y12" s="666"/>
      <c r="Z12" s="666"/>
      <c r="AA12" s="666"/>
      <c r="AB12" s="666"/>
      <c r="AC12" s="666"/>
    </row>
    <row r="13" spans="2:29" ht="14.25" customHeight="1" x14ac:dyDescent="0.3">
      <c r="B13" s="330" t="s">
        <v>44</v>
      </c>
      <c r="E13" s="323"/>
      <c r="F13" s="323"/>
      <c r="G13" s="329"/>
      <c r="H13" s="329"/>
      <c r="I13" s="329"/>
      <c r="J13" s="329"/>
      <c r="K13" s="329"/>
      <c r="L13" s="315"/>
      <c r="M13" s="315"/>
      <c r="P13" s="331"/>
      <c r="Q13" s="665">
        <f>Identificaciones!H27</f>
        <v>59869956</v>
      </c>
      <c r="R13" s="666"/>
      <c r="S13" s="666"/>
      <c r="T13" s="666"/>
      <c r="U13" s="666"/>
      <c r="V13" s="666"/>
      <c r="W13" s="666"/>
      <c r="X13" s="666"/>
      <c r="Y13" s="666"/>
      <c r="Z13" s="666"/>
      <c r="AA13" s="666"/>
      <c r="AB13" s="666"/>
      <c r="AC13" s="666"/>
    </row>
    <row r="14" spans="2:29" ht="14.25" customHeight="1" x14ac:dyDescent="0.3">
      <c r="B14" s="330" t="s">
        <v>43</v>
      </c>
      <c r="E14" s="323"/>
      <c r="F14" s="323"/>
      <c r="G14" s="329"/>
      <c r="H14" s="329"/>
      <c r="I14" s="329"/>
      <c r="J14" s="329"/>
      <c r="K14" s="329"/>
      <c r="L14" s="315"/>
      <c r="M14" s="315"/>
      <c r="P14" s="331"/>
      <c r="Q14" s="665" t="str">
        <f>Identificaciones!D27</f>
        <v>Quantum Mike</v>
      </c>
      <c r="R14" s="666"/>
      <c r="S14" s="666"/>
      <c r="T14" s="666"/>
      <c r="U14" s="666"/>
      <c r="V14" s="666"/>
      <c r="W14" s="666"/>
      <c r="X14" s="666"/>
      <c r="Y14" s="666"/>
      <c r="Z14" s="666"/>
      <c r="AA14" s="666"/>
      <c r="AB14" s="666"/>
      <c r="AC14" s="666"/>
    </row>
    <row r="15" spans="2:29" ht="14.25" customHeight="1" x14ac:dyDescent="0.3">
      <c r="B15" s="330" t="s">
        <v>678</v>
      </c>
      <c r="E15" s="323"/>
      <c r="F15" s="323"/>
      <c r="G15" s="329"/>
      <c r="H15" s="329"/>
      <c r="I15" s="329"/>
      <c r="J15" s="329"/>
      <c r="K15" s="329"/>
      <c r="L15" s="315"/>
      <c r="M15" s="315"/>
      <c r="P15" s="331"/>
      <c r="Q15" s="665" t="str">
        <f>Identificaciones!M29</f>
        <v>0 mm a 150 mm</v>
      </c>
      <c r="R15" s="666"/>
      <c r="S15" s="666"/>
      <c r="T15" s="666"/>
      <c r="U15" s="666"/>
      <c r="V15" s="666"/>
      <c r="W15" s="666"/>
      <c r="X15" s="666"/>
      <c r="Y15" s="666"/>
      <c r="Z15" s="666"/>
      <c r="AA15" s="666"/>
      <c r="AB15" s="666"/>
      <c r="AC15" s="666"/>
    </row>
    <row r="16" spans="2:29" ht="14.25" customHeight="1" x14ac:dyDescent="0.3">
      <c r="B16" s="330" t="s">
        <v>47</v>
      </c>
      <c r="E16" s="323"/>
      <c r="F16" s="323"/>
      <c r="G16" s="329"/>
      <c r="H16" s="329"/>
      <c r="I16" s="329"/>
      <c r="J16" s="329"/>
      <c r="K16" s="329"/>
      <c r="L16" s="315"/>
      <c r="M16" s="315"/>
      <c r="P16" s="331"/>
      <c r="Q16" s="665">
        <f>Identificaciones!J31</f>
        <v>0.01</v>
      </c>
      <c r="R16" s="665"/>
      <c r="S16" s="382" t="str">
        <f>Identificaciones!L31</f>
        <v>mm</v>
      </c>
      <c r="T16" s="382"/>
      <c r="U16" s="382"/>
      <c r="V16" s="382"/>
      <c r="W16" s="382"/>
      <c r="X16" s="382"/>
      <c r="Y16" s="382"/>
      <c r="Z16" s="382"/>
      <c r="AA16" s="382"/>
      <c r="AB16" s="382"/>
      <c r="AC16" s="382"/>
    </row>
    <row r="17" spans="1:34" ht="14.25" customHeight="1" x14ac:dyDescent="0.3">
      <c r="B17" s="330" t="s">
        <v>677</v>
      </c>
      <c r="E17" s="323"/>
      <c r="F17" s="323"/>
      <c r="G17" s="329"/>
      <c r="H17" s="329"/>
      <c r="I17" s="329"/>
      <c r="J17" s="329"/>
      <c r="K17" s="329"/>
      <c r="L17" s="315"/>
      <c r="M17" s="315"/>
      <c r="P17" s="331"/>
      <c r="Q17" s="665">
        <f>Identificaciones!M27</f>
        <v>562263321</v>
      </c>
      <c r="R17" s="666"/>
      <c r="S17" s="666"/>
      <c r="T17" s="666"/>
      <c r="U17" s="666"/>
      <c r="V17" s="666"/>
      <c r="W17" s="666"/>
      <c r="X17" s="666"/>
      <c r="Y17" s="666"/>
      <c r="Z17" s="666"/>
      <c r="AA17" s="666"/>
      <c r="AB17" s="666"/>
      <c r="AC17" s="666"/>
    </row>
    <row r="18" spans="1:34" ht="14.25" customHeight="1" x14ac:dyDescent="0.3">
      <c r="B18" s="330" t="s">
        <v>676</v>
      </c>
      <c r="E18" s="323"/>
      <c r="F18" s="323"/>
      <c r="G18" s="329"/>
      <c r="H18" s="329"/>
      <c r="I18" s="329"/>
      <c r="J18" s="329"/>
      <c r="K18" s="329"/>
      <c r="L18" s="315"/>
      <c r="M18" s="315"/>
      <c r="P18" s="331"/>
      <c r="Q18" s="665">
        <f>Identificaciones!U10</f>
        <v>0</v>
      </c>
      <c r="R18" s="666"/>
      <c r="S18" s="666"/>
      <c r="T18" s="666"/>
      <c r="U18" s="666"/>
      <c r="V18" s="666"/>
      <c r="W18" s="666"/>
      <c r="X18" s="666"/>
      <c r="Y18" s="666"/>
      <c r="Z18" s="666"/>
      <c r="AA18" s="666"/>
      <c r="AB18" s="666"/>
      <c r="AC18" s="666"/>
    </row>
    <row r="19" spans="1:34" ht="14.25" customHeight="1" x14ac:dyDescent="0.3">
      <c r="B19" s="330" t="s">
        <v>675</v>
      </c>
      <c r="E19" s="323"/>
      <c r="F19" s="323"/>
      <c r="G19" s="329"/>
      <c r="H19" s="329"/>
      <c r="I19" s="329"/>
      <c r="J19" s="329"/>
      <c r="K19" s="329"/>
      <c r="L19" s="315"/>
      <c r="M19" s="315"/>
      <c r="P19" s="331"/>
      <c r="Q19" s="665" t="str">
        <f>Identificaciones!D17</f>
        <v>km 4,5 Carretera Norte</v>
      </c>
      <c r="R19" s="666"/>
      <c r="S19" s="666"/>
      <c r="T19" s="666"/>
      <c r="U19" s="666"/>
      <c r="V19" s="666"/>
      <c r="W19" s="666"/>
      <c r="X19" s="666"/>
      <c r="Y19" s="666"/>
      <c r="Z19" s="666"/>
      <c r="AA19" s="666"/>
      <c r="AB19" s="666"/>
      <c r="AC19" s="666"/>
    </row>
    <row r="20" spans="1:34" ht="14.25" customHeight="1" x14ac:dyDescent="0.3">
      <c r="B20" s="330" t="s">
        <v>674</v>
      </c>
      <c r="E20" s="323"/>
      <c r="F20" s="323"/>
      <c r="G20" s="329"/>
      <c r="H20" s="329"/>
      <c r="I20" s="329"/>
      <c r="J20" s="329"/>
      <c r="K20" s="329"/>
      <c r="L20" s="315"/>
      <c r="M20" s="315"/>
      <c r="P20" s="331"/>
      <c r="Q20" s="665" t="str">
        <f>Identificaciones!D18</f>
        <v>Laboratorio #1 Metrocal</v>
      </c>
      <c r="R20" s="666"/>
      <c r="S20" s="666"/>
      <c r="T20" s="666"/>
      <c r="U20" s="666"/>
      <c r="V20" s="666"/>
      <c r="W20" s="666"/>
      <c r="X20" s="666"/>
      <c r="Y20" s="666"/>
      <c r="Z20" s="666"/>
      <c r="AA20" s="666"/>
      <c r="AB20" s="666"/>
      <c r="AC20" s="666"/>
    </row>
    <row r="21" spans="1:34" ht="9" customHeight="1" x14ac:dyDescent="0.3">
      <c r="A21" s="319"/>
      <c r="N21" s="664"/>
      <c r="O21" s="664"/>
      <c r="P21" s="664"/>
      <c r="Q21" s="664"/>
      <c r="R21" s="664"/>
      <c r="S21" s="664"/>
      <c r="T21" s="664"/>
      <c r="U21" s="664"/>
      <c r="V21" s="664"/>
      <c r="W21" s="664"/>
      <c r="X21" s="664"/>
    </row>
    <row r="22" spans="1:34" x14ac:dyDescent="0.3">
      <c r="B22" s="319" t="s">
        <v>673</v>
      </c>
      <c r="C22" s="323"/>
      <c r="D22" s="323"/>
      <c r="E22" s="323"/>
      <c r="F22" s="323"/>
      <c r="AG22" s="315"/>
      <c r="AH22" s="315"/>
    </row>
    <row r="23" spans="1:34" ht="7.5" customHeight="1" x14ac:dyDescent="0.3">
      <c r="AG23" s="315"/>
      <c r="AH23" s="315"/>
    </row>
    <row r="24" spans="1:34" ht="15" customHeight="1" x14ac:dyDescent="0.3">
      <c r="C24" s="674" t="s">
        <v>142</v>
      </c>
      <c r="D24" s="674"/>
      <c r="E24" s="674"/>
      <c r="F24" s="674"/>
      <c r="G24" s="674" t="s">
        <v>32</v>
      </c>
      <c r="H24" s="674"/>
      <c r="I24" s="674"/>
      <c r="J24" s="674"/>
      <c r="K24" s="674" t="s">
        <v>681</v>
      </c>
      <c r="L24" s="674"/>
      <c r="M24" s="674"/>
      <c r="N24" s="674"/>
      <c r="O24" s="674" t="s">
        <v>682</v>
      </c>
      <c r="P24" s="674"/>
      <c r="Q24" s="674"/>
      <c r="R24" s="674"/>
      <c r="S24" s="674" t="s">
        <v>683</v>
      </c>
      <c r="T24" s="674"/>
      <c r="U24" s="674"/>
      <c r="V24" s="674"/>
      <c r="W24" s="673" t="s">
        <v>684</v>
      </c>
      <c r="X24" s="673"/>
      <c r="Y24" s="673"/>
      <c r="Z24" s="673"/>
      <c r="AA24" s="673"/>
    </row>
    <row r="25" spans="1:34" ht="19.2" customHeight="1" x14ac:dyDescent="0.3">
      <c r="C25" s="674"/>
      <c r="D25" s="674"/>
      <c r="E25" s="674"/>
      <c r="F25" s="674"/>
      <c r="G25" s="674"/>
      <c r="H25" s="674"/>
      <c r="I25" s="674"/>
      <c r="J25" s="674"/>
      <c r="K25" s="674"/>
      <c r="L25" s="674"/>
      <c r="M25" s="674"/>
      <c r="N25" s="674"/>
      <c r="O25" s="674"/>
      <c r="P25" s="674"/>
      <c r="Q25" s="674"/>
      <c r="R25" s="674"/>
      <c r="S25" s="674"/>
      <c r="T25" s="674"/>
      <c r="U25" s="674"/>
      <c r="V25" s="674"/>
      <c r="W25" s="673"/>
      <c r="X25" s="673"/>
      <c r="Y25" s="673"/>
      <c r="Z25" s="673"/>
      <c r="AA25" s="673"/>
    </row>
    <row r="26" spans="1:34" ht="15" customHeight="1" x14ac:dyDescent="0.3">
      <c r="C26" s="691" t="str">
        <f>Resultados!B68</f>
        <v>(mm)</v>
      </c>
      <c r="D26" s="692"/>
      <c r="E26" s="692"/>
      <c r="F26" s="693"/>
      <c r="G26" s="691" t="str">
        <f>Resultados!B68</f>
        <v>(mm)</v>
      </c>
      <c r="H26" s="692"/>
      <c r="I26" s="692"/>
      <c r="J26" s="693"/>
      <c r="K26" s="691" t="str">
        <f>Resultados!C68</f>
        <v>(mm)</v>
      </c>
      <c r="L26" s="692"/>
      <c r="M26" s="692"/>
      <c r="N26" s="693"/>
      <c r="O26" s="691" t="str">
        <f>Resultados!J68</f>
        <v>(mm)</v>
      </c>
      <c r="P26" s="692"/>
      <c r="Q26" s="692"/>
      <c r="R26" s="693"/>
      <c r="S26" s="691" t="str">
        <f>Resultados!L68</f>
        <v>(μm)</v>
      </c>
      <c r="T26" s="692"/>
      <c r="U26" s="692"/>
      <c r="V26" s="693"/>
      <c r="W26" s="695" t="str">
        <f>S26</f>
        <v>(μm)</v>
      </c>
      <c r="X26" s="696"/>
      <c r="Y26" s="696"/>
      <c r="Z26" s="696"/>
      <c r="AA26" s="697"/>
    </row>
    <row r="27" spans="1:34" ht="15" customHeight="1" x14ac:dyDescent="0.3">
      <c r="C27" s="681">
        <v>1</v>
      </c>
      <c r="D27" s="682"/>
      <c r="E27" s="682"/>
      <c r="F27" s="683"/>
      <c r="G27" s="685">
        <f>Resultados!A11</f>
        <v>0</v>
      </c>
      <c r="H27" s="685"/>
      <c r="I27" s="685"/>
      <c r="J27" s="685"/>
      <c r="K27" s="685">
        <f>Resultados!E11</f>
        <v>0</v>
      </c>
      <c r="L27" s="685"/>
      <c r="M27" s="685"/>
      <c r="N27" s="685"/>
      <c r="O27" s="685">
        <f>Resultados!G11</f>
        <v>0</v>
      </c>
      <c r="P27" s="685"/>
      <c r="Q27" s="685"/>
      <c r="R27" s="685"/>
      <c r="S27" s="667">
        <f>Resultados!H11</f>
        <v>0</v>
      </c>
      <c r="T27" s="667"/>
      <c r="U27" s="667"/>
      <c r="V27" s="667"/>
      <c r="W27" s="667">
        <f>Resultados!AA21</f>
        <v>8.1649656580742018</v>
      </c>
      <c r="X27" s="667"/>
      <c r="Y27" s="667"/>
      <c r="Z27" s="667"/>
      <c r="AA27" s="667"/>
    </row>
    <row r="28" spans="1:34" ht="14.25" customHeight="1" x14ac:dyDescent="0.3">
      <c r="C28" s="681">
        <v>2</v>
      </c>
      <c r="D28" s="682"/>
      <c r="E28" s="682"/>
      <c r="F28" s="683"/>
      <c r="G28" s="685">
        <f>Resultados!B69</f>
        <v>0</v>
      </c>
      <c r="H28" s="685"/>
      <c r="I28" s="685"/>
      <c r="J28" s="685"/>
      <c r="K28" s="685">
        <f>Resultados!C69</f>
        <v>0</v>
      </c>
      <c r="L28" s="685"/>
      <c r="M28" s="685"/>
      <c r="N28" s="685"/>
      <c r="O28" s="685">
        <f>Resultados!J69</f>
        <v>0</v>
      </c>
      <c r="P28" s="685"/>
      <c r="Q28" s="685"/>
      <c r="R28" s="685"/>
      <c r="S28" s="667">
        <f>Resultados!L69</f>
        <v>0</v>
      </c>
      <c r="T28" s="667"/>
      <c r="U28" s="667"/>
      <c r="V28" s="667"/>
      <c r="W28" s="667">
        <f>Resultados!AA22</f>
        <v>8.1653738961665283</v>
      </c>
      <c r="X28" s="667"/>
      <c r="Y28" s="667"/>
      <c r="Z28" s="667"/>
      <c r="AA28" s="667"/>
    </row>
    <row r="29" spans="1:34" x14ac:dyDescent="0.3">
      <c r="C29" s="681">
        <v>3</v>
      </c>
      <c r="D29" s="682"/>
      <c r="E29" s="682"/>
      <c r="F29" s="683"/>
      <c r="G29" s="685">
        <f>Resultados!B70</f>
        <v>0</v>
      </c>
      <c r="H29" s="685"/>
      <c r="I29" s="685"/>
      <c r="J29" s="685"/>
      <c r="K29" s="685">
        <f>Resultados!C70</f>
        <v>0</v>
      </c>
      <c r="L29" s="685"/>
      <c r="M29" s="685"/>
      <c r="N29" s="685"/>
      <c r="O29" s="685">
        <f>Resultados!J70</f>
        <v>0</v>
      </c>
      <c r="P29" s="685"/>
      <c r="Q29" s="685"/>
      <c r="R29" s="685"/>
      <c r="S29" s="667">
        <f>Resultados!L70</f>
        <v>0</v>
      </c>
      <c r="T29" s="667"/>
      <c r="U29" s="667"/>
      <c r="V29" s="667"/>
      <c r="W29" s="667">
        <f>Resultados!AA23</f>
        <v>8.1653738961665283</v>
      </c>
      <c r="X29" s="667"/>
      <c r="Y29" s="667"/>
      <c r="Z29" s="667"/>
      <c r="AA29" s="667"/>
    </row>
    <row r="30" spans="1:34" x14ac:dyDescent="0.3">
      <c r="C30" s="681">
        <v>4</v>
      </c>
      <c r="D30" s="682"/>
      <c r="E30" s="682"/>
      <c r="F30" s="683"/>
      <c r="G30" s="685">
        <f>Resultados!B71</f>
        <v>0</v>
      </c>
      <c r="H30" s="685"/>
      <c r="I30" s="685"/>
      <c r="J30" s="685"/>
      <c r="K30" s="685">
        <f>Resultados!C71</f>
        <v>0</v>
      </c>
      <c r="L30" s="685"/>
      <c r="M30" s="685"/>
      <c r="N30" s="685"/>
      <c r="O30" s="685">
        <f>Resultados!J71</f>
        <v>0</v>
      </c>
      <c r="P30" s="685"/>
      <c r="Q30" s="685"/>
      <c r="R30" s="685"/>
      <c r="S30" s="667">
        <f>Resultados!L71</f>
        <v>0</v>
      </c>
      <c r="T30" s="667"/>
      <c r="U30" s="667"/>
      <c r="V30" s="667"/>
      <c r="W30" s="667">
        <f>Resultados!AA24</f>
        <v>8.1653738961665283</v>
      </c>
      <c r="X30" s="667"/>
      <c r="Y30" s="667"/>
      <c r="Z30" s="667"/>
      <c r="AA30" s="667"/>
    </row>
    <row r="31" spans="1:34" x14ac:dyDescent="0.3">
      <c r="C31" s="681">
        <v>5</v>
      </c>
      <c r="D31" s="682"/>
      <c r="E31" s="682"/>
      <c r="F31" s="683"/>
      <c r="G31" s="685">
        <f>Resultados!B72</f>
        <v>0</v>
      </c>
      <c r="H31" s="685"/>
      <c r="I31" s="685"/>
      <c r="J31" s="685"/>
      <c r="K31" s="685">
        <f>Resultados!C72</f>
        <v>0</v>
      </c>
      <c r="L31" s="685"/>
      <c r="M31" s="685"/>
      <c r="N31" s="685"/>
      <c r="O31" s="685">
        <f>Resultados!J72</f>
        <v>0</v>
      </c>
      <c r="P31" s="685"/>
      <c r="Q31" s="685"/>
      <c r="R31" s="685"/>
      <c r="S31" s="667">
        <f>Resultados!L72</f>
        <v>0</v>
      </c>
      <c r="T31" s="667"/>
      <c r="U31" s="667"/>
      <c r="V31" s="667"/>
      <c r="W31" s="667">
        <f>Resultados!AA25</f>
        <v>8.1653738961665283</v>
      </c>
      <c r="X31" s="667"/>
      <c r="Y31" s="667"/>
      <c r="Z31" s="667"/>
      <c r="AA31" s="667"/>
    </row>
    <row r="32" spans="1:34" x14ac:dyDescent="0.3">
      <c r="C32" s="681">
        <v>6</v>
      </c>
      <c r="D32" s="682"/>
      <c r="E32" s="682"/>
      <c r="F32" s="683"/>
      <c r="G32" s="685">
        <f>Resultados!B73</f>
        <v>0</v>
      </c>
      <c r="H32" s="685"/>
      <c r="I32" s="685"/>
      <c r="J32" s="685"/>
      <c r="K32" s="685">
        <f>Resultados!C73</f>
        <v>0</v>
      </c>
      <c r="L32" s="685"/>
      <c r="M32" s="685"/>
      <c r="N32" s="685"/>
      <c r="O32" s="685">
        <f>Resultados!J73</f>
        <v>0</v>
      </c>
      <c r="P32" s="685"/>
      <c r="Q32" s="685"/>
      <c r="R32" s="685"/>
      <c r="S32" s="667">
        <f>Resultados!L73</f>
        <v>0</v>
      </c>
      <c r="T32" s="667"/>
      <c r="U32" s="667"/>
      <c r="V32" s="667"/>
      <c r="W32" s="667">
        <f>Resultados!AA26</f>
        <v>8.1653738961665283</v>
      </c>
      <c r="X32" s="667"/>
      <c r="Y32" s="667"/>
      <c r="Z32" s="667"/>
      <c r="AA32" s="667"/>
    </row>
    <row r="33" spans="2:34" ht="14.4" hidden="1" customHeight="1" x14ac:dyDescent="0.3">
      <c r="C33" s="681">
        <v>7</v>
      </c>
      <c r="D33" s="682"/>
      <c r="E33" s="682"/>
      <c r="F33" s="683"/>
      <c r="G33" s="685">
        <f>Resultados!B74</f>
        <v>0</v>
      </c>
      <c r="H33" s="685"/>
      <c r="I33" s="685"/>
      <c r="J33" s="685"/>
      <c r="K33" s="685">
        <f>Resultados!C74</f>
        <v>0</v>
      </c>
      <c r="L33" s="685"/>
      <c r="M33" s="685"/>
      <c r="N33" s="685"/>
      <c r="O33" s="685">
        <f>Resultados!J74</f>
        <v>0</v>
      </c>
      <c r="P33" s="685"/>
      <c r="Q33" s="685"/>
      <c r="R33" s="685"/>
      <c r="S33" s="667">
        <f>Resultados!L74</f>
        <v>0</v>
      </c>
      <c r="T33" s="667"/>
      <c r="U33" s="667"/>
      <c r="V33" s="667"/>
      <c r="W33" s="667">
        <f>Resultados!AA27</f>
        <v>8.1653738961665283</v>
      </c>
      <c r="X33" s="667"/>
      <c r="Y33" s="667"/>
      <c r="Z33" s="667"/>
      <c r="AA33" s="667"/>
    </row>
    <row r="34" spans="2:34" ht="14.4" hidden="1" customHeight="1" x14ac:dyDescent="0.3">
      <c r="C34" s="681">
        <v>8</v>
      </c>
      <c r="D34" s="682"/>
      <c r="E34" s="682"/>
      <c r="F34" s="683"/>
      <c r="G34" s="685">
        <f>Resultados!B75</f>
        <v>0</v>
      </c>
      <c r="H34" s="685"/>
      <c r="I34" s="685"/>
      <c r="J34" s="685"/>
      <c r="K34" s="685">
        <f>Resultados!C75</f>
        <v>0</v>
      </c>
      <c r="L34" s="685"/>
      <c r="M34" s="685"/>
      <c r="N34" s="685"/>
      <c r="O34" s="685">
        <f>Resultados!J75</f>
        <v>0</v>
      </c>
      <c r="P34" s="685"/>
      <c r="Q34" s="685"/>
      <c r="R34" s="685"/>
      <c r="S34" s="667">
        <f>Resultados!L75</f>
        <v>0</v>
      </c>
      <c r="T34" s="667"/>
      <c r="U34" s="667"/>
      <c r="V34" s="667"/>
      <c r="W34" s="667">
        <f>Resultados!AA28</f>
        <v>0</v>
      </c>
      <c r="X34" s="667"/>
      <c r="Y34" s="667"/>
      <c r="Z34" s="667"/>
      <c r="AA34" s="667"/>
    </row>
    <row r="35" spans="2:34" x14ac:dyDescent="0.3">
      <c r="C35" s="681">
        <v>7</v>
      </c>
      <c r="D35" s="682"/>
      <c r="E35" s="682"/>
      <c r="F35" s="683"/>
      <c r="G35" s="685">
        <f>Resultados!B74</f>
        <v>0</v>
      </c>
      <c r="H35" s="685"/>
      <c r="I35" s="685"/>
      <c r="J35" s="685"/>
      <c r="K35" s="685">
        <f>Resultados!C74</f>
        <v>0</v>
      </c>
      <c r="L35" s="685"/>
      <c r="M35" s="685"/>
      <c r="N35" s="685"/>
      <c r="O35" s="685">
        <f>Resultados!J74</f>
        <v>0</v>
      </c>
      <c r="P35" s="685"/>
      <c r="Q35" s="685"/>
      <c r="R35" s="685"/>
      <c r="S35" s="667">
        <f>Resultados!L74</f>
        <v>0</v>
      </c>
      <c r="T35" s="667"/>
      <c r="U35" s="667"/>
      <c r="V35" s="667"/>
      <c r="W35" s="667">
        <f>Resultados!AA27</f>
        <v>8.1653738961665283</v>
      </c>
      <c r="X35" s="667"/>
      <c r="Y35" s="667"/>
      <c r="Z35" s="667"/>
      <c r="AA35" s="667"/>
    </row>
    <row r="36" spans="2:34" ht="9" customHeight="1" x14ac:dyDescent="0.3"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</row>
    <row r="37" spans="2:34" x14ac:dyDescent="0.3">
      <c r="C37" s="336"/>
      <c r="D37" s="694" t="s">
        <v>685</v>
      </c>
      <c r="E37" s="694"/>
      <c r="F37" s="694"/>
      <c r="G37" s="694"/>
      <c r="H37" s="694"/>
      <c r="I37" s="694"/>
      <c r="J37" s="694"/>
      <c r="K37" s="694"/>
      <c r="L37" s="694"/>
      <c r="M37" s="694"/>
      <c r="N37" s="694"/>
      <c r="O37" s="336"/>
      <c r="P37" s="333"/>
      <c r="Q37" s="333"/>
      <c r="R37" s="571" t="s">
        <v>686</v>
      </c>
      <c r="S37" s="571"/>
      <c r="T37" s="571"/>
      <c r="U37" s="571"/>
      <c r="V37" s="571"/>
      <c r="W37" s="571"/>
      <c r="X37" s="571"/>
      <c r="Y37" s="571"/>
      <c r="Z37" s="571"/>
      <c r="AA37" s="571"/>
    </row>
    <row r="38" spans="2:34" ht="15" customHeight="1" x14ac:dyDescent="0.3">
      <c r="B38" s="688" t="s">
        <v>687</v>
      </c>
      <c r="C38" s="688"/>
      <c r="D38" s="688"/>
      <c r="E38" s="674" t="s">
        <v>672</v>
      </c>
      <c r="F38" s="674"/>
      <c r="G38" s="674"/>
      <c r="H38" s="674" t="s">
        <v>688</v>
      </c>
      <c r="I38" s="674"/>
      <c r="J38" s="674"/>
      <c r="K38" s="674"/>
      <c r="L38" s="670" t="s">
        <v>683</v>
      </c>
      <c r="M38" s="670"/>
      <c r="N38" s="670"/>
      <c r="O38" s="670"/>
      <c r="P38" s="333"/>
      <c r="Q38" s="670" t="s">
        <v>687</v>
      </c>
      <c r="R38" s="670"/>
      <c r="S38" s="670"/>
      <c r="T38" s="674" t="s">
        <v>672</v>
      </c>
      <c r="U38" s="674"/>
      <c r="V38" s="674"/>
      <c r="W38" s="674" t="s">
        <v>688</v>
      </c>
      <c r="X38" s="674"/>
      <c r="Y38" s="674"/>
      <c r="Z38" s="689" t="s">
        <v>683</v>
      </c>
      <c r="AA38" s="689"/>
      <c r="AB38" s="689"/>
    </row>
    <row r="39" spans="2:34" x14ac:dyDescent="0.3">
      <c r="B39" s="688"/>
      <c r="C39" s="688"/>
      <c r="D39" s="688"/>
      <c r="E39" s="674"/>
      <c r="F39" s="674"/>
      <c r="G39" s="674"/>
      <c r="H39" s="674"/>
      <c r="I39" s="674"/>
      <c r="J39" s="674"/>
      <c r="K39" s="674"/>
      <c r="L39" s="670"/>
      <c r="M39" s="670"/>
      <c r="N39" s="670"/>
      <c r="O39" s="670"/>
      <c r="P39" s="327"/>
      <c r="Q39" s="670"/>
      <c r="R39" s="670"/>
      <c r="S39" s="670"/>
      <c r="T39" s="674"/>
      <c r="U39" s="674"/>
      <c r="V39" s="674"/>
      <c r="W39" s="674"/>
      <c r="X39" s="674"/>
      <c r="Y39" s="674"/>
      <c r="Z39" s="689"/>
      <c r="AA39" s="689"/>
      <c r="AB39" s="689"/>
      <c r="AG39" s="315"/>
      <c r="AH39" s="315"/>
    </row>
    <row r="40" spans="2:34" x14ac:dyDescent="0.3">
      <c r="B40" s="688"/>
      <c r="C40" s="688"/>
      <c r="D40" s="688"/>
      <c r="E40" s="687" t="str">
        <f>Resultados!B20</f>
        <v>(mm)</v>
      </c>
      <c r="F40" s="687"/>
      <c r="G40" s="687"/>
      <c r="H40" s="687" t="str">
        <f>Resultados!K20</f>
        <v>(mm)</v>
      </c>
      <c r="I40" s="687"/>
      <c r="J40" s="687"/>
      <c r="K40" s="687"/>
      <c r="L40" s="687" t="str">
        <f>Resultados!L20</f>
        <v>(μm)</v>
      </c>
      <c r="M40" s="687"/>
      <c r="N40" s="687"/>
      <c r="O40" s="687"/>
      <c r="P40" s="334"/>
      <c r="Q40" s="670"/>
      <c r="R40" s="670"/>
      <c r="S40" s="670"/>
      <c r="T40" s="687" t="str">
        <f>Resultados!C48</f>
        <v>(mm)</v>
      </c>
      <c r="U40" s="687"/>
      <c r="V40" s="687"/>
      <c r="W40" s="687" t="str">
        <f>Resultados!K48</f>
        <v>(mm)</v>
      </c>
      <c r="X40" s="687"/>
      <c r="Y40" s="687"/>
      <c r="Z40" s="687" t="str">
        <f>Resultados!L48</f>
        <v>(μm)</v>
      </c>
      <c r="AA40" s="687"/>
      <c r="AB40" s="687"/>
      <c r="AG40" s="315"/>
      <c r="AH40" s="315"/>
    </row>
    <row r="41" spans="2:34" x14ac:dyDescent="0.3">
      <c r="B41" s="684" t="s">
        <v>94</v>
      </c>
      <c r="C41" s="684"/>
      <c r="D41" s="684"/>
      <c r="E41" s="686">
        <f>Resultados!C21</f>
        <v>0</v>
      </c>
      <c r="F41" s="686"/>
      <c r="G41" s="686"/>
      <c r="H41" s="685">
        <f>Resultados!K21</f>
        <v>0</v>
      </c>
      <c r="I41" s="685"/>
      <c r="J41" s="685"/>
      <c r="K41" s="685"/>
      <c r="L41" s="685">
        <f>Resultados!L21</f>
        <v>0</v>
      </c>
      <c r="M41" s="685"/>
      <c r="N41" s="685"/>
      <c r="O41" s="685"/>
      <c r="P41" s="335"/>
      <c r="Q41" s="684" t="s">
        <v>94</v>
      </c>
      <c r="R41" s="684"/>
      <c r="S41" s="684"/>
      <c r="T41" s="698" t="str">
        <f>Resultados!C49</f>
        <v>N/A</v>
      </c>
      <c r="U41" s="698"/>
      <c r="V41" s="698"/>
      <c r="W41" s="698">
        <f>Resultados!K49</f>
        <v>0</v>
      </c>
      <c r="X41" s="698"/>
      <c r="Y41" s="698"/>
      <c r="Z41" s="698">
        <f>Resultados!L49</f>
        <v>0</v>
      </c>
      <c r="AA41" s="698"/>
      <c r="AB41" s="698"/>
      <c r="AG41" s="315"/>
      <c r="AH41" s="315"/>
    </row>
    <row r="42" spans="2:34" x14ac:dyDescent="0.3">
      <c r="B42" s="684" t="s">
        <v>95</v>
      </c>
      <c r="C42" s="684"/>
      <c r="D42" s="684"/>
      <c r="E42" s="686"/>
      <c r="F42" s="686"/>
      <c r="G42" s="686"/>
      <c r="H42" s="685">
        <f>Resultados!K22</f>
        <v>0</v>
      </c>
      <c r="I42" s="685"/>
      <c r="J42" s="685"/>
      <c r="K42" s="685"/>
      <c r="L42" s="685"/>
      <c r="M42" s="685"/>
      <c r="N42" s="685"/>
      <c r="O42" s="685"/>
      <c r="P42" s="333"/>
      <c r="Q42" s="684" t="s">
        <v>95</v>
      </c>
      <c r="R42" s="684"/>
      <c r="S42" s="684"/>
      <c r="T42" s="698"/>
      <c r="U42" s="698"/>
      <c r="V42" s="698"/>
      <c r="W42" s="699">
        <f>Resultados!K50</f>
        <v>0</v>
      </c>
      <c r="X42" s="699"/>
      <c r="Y42" s="699"/>
      <c r="Z42" s="698"/>
      <c r="AA42" s="698"/>
      <c r="AB42" s="698"/>
      <c r="AG42" s="315"/>
      <c r="AH42" s="315"/>
    </row>
    <row r="43" spans="2:34" x14ac:dyDescent="0.3">
      <c r="B43" s="684" t="s">
        <v>94</v>
      </c>
      <c r="C43" s="684"/>
      <c r="D43" s="684"/>
      <c r="E43" s="686">
        <f>Resultados!C23</f>
        <v>0</v>
      </c>
      <c r="F43" s="686"/>
      <c r="G43" s="686"/>
      <c r="H43" s="685">
        <f>Resultados!K23</f>
        <v>0</v>
      </c>
      <c r="I43" s="685"/>
      <c r="J43" s="685"/>
      <c r="K43" s="685"/>
      <c r="L43" s="685">
        <f>Resultados!L23</f>
        <v>0</v>
      </c>
      <c r="M43" s="685"/>
      <c r="N43" s="685"/>
      <c r="O43" s="685"/>
      <c r="P43" s="333"/>
      <c r="Q43" s="1"/>
      <c r="R43" s="1"/>
      <c r="S43" s="1"/>
      <c r="T43" s="150"/>
      <c r="U43" s="150"/>
      <c r="V43" s="150"/>
      <c r="W43" s="150"/>
      <c r="X43" s="150"/>
      <c r="Y43" s="150"/>
      <c r="Z43" s="150"/>
      <c r="AA43" s="150"/>
      <c r="AB43" s="150"/>
      <c r="AG43" s="315"/>
      <c r="AH43" s="315"/>
    </row>
    <row r="44" spans="2:34" ht="15" customHeight="1" x14ac:dyDescent="0.3">
      <c r="B44" s="684" t="s">
        <v>95</v>
      </c>
      <c r="C44" s="684"/>
      <c r="D44" s="684"/>
      <c r="E44" s="686"/>
      <c r="F44" s="686"/>
      <c r="G44" s="686"/>
      <c r="H44" s="685">
        <f>Resultados!K24</f>
        <v>0</v>
      </c>
      <c r="I44" s="685"/>
      <c r="J44" s="685"/>
      <c r="K44" s="685"/>
      <c r="L44" s="685"/>
      <c r="M44" s="685"/>
      <c r="N44" s="685"/>
      <c r="O44" s="685"/>
      <c r="Q44" s="1"/>
      <c r="R44" s="1"/>
      <c r="S44" s="1"/>
      <c r="T44" s="150"/>
      <c r="U44" s="150"/>
      <c r="V44" s="150"/>
      <c r="W44" s="150"/>
      <c r="X44" s="150"/>
      <c r="Y44" s="150"/>
      <c r="Z44" s="150"/>
      <c r="AA44" s="150"/>
      <c r="AB44" s="150"/>
      <c r="AG44" s="315"/>
      <c r="AH44" s="315"/>
    </row>
    <row r="45" spans="2:34" x14ac:dyDescent="0.3">
      <c r="B45" s="684" t="s">
        <v>94</v>
      </c>
      <c r="C45" s="684"/>
      <c r="D45" s="684"/>
      <c r="E45" s="686">
        <f>Resultados!C25</f>
        <v>0</v>
      </c>
      <c r="F45" s="686"/>
      <c r="G45" s="686"/>
      <c r="H45" s="685">
        <f>Resultados!K25</f>
        <v>0</v>
      </c>
      <c r="I45" s="685"/>
      <c r="J45" s="685"/>
      <c r="K45" s="685"/>
      <c r="L45" s="685">
        <f>Resultados!L25</f>
        <v>0</v>
      </c>
      <c r="M45" s="685"/>
      <c r="N45" s="685"/>
      <c r="O45" s="685"/>
      <c r="P45" s="334"/>
      <c r="Q45" s="1"/>
      <c r="R45" s="1"/>
      <c r="S45" s="1"/>
      <c r="T45" s="150"/>
      <c r="U45" s="150"/>
      <c r="V45" s="150"/>
      <c r="W45" s="150"/>
      <c r="X45" s="150"/>
      <c r="Y45" s="150"/>
      <c r="Z45" s="150"/>
      <c r="AA45" s="150"/>
      <c r="AB45" s="150"/>
    </row>
    <row r="46" spans="2:34" x14ac:dyDescent="0.3">
      <c r="B46" s="684" t="s">
        <v>95</v>
      </c>
      <c r="C46" s="684"/>
      <c r="D46" s="684"/>
      <c r="E46" s="686"/>
      <c r="F46" s="686"/>
      <c r="G46" s="686"/>
      <c r="H46" s="685">
        <f>Resultados!K26</f>
        <v>0</v>
      </c>
      <c r="I46" s="685"/>
      <c r="J46" s="685"/>
      <c r="K46" s="685"/>
      <c r="L46" s="685"/>
      <c r="M46" s="685"/>
      <c r="N46" s="685"/>
      <c r="O46" s="685"/>
      <c r="P46" s="335"/>
      <c r="Q46" s="1"/>
      <c r="R46" s="1"/>
      <c r="S46" s="1"/>
      <c r="T46" s="150"/>
      <c r="U46" s="150"/>
      <c r="V46" s="150"/>
      <c r="W46" s="150"/>
      <c r="X46" s="150"/>
      <c r="Y46" s="150"/>
      <c r="Z46" s="150"/>
      <c r="AA46" s="150"/>
      <c r="AB46" s="150"/>
      <c r="AG46" s="319"/>
      <c r="AH46" s="315"/>
    </row>
    <row r="47" spans="2:34" x14ac:dyDescent="0.3">
      <c r="B47" s="684" t="s">
        <v>94</v>
      </c>
      <c r="C47" s="684"/>
      <c r="D47" s="684"/>
      <c r="E47" s="686">
        <f>Resultados!C27</f>
        <v>0</v>
      </c>
      <c r="F47" s="686"/>
      <c r="G47" s="686"/>
      <c r="H47" s="685">
        <f>Resultados!K27</f>
        <v>0</v>
      </c>
      <c r="I47" s="685"/>
      <c r="J47" s="685"/>
      <c r="K47" s="685"/>
      <c r="L47" s="685">
        <f>Resultados!L27</f>
        <v>0</v>
      </c>
      <c r="M47" s="685"/>
      <c r="N47" s="685"/>
      <c r="O47" s="685"/>
      <c r="P47" s="333"/>
      <c r="Q47" s="333"/>
      <c r="R47" s="333"/>
      <c r="S47" s="333"/>
      <c r="T47" s="333"/>
      <c r="U47" s="324"/>
      <c r="V47" s="324"/>
    </row>
    <row r="48" spans="2:34" x14ac:dyDescent="0.3">
      <c r="B48" s="684" t="s">
        <v>95</v>
      </c>
      <c r="C48" s="684"/>
      <c r="D48" s="684"/>
      <c r="E48" s="686"/>
      <c r="F48" s="686"/>
      <c r="G48" s="686"/>
      <c r="H48" s="685">
        <f>Resultados!K28</f>
        <v>0</v>
      </c>
      <c r="I48" s="685"/>
      <c r="J48" s="685"/>
      <c r="K48" s="685"/>
      <c r="L48" s="685"/>
      <c r="M48" s="685"/>
      <c r="N48" s="685"/>
      <c r="O48" s="685"/>
      <c r="P48" s="333"/>
      <c r="Q48" s="333"/>
      <c r="R48" s="333"/>
      <c r="S48" s="333"/>
      <c r="T48" s="333"/>
      <c r="U48" s="324"/>
      <c r="V48" s="324"/>
    </row>
    <row r="49" spans="2:28" x14ac:dyDescent="0.3">
      <c r="B49" s="684" t="s">
        <v>94</v>
      </c>
      <c r="C49" s="684"/>
      <c r="D49" s="684"/>
      <c r="E49" s="686">
        <f>Resultados!C29</f>
        <v>0</v>
      </c>
      <c r="F49" s="686"/>
      <c r="G49" s="686"/>
      <c r="H49" s="685">
        <f>Resultados!K29</f>
        <v>0</v>
      </c>
      <c r="I49" s="685"/>
      <c r="J49" s="685"/>
      <c r="K49" s="685"/>
      <c r="L49" s="685">
        <f>Resultados!L29</f>
        <v>0</v>
      </c>
      <c r="M49" s="685"/>
      <c r="N49" s="685"/>
      <c r="O49" s="685"/>
      <c r="P49" s="328"/>
      <c r="Q49" s="328"/>
      <c r="R49" s="328"/>
      <c r="S49" s="328"/>
      <c r="T49" s="328"/>
      <c r="U49" s="324"/>
      <c r="V49" s="324"/>
    </row>
    <row r="50" spans="2:28" x14ac:dyDescent="0.3">
      <c r="B50" s="684" t="s">
        <v>95</v>
      </c>
      <c r="C50" s="684"/>
      <c r="D50" s="684"/>
      <c r="E50" s="686"/>
      <c r="F50" s="686"/>
      <c r="G50" s="686"/>
      <c r="H50" s="685">
        <f>Resultados!K30</f>
        <v>0</v>
      </c>
      <c r="I50" s="685"/>
      <c r="J50" s="685"/>
      <c r="K50" s="685"/>
      <c r="L50" s="685"/>
      <c r="M50" s="685"/>
      <c r="N50" s="685"/>
      <c r="O50" s="685"/>
      <c r="P50" s="328"/>
      <c r="Q50" s="328"/>
      <c r="R50" s="328"/>
      <c r="S50" s="328"/>
      <c r="T50" s="328"/>
      <c r="U50" s="324"/>
      <c r="V50" s="324"/>
    </row>
    <row r="51" spans="2:28" ht="14.4" hidden="1" customHeight="1" x14ac:dyDescent="0.3">
      <c r="B51" s="684" t="s">
        <v>94</v>
      </c>
      <c r="C51" s="684"/>
      <c r="D51" s="684"/>
      <c r="E51" s="686">
        <f>Resultados!C31</f>
        <v>0</v>
      </c>
      <c r="F51" s="686"/>
      <c r="G51" s="686"/>
      <c r="H51" s="685" t="e">
        <f>[5]Resultados!#REF!</f>
        <v>#REF!</v>
      </c>
      <c r="I51" s="685"/>
      <c r="J51" s="685"/>
      <c r="K51" s="685"/>
      <c r="L51" s="685">
        <f>Resultados!L31</f>
        <v>0</v>
      </c>
      <c r="M51" s="685"/>
      <c r="N51" s="685"/>
      <c r="O51" s="685"/>
      <c r="P51" s="328"/>
      <c r="Q51" s="328"/>
      <c r="R51" s="328"/>
      <c r="S51" s="328"/>
      <c r="T51" s="328"/>
      <c r="U51" s="324"/>
      <c r="V51" s="324"/>
    </row>
    <row r="52" spans="2:28" ht="14.4" hidden="1" customHeight="1" x14ac:dyDescent="0.3">
      <c r="B52" s="684" t="s">
        <v>95</v>
      </c>
      <c r="C52" s="684"/>
      <c r="D52" s="684"/>
      <c r="E52" s="686"/>
      <c r="F52" s="686"/>
      <c r="G52" s="686"/>
      <c r="H52" s="685" t="e">
        <f>[5]Resultados!#REF!</f>
        <v>#REF!</v>
      </c>
      <c r="I52" s="685"/>
      <c r="J52" s="685"/>
      <c r="K52" s="685"/>
      <c r="L52" s="685"/>
      <c r="M52" s="685"/>
      <c r="N52" s="685"/>
      <c r="O52" s="685"/>
      <c r="P52" s="328"/>
      <c r="Q52" s="328"/>
      <c r="R52" s="328"/>
      <c r="S52" s="328"/>
      <c r="T52" s="328"/>
      <c r="U52" s="324"/>
      <c r="V52" s="324"/>
    </row>
    <row r="53" spans="2:28" x14ac:dyDescent="0.3">
      <c r="B53" s="684" t="s">
        <v>94</v>
      </c>
      <c r="C53" s="684"/>
      <c r="D53" s="684"/>
      <c r="E53" s="686">
        <f>Resultados!C31</f>
        <v>0</v>
      </c>
      <c r="F53" s="686"/>
      <c r="G53" s="686"/>
      <c r="H53" s="685">
        <f>Resultados!K31</f>
        <v>0</v>
      </c>
      <c r="I53" s="685"/>
      <c r="J53" s="685"/>
      <c r="K53" s="685"/>
      <c r="L53" s="685">
        <f>Resultados!L31</f>
        <v>0</v>
      </c>
      <c r="M53" s="685"/>
      <c r="N53" s="685"/>
      <c r="O53" s="685"/>
      <c r="P53" s="328"/>
      <c r="Q53" s="328"/>
      <c r="R53" s="328"/>
      <c r="S53" s="328"/>
      <c r="T53" s="328"/>
      <c r="U53" s="324"/>
      <c r="V53" s="324"/>
    </row>
    <row r="54" spans="2:28" x14ac:dyDescent="0.3">
      <c r="B54" s="684" t="s">
        <v>95</v>
      </c>
      <c r="C54" s="684"/>
      <c r="D54" s="684"/>
      <c r="E54" s="686"/>
      <c r="F54" s="686"/>
      <c r="G54" s="686"/>
      <c r="H54" s="685">
        <f>Resultados!K32</f>
        <v>0</v>
      </c>
      <c r="I54" s="685"/>
      <c r="J54" s="685"/>
      <c r="K54" s="685"/>
      <c r="L54" s="685"/>
      <c r="M54" s="685"/>
      <c r="N54" s="685"/>
      <c r="O54" s="685"/>
    </row>
    <row r="57" spans="2:28" x14ac:dyDescent="0.3">
      <c r="E57" s="315"/>
      <c r="F57" s="327"/>
      <c r="G57" s="327"/>
      <c r="H57" s="327"/>
      <c r="I57" s="327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4"/>
      <c r="V57" s="324"/>
    </row>
    <row r="58" spans="2:28" x14ac:dyDescent="0.3">
      <c r="E58" s="315"/>
      <c r="F58" s="327"/>
      <c r="G58" s="327"/>
      <c r="H58" s="327"/>
      <c r="I58" s="327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4"/>
      <c r="V58" s="324"/>
    </row>
    <row r="59" spans="2:28" x14ac:dyDescent="0.3">
      <c r="E59" s="315"/>
      <c r="F59" s="327"/>
      <c r="G59" s="327"/>
      <c r="H59" s="327"/>
      <c r="I59" s="327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4"/>
      <c r="V59" s="324"/>
    </row>
    <row r="60" spans="2:28" x14ac:dyDescent="0.3">
      <c r="E60" s="315"/>
      <c r="F60" s="327"/>
      <c r="G60" s="327"/>
      <c r="H60" s="327"/>
      <c r="I60" s="327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4"/>
      <c r="V60" s="324"/>
    </row>
    <row r="61" spans="2:28" x14ac:dyDescent="0.3">
      <c r="E61" s="315"/>
      <c r="F61" s="327"/>
      <c r="G61" s="327"/>
      <c r="H61" s="327"/>
      <c r="I61" s="327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4"/>
      <c r="V61" s="324"/>
    </row>
    <row r="62" spans="2:28" x14ac:dyDescent="0.3">
      <c r="E62" s="315"/>
      <c r="F62" s="327"/>
      <c r="G62" s="327"/>
      <c r="H62" s="327"/>
      <c r="I62" s="327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4"/>
      <c r="V62" s="324"/>
    </row>
    <row r="63" spans="2:28" x14ac:dyDescent="0.3">
      <c r="E63" s="315"/>
      <c r="F63" s="327"/>
      <c r="G63" s="327"/>
      <c r="H63" s="327"/>
      <c r="I63" s="327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4"/>
      <c r="V63" s="324"/>
    </row>
    <row r="64" spans="2:28" x14ac:dyDescent="0.3">
      <c r="B64" s="319" t="s">
        <v>671</v>
      </c>
      <c r="C64" s="323"/>
      <c r="D64" s="322"/>
      <c r="E64" s="322"/>
      <c r="F64" s="322"/>
      <c r="G64" s="315"/>
      <c r="H64" s="315"/>
      <c r="I64" s="315"/>
      <c r="J64" s="315"/>
      <c r="K64" s="315"/>
      <c r="L64" s="315"/>
      <c r="M64" s="315"/>
      <c r="Q64" s="321"/>
      <c r="R64" s="668" t="str">
        <f>Q8</f>
        <v>NI-MC-D-1233-2023</v>
      </c>
      <c r="S64" s="668"/>
      <c r="T64" s="668"/>
      <c r="U64" s="668"/>
      <c r="V64" s="668"/>
      <c r="W64" s="668"/>
      <c r="X64" s="668"/>
      <c r="Y64" s="668"/>
      <c r="Z64" s="668"/>
      <c r="AA64" s="668"/>
      <c r="AB64" s="668"/>
    </row>
    <row r="65" spans="1:29" x14ac:dyDescent="0.3">
      <c r="A65" s="345"/>
      <c r="B65" s="345"/>
      <c r="C65" s="345"/>
      <c r="D65" s="345"/>
      <c r="E65" s="326"/>
      <c r="F65" s="325"/>
      <c r="G65" s="346"/>
      <c r="H65" s="32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</row>
    <row r="66" spans="1:29" x14ac:dyDescent="0.3">
      <c r="A66" s="319" t="s">
        <v>670</v>
      </c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</row>
    <row r="67" spans="1:29" x14ac:dyDescent="0.3">
      <c r="C67" s="676" t="s">
        <v>669</v>
      </c>
      <c r="D67" s="676"/>
      <c r="E67" s="676"/>
      <c r="F67" s="676"/>
      <c r="G67" s="669">
        <f>AVERAGE(Identificaciones!B44,Identificaciones!D44)</f>
        <v>22.35</v>
      </c>
      <c r="H67" s="669"/>
      <c r="I67" s="325" t="s">
        <v>10</v>
      </c>
      <c r="J67" s="669">
        <f>IF(Resultados!S52=1,AVERAGE(Resultados!X55,Resultados!Z55),IF(Resultados!S52=2,AVERAGE(Resultados!X56,Resultados!Z56),IF(Resultados!S52=3,AVERAGE(Resultados!X57,Resultados!Z57),"Error")))</f>
        <v>0.45</v>
      </c>
      <c r="K67" s="669"/>
      <c r="L67" s="314" t="s">
        <v>667</v>
      </c>
      <c r="M67" s="664" t="s">
        <v>175</v>
      </c>
      <c r="N67" s="664"/>
      <c r="O67" s="324"/>
    </row>
    <row r="68" spans="1:29" x14ac:dyDescent="0.3">
      <c r="A68" s="676" t="s">
        <v>668</v>
      </c>
      <c r="B68" s="676"/>
      <c r="C68" s="676"/>
      <c r="D68" s="676"/>
      <c r="E68" s="676"/>
      <c r="F68" s="676"/>
      <c r="G68" s="669">
        <f>AVERAGE(Identificaciones!B45,Identificaciones!D45)</f>
        <v>58</v>
      </c>
      <c r="H68" s="669"/>
      <c r="I68" s="325" t="s">
        <v>10</v>
      </c>
      <c r="J68" s="669">
        <f>IF(Resultados!S52=1,AVERAGE(Resultados!Y55,Resultados!AA55),IF(Resultados!S52=2,AVERAGE(Resultados!Y56,Resultados!AA56),IF(Resultados!S52=3,AVERAGE(Resultados!Y57,Resultados!AA57),"Error")))</f>
        <v>2.35</v>
      </c>
      <c r="K68" s="669"/>
      <c r="L68" s="314" t="s">
        <v>667</v>
      </c>
      <c r="M68" s="664" t="s">
        <v>666</v>
      </c>
      <c r="N68" s="664"/>
      <c r="O68" s="324"/>
    </row>
    <row r="69" spans="1:29" x14ac:dyDescent="0.3">
      <c r="A69" s="375"/>
      <c r="B69" s="375"/>
      <c r="C69" s="375"/>
      <c r="D69" s="375"/>
      <c r="E69" s="375"/>
      <c r="F69" s="346"/>
      <c r="G69" s="346"/>
      <c r="H69" s="325"/>
      <c r="I69" s="346"/>
      <c r="J69" s="346"/>
      <c r="L69" s="345"/>
      <c r="M69" s="345"/>
      <c r="N69" s="324"/>
      <c r="O69" s="324"/>
      <c r="P69" s="324"/>
      <c r="Q69" s="324"/>
      <c r="R69" s="324"/>
      <c r="S69" s="324"/>
    </row>
    <row r="70" spans="1:29" ht="15" customHeight="1" x14ac:dyDescent="0.3">
      <c r="A70" s="319" t="s">
        <v>665</v>
      </c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</row>
    <row r="71" spans="1:29" ht="15" customHeight="1" x14ac:dyDescent="0.3">
      <c r="A71" s="675" t="s">
        <v>844</v>
      </c>
      <c r="B71" s="675"/>
      <c r="C71" s="675"/>
      <c r="D71" s="675"/>
      <c r="E71" s="675"/>
      <c r="F71" s="675"/>
      <c r="G71" s="675"/>
      <c r="H71" s="675"/>
      <c r="I71" s="675"/>
      <c r="J71" s="675"/>
      <c r="K71" s="675"/>
      <c r="L71" s="675"/>
      <c r="M71" s="675"/>
      <c r="N71" s="675"/>
      <c r="O71" s="675"/>
      <c r="P71" s="675"/>
      <c r="Q71" s="675"/>
      <c r="R71" s="675"/>
      <c r="S71" s="675"/>
      <c r="T71" s="675"/>
      <c r="U71" s="675"/>
      <c r="V71" s="675"/>
      <c r="W71" s="675"/>
      <c r="X71" s="675"/>
      <c r="Y71" s="675"/>
      <c r="Z71" s="675"/>
      <c r="AA71" s="675"/>
      <c r="AB71" s="675"/>
      <c r="AC71" s="675"/>
    </row>
    <row r="72" spans="1:29" x14ac:dyDescent="0.3">
      <c r="A72" s="319"/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</row>
    <row r="73" spans="1:29" x14ac:dyDescent="0.3">
      <c r="A73" s="319" t="s">
        <v>664</v>
      </c>
      <c r="B73" s="317"/>
      <c r="C73" s="317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</row>
    <row r="74" spans="1:29" ht="15" customHeight="1" x14ac:dyDescent="0.3">
      <c r="A74" s="675" t="s">
        <v>663</v>
      </c>
      <c r="B74" s="675"/>
      <c r="C74" s="675"/>
      <c r="D74" s="675"/>
      <c r="E74" s="675"/>
      <c r="F74" s="675"/>
      <c r="G74" s="675"/>
      <c r="H74" s="675"/>
      <c r="I74" s="675"/>
      <c r="J74" s="675"/>
      <c r="K74" s="675"/>
      <c r="L74" s="675"/>
      <c r="M74" s="675"/>
      <c r="N74" s="675"/>
      <c r="O74" s="675"/>
      <c r="P74" s="675"/>
      <c r="Q74" s="675"/>
      <c r="R74" s="675"/>
      <c r="S74" s="675"/>
      <c r="T74" s="675"/>
      <c r="U74" s="675"/>
      <c r="V74" s="675"/>
      <c r="W74" s="675"/>
      <c r="X74" s="675"/>
      <c r="Y74" s="675"/>
      <c r="Z74" s="675"/>
      <c r="AA74" s="675"/>
      <c r="AB74" s="675"/>
      <c r="AC74" s="675"/>
    </row>
    <row r="75" spans="1:29" x14ac:dyDescent="0.3">
      <c r="A75" s="675"/>
      <c r="B75" s="675"/>
      <c r="C75" s="675"/>
      <c r="D75" s="675"/>
      <c r="E75" s="675"/>
      <c r="F75" s="675"/>
      <c r="G75" s="675"/>
      <c r="H75" s="675"/>
      <c r="I75" s="675"/>
      <c r="J75" s="675"/>
      <c r="K75" s="675"/>
      <c r="L75" s="675"/>
      <c r="M75" s="675"/>
      <c r="N75" s="675"/>
      <c r="O75" s="675"/>
      <c r="P75" s="675"/>
      <c r="Q75" s="675"/>
      <c r="R75" s="675"/>
      <c r="S75" s="675"/>
      <c r="T75" s="675"/>
      <c r="U75" s="675"/>
      <c r="V75" s="675"/>
      <c r="W75" s="675"/>
      <c r="X75" s="675"/>
      <c r="Y75" s="675"/>
      <c r="Z75" s="675"/>
      <c r="AA75" s="675"/>
      <c r="AB75" s="675"/>
      <c r="AC75" s="675"/>
    </row>
    <row r="76" spans="1:29" x14ac:dyDescent="0.3">
      <c r="A76" s="675"/>
      <c r="B76" s="675"/>
      <c r="C76" s="675"/>
      <c r="D76" s="675"/>
      <c r="E76" s="675"/>
      <c r="F76" s="675"/>
      <c r="G76" s="675"/>
      <c r="H76" s="675"/>
      <c r="I76" s="675"/>
      <c r="J76" s="675"/>
      <c r="K76" s="675"/>
      <c r="L76" s="675"/>
      <c r="M76" s="675"/>
      <c r="N76" s="675"/>
      <c r="O76" s="675"/>
      <c r="P76" s="675"/>
      <c r="Q76" s="675"/>
      <c r="R76" s="675"/>
      <c r="S76" s="675"/>
      <c r="T76" s="675"/>
      <c r="U76" s="675"/>
      <c r="V76" s="675"/>
      <c r="W76" s="675"/>
      <c r="X76" s="675"/>
      <c r="Y76" s="675"/>
      <c r="Z76" s="675"/>
      <c r="AA76" s="675"/>
      <c r="AB76" s="675"/>
      <c r="AC76" s="675"/>
    </row>
    <row r="77" spans="1:29" x14ac:dyDescent="0.3">
      <c r="A77" s="675"/>
      <c r="B77" s="675"/>
      <c r="C77" s="675"/>
      <c r="D77" s="675"/>
      <c r="E77" s="675"/>
      <c r="F77" s="675"/>
      <c r="G77" s="675"/>
      <c r="H77" s="675"/>
      <c r="I77" s="675"/>
      <c r="J77" s="675"/>
      <c r="K77" s="675"/>
      <c r="L77" s="675"/>
      <c r="M77" s="675"/>
      <c r="N77" s="675"/>
      <c r="O77" s="675"/>
      <c r="P77" s="675"/>
      <c r="Q77" s="675"/>
      <c r="R77" s="675"/>
      <c r="S77" s="675"/>
      <c r="T77" s="675"/>
      <c r="U77" s="675"/>
      <c r="V77" s="675"/>
      <c r="W77" s="675"/>
      <c r="X77" s="675"/>
      <c r="Y77" s="675"/>
      <c r="Z77" s="675"/>
      <c r="AA77" s="675"/>
      <c r="AB77" s="675"/>
      <c r="AC77" s="675"/>
    </row>
    <row r="78" spans="1:29" x14ac:dyDescent="0.3">
      <c r="A78" s="675"/>
      <c r="B78" s="675"/>
      <c r="C78" s="675"/>
      <c r="D78" s="675"/>
      <c r="E78" s="675"/>
      <c r="F78" s="675"/>
      <c r="G78" s="675"/>
      <c r="H78" s="675"/>
      <c r="I78" s="675"/>
      <c r="J78" s="675"/>
      <c r="K78" s="675"/>
      <c r="L78" s="675"/>
      <c r="M78" s="675"/>
      <c r="N78" s="675"/>
      <c r="O78" s="675"/>
      <c r="P78" s="675"/>
      <c r="Q78" s="675"/>
      <c r="R78" s="675"/>
      <c r="S78" s="675"/>
      <c r="T78" s="675"/>
      <c r="U78" s="675"/>
      <c r="V78" s="675"/>
      <c r="W78" s="675"/>
      <c r="X78" s="675"/>
      <c r="Y78" s="675"/>
      <c r="Z78" s="675"/>
      <c r="AA78" s="675"/>
      <c r="AB78" s="675"/>
      <c r="AC78" s="675"/>
    </row>
    <row r="79" spans="1:29" x14ac:dyDescent="0.3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  <c r="AA79" s="320"/>
      <c r="AB79" s="320"/>
    </row>
    <row r="80" spans="1:29" x14ac:dyDescent="0.3">
      <c r="A80" s="319" t="s">
        <v>662</v>
      </c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</row>
    <row r="81" spans="1:29" ht="15" customHeight="1" x14ac:dyDescent="0.3">
      <c r="A81" s="690" t="s">
        <v>661</v>
      </c>
      <c r="B81" s="690"/>
      <c r="C81" s="690"/>
      <c r="D81" s="690"/>
      <c r="E81" s="690"/>
      <c r="F81" s="690"/>
      <c r="G81" s="690"/>
      <c r="H81" s="690"/>
      <c r="I81" s="690" t="s">
        <v>591</v>
      </c>
      <c r="J81" s="690"/>
      <c r="K81" s="690"/>
      <c r="L81" s="690"/>
      <c r="M81" s="690" t="s">
        <v>587</v>
      </c>
      <c r="N81" s="690"/>
      <c r="O81" s="690"/>
      <c r="P81" s="690"/>
      <c r="Q81" s="690"/>
      <c r="R81" s="690" t="s">
        <v>660</v>
      </c>
      <c r="S81" s="690"/>
      <c r="T81" s="690"/>
      <c r="U81" s="690"/>
      <c r="V81" s="690"/>
      <c r="W81" s="690"/>
      <c r="X81" s="690" t="s">
        <v>659</v>
      </c>
      <c r="Y81" s="690"/>
      <c r="Z81" s="690"/>
      <c r="AA81" s="690"/>
      <c r="AB81" s="690"/>
      <c r="AC81" s="690"/>
    </row>
    <row r="82" spans="1:29" x14ac:dyDescent="0.3">
      <c r="A82" s="662"/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3">
        <v>45021</v>
      </c>
      <c r="Y82" s="663"/>
      <c r="Z82" s="663"/>
      <c r="AA82" s="663"/>
      <c r="AB82" s="663"/>
      <c r="AC82" s="663"/>
    </row>
    <row r="83" spans="1:29" ht="15" customHeight="1" x14ac:dyDescent="0.3">
      <c r="A83" s="662"/>
      <c r="B83" s="662"/>
      <c r="C83" s="662"/>
      <c r="D83" s="662"/>
      <c r="E83" s="662"/>
      <c r="F83" s="662"/>
      <c r="G83" s="662"/>
      <c r="H83" s="662"/>
      <c r="I83" s="662"/>
      <c r="J83" s="662"/>
      <c r="K83" s="662"/>
      <c r="L83" s="662"/>
      <c r="M83" s="662"/>
      <c r="N83" s="662"/>
      <c r="O83" s="662"/>
      <c r="P83" s="662"/>
      <c r="Q83" s="662"/>
      <c r="R83" s="662"/>
      <c r="S83" s="662"/>
      <c r="T83" s="662"/>
      <c r="U83" s="662"/>
      <c r="V83" s="662"/>
      <c r="W83" s="662"/>
      <c r="X83" s="663">
        <v>45132</v>
      </c>
      <c r="Y83" s="663"/>
      <c r="Z83" s="663"/>
      <c r="AA83" s="663"/>
      <c r="AB83" s="663"/>
      <c r="AC83" s="663"/>
    </row>
    <row r="84" spans="1:29" ht="15" customHeight="1" x14ac:dyDescent="0.3">
      <c r="A84" s="662"/>
      <c r="B84" s="662"/>
      <c r="C84" s="662"/>
      <c r="D84" s="662"/>
      <c r="E84" s="662"/>
      <c r="F84" s="662"/>
      <c r="G84" s="662"/>
      <c r="H84" s="662"/>
      <c r="I84" s="662"/>
      <c r="J84" s="662"/>
      <c r="K84" s="662"/>
      <c r="L84" s="662"/>
      <c r="M84" s="662"/>
      <c r="N84" s="662"/>
      <c r="O84" s="662"/>
      <c r="P84" s="662"/>
      <c r="Q84" s="662"/>
      <c r="R84" s="662"/>
      <c r="S84" s="662"/>
      <c r="T84" s="662"/>
      <c r="U84" s="662"/>
      <c r="V84" s="662"/>
      <c r="W84" s="662"/>
      <c r="X84" s="663">
        <v>45437</v>
      </c>
      <c r="Y84" s="663"/>
      <c r="Z84" s="663"/>
      <c r="AA84" s="663"/>
      <c r="AB84" s="663"/>
      <c r="AC84" s="663"/>
    </row>
    <row r="85" spans="1:29" x14ac:dyDescent="0.3">
      <c r="A85" s="320"/>
      <c r="B85" s="320"/>
      <c r="C85" s="320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</row>
    <row r="86" spans="1:29" x14ac:dyDescent="0.3">
      <c r="A86" s="319" t="s">
        <v>658</v>
      </c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</row>
    <row r="87" spans="1:29" ht="15" customHeight="1" x14ac:dyDescent="0.3">
      <c r="A87" s="316" t="s">
        <v>657</v>
      </c>
      <c r="B87" s="315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7"/>
      <c r="N87" s="317"/>
      <c r="O87" s="317"/>
      <c r="P87" s="317"/>
      <c r="Q87" s="317"/>
      <c r="R87" s="317"/>
      <c r="S87" s="317"/>
      <c r="T87" s="317"/>
      <c r="U87" s="317"/>
      <c r="V87" s="317"/>
      <c r="W87" s="317"/>
      <c r="X87" s="317"/>
      <c r="Y87" s="315"/>
    </row>
    <row r="88" spans="1:29" ht="15" customHeight="1" x14ac:dyDescent="0.3">
      <c r="A88" s="318" t="str">
        <f>'[3]Salida de Datos'!$L$7</f>
        <v>La corrección corresponde al valor del patrón menos las indicación del equipo.</v>
      </c>
      <c r="B88" s="315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7"/>
      <c r="N88" s="317"/>
      <c r="O88" s="317"/>
      <c r="P88" s="317"/>
      <c r="Q88" s="317"/>
      <c r="R88" s="317"/>
      <c r="S88" s="317"/>
      <c r="T88" s="317"/>
      <c r="U88" s="317"/>
      <c r="V88" s="317"/>
      <c r="W88" s="317"/>
      <c r="X88" s="317"/>
      <c r="Y88" s="315"/>
    </row>
    <row r="89" spans="1:29" ht="15" customHeight="1" x14ac:dyDescent="0.3">
      <c r="A89" s="318" t="str">
        <f>'[3]Salida de Datos'!$L$8</f>
        <v>La indicación del equipo corresponde al promedio de 3 mediciones en cada punto de calibración.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17"/>
    </row>
    <row r="90" spans="1:29" x14ac:dyDescent="0.3">
      <c r="A90" s="316" t="s">
        <v>656</v>
      </c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</row>
    <row r="91" spans="1:29" x14ac:dyDescent="0.3">
      <c r="A91" s="316" t="s">
        <v>655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</row>
    <row r="92" spans="1:29" ht="15" customHeight="1" x14ac:dyDescent="0.3">
      <c r="A92" s="316" t="s">
        <v>839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</row>
    <row r="93" spans="1:29" x14ac:dyDescent="0.3">
      <c r="A93" s="316" t="s">
        <v>840</v>
      </c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</row>
    <row r="97" spans="11:20" x14ac:dyDescent="0.3">
      <c r="K97" s="678" t="s">
        <v>654</v>
      </c>
      <c r="L97" s="678"/>
      <c r="M97" s="678"/>
      <c r="N97" s="678"/>
      <c r="O97" s="678"/>
      <c r="P97" s="678"/>
      <c r="Q97" s="678"/>
      <c r="R97" s="678"/>
      <c r="S97" s="678"/>
      <c r="T97" s="678"/>
    </row>
    <row r="98" spans="11:20" x14ac:dyDescent="0.3">
      <c r="K98" s="679" t="str">
        <f>IF($K$97=[3]Generales!F1,[3]Generales!F8,[3]Generales!F7)</f>
        <v>Director Técnico</v>
      </c>
      <c r="L98" s="679"/>
      <c r="M98" s="679"/>
      <c r="N98" s="679"/>
      <c r="O98" s="679"/>
      <c r="P98" s="679"/>
      <c r="Q98" s="679"/>
      <c r="R98" s="679"/>
      <c r="S98" s="679"/>
      <c r="T98" s="679"/>
    </row>
    <row r="99" spans="11:20" x14ac:dyDescent="0.3">
      <c r="K99" s="680" t="s">
        <v>653</v>
      </c>
      <c r="L99" s="680"/>
      <c r="M99" s="680"/>
      <c r="N99" s="680"/>
      <c r="O99" s="680"/>
      <c r="P99" s="680"/>
      <c r="Q99" s="680"/>
      <c r="R99" s="680"/>
      <c r="S99" s="680"/>
      <c r="T99" s="680"/>
    </row>
    <row r="101" spans="11:20" x14ac:dyDescent="0.3">
      <c r="K101" s="677" t="s">
        <v>652</v>
      </c>
      <c r="L101" s="677"/>
      <c r="M101" s="677"/>
      <c r="N101" s="677"/>
      <c r="O101" s="677"/>
      <c r="P101" s="677"/>
      <c r="Q101" s="677"/>
      <c r="R101" s="677"/>
      <c r="S101" s="677"/>
      <c r="T101" s="677"/>
    </row>
  </sheetData>
  <sheetProtection formatCells="0" formatColumns="0" formatRows="0"/>
  <mergeCells count="179">
    <mergeCell ref="Q8:AC8"/>
    <mergeCell ref="Q9:AC9"/>
    <mergeCell ref="Q11:AC11"/>
    <mergeCell ref="Q12:AC12"/>
    <mergeCell ref="Q13:AC13"/>
    <mergeCell ref="Q14:AC14"/>
    <mergeCell ref="N21:X21"/>
    <mergeCell ref="C24:F25"/>
    <mergeCell ref="G24:J25"/>
    <mergeCell ref="K24:N25"/>
    <mergeCell ref="O24:R25"/>
    <mergeCell ref="S24:V25"/>
    <mergeCell ref="W24:AA25"/>
    <mergeCell ref="Q15:AC15"/>
    <mergeCell ref="Q17:AC17"/>
    <mergeCell ref="Q18:AC18"/>
    <mergeCell ref="Q19:AC19"/>
    <mergeCell ref="Q20:AC20"/>
    <mergeCell ref="Q10:AC10"/>
    <mergeCell ref="Q16:R16"/>
    <mergeCell ref="C27:F27"/>
    <mergeCell ref="G27:J27"/>
    <mergeCell ref="K27:N27"/>
    <mergeCell ref="O27:R27"/>
    <mergeCell ref="S27:V27"/>
    <mergeCell ref="W27:AA27"/>
    <mergeCell ref="C26:F26"/>
    <mergeCell ref="G26:J26"/>
    <mergeCell ref="K26:N26"/>
    <mergeCell ref="O26:R26"/>
    <mergeCell ref="S26:V26"/>
    <mergeCell ref="W26:AA26"/>
    <mergeCell ref="C29:F29"/>
    <mergeCell ref="G29:J29"/>
    <mergeCell ref="K29:N29"/>
    <mergeCell ref="O29:R29"/>
    <mergeCell ref="S29:V29"/>
    <mergeCell ref="W29:AA29"/>
    <mergeCell ref="C28:F28"/>
    <mergeCell ref="G28:J28"/>
    <mergeCell ref="K28:N28"/>
    <mergeCell ref="O28:R28"/>
    <mergeCell ref="S28:V28"/>
    <mergeCell ref="W28:AA28"/>
    <mergeCell ref="C31:F31"/>
    <mergeCell ref="G31:J31"/>
    <mergeCell ref="K31:N31"/>
    <mergeCell ref="O31:R31"/>
    <mergeCell ref="S31:V31"/>
    <mergeCell ref="W31:AA31"/>
    <mergeCell ref="C30:F30"/>
    <mergeCell ref="G30:J30"/>
    <mergeCell ref="K30:N30"/>
    <mergeCell ref="O30:R30"/>
    <mergeCell ref="S30:V30"/>
    <mergeCell ref="W30:AA30"/>
    <mergeCell ref="C33:F33"/>
    <mergeCell ref="G33:J33"/>
    <mergeCell ref="K33:N33"/>
    <mergeCell ref="O33:R33"/>
    <mergeCell ref="S33:V33"/>
    <mergeCell ref="W33:AA33"/>
    <mergeCell ref="C32:F32"/>
    <mergeCell ref="G32:J32"/>
    <mergeCell ref="K32:N32"/>
    <mergeCell ref="O32:R32"/>
    <mergeCell ref="S32:V32"/>
    <mergeCell ref="W32:AA32"/>
    <mergeCell ref="C35:F35"/>
    <mergeCell ref="G35:J35"/>
    <mergeCell ref="K35:N35"/>
    <mergeCell ref="O35:R35"/>
    <mergeCell ref="S35:V35"/>
    <mergeCell ref="W35:AA35"/>
    <mergeCell ref="C34:F34"/>
    <mergeCell ref="G34:J34"/>
    <mergeCell ref="K34:N34"/>
    <mergeCell ref="O34:R34"/>
    <mergeCell ref="S34:V34"/>
    <mergeCell ref="W34:AA34"/>
    <mergeCell ref="E40:G40"/>
    <mergeCell ref="H40:K40"/>
    <mergeCell ref="L40:O40"/>
    <mergeCell ref="T40:V40"/>
    <mergeCell ref="W40:Y40"/>
    <mergeCell ref="Z40:AB40"/>
    <mergeCell ref="D37:N37"/>
    <mergeCell ref="R37:AA37"/>
    <mergeCell ref="B38:D40"/>
    <mergeCell ref="E38:G39"/>
    <mergeCell ref="H38:K39"/>
    <mergeCell ref="L38:O39"/>
    <mergeCell ref="Q38:S40"/>
    <mergeCell ref="T38:V39"/>
    <mergeCell ref="W38:Y39"/>
    <mergeCell ref="Z38:AB39"/>
    <mergeCell ref="W41:Y41"/>
    <mergeCell ref="Z41:AB42"/>
    <mergeCell ref="B42:D42"/>
    <mergeCell ref="H42:K42"/>
    <mergeCell ref="Q42:S42"/>
    <mergeCell ref="W42:Y42"/>
    <mergeCell ref="B41:D41"/>
    <mergeCell ref="E41:G42"/>
    <mergeCell ref="H41:K41"/>
    <mergeCell ref="L41:O42"/>
    <mergeCell ref="Q41:S41"/>
    <mergeCell ref="T41:V42"/>
    <mergeCell ref="B44:D44"/>
    <mergeCell ref="H44:K44"/>
    <mergeCell ref="B43:D43"/>
    <mergeCell ref="E43:G44"/>
    <mergeCell ref="H43:K43"/>
    <mergeCell ref="L43:O44"/>
    <mergeCell ref="B46:D46"/>
    <mergeCell ref="H46:K46"/>
    <mergeCell ref="B45:D45"/>
    <mergeCell ref="E45:G46"/>
    <mergeCell ref="H45:K45"/>
    <mergeCell ref="L45:O46"/>
    <mergeCell ref="B49:D49"/>
    <mergeCell ref="E49:G50"/>
    <mergeCell ref="H49:K49"/>
    <mergeCell ref="L49:O50"/>
    <mergeCell ref="B50:D50"/>
    <mergeCell ref="H50:K50"/>
    <mergeCell ref="B47:D47"/>
    <mergeCell ref="E47:G48"/>
    <mergeCell ref="H47:K47"/>
    <mergeCell ref="L47:O48"/>
    <mergeCell ref="B48:D48"/>
    <mergeCell ref="H48:K48"/>
    <mergeCell ref="B53:D53"/>
    <mergeCell ref="E53:G54"/>
    <mergeCell ref="H53:K53"/>
    <mergeCell ref="L53:O54"/>
    <mergeCell ref="B54:D54"/>
    <mergeCell ref="H54:K54"/>
    <mergeCell ref="B51:D51"/>
    <mergeCell ref="E51:G52"/>
    <mergeCell ref="H51:K51"/>
    <mergeCell ref="L51:O52"/>
    <mergeCell ref="B52:D52"/>
    <mergeCell ref="H52:K52"/>
    <mergeCell ref="A71:AC71"/>
    <mergeCell ref="A74:AC78"/>
    <mergeCell ref="A81:H81"/>
    <mergeCell ref="I81:L81"/>
    <mergeCell ref="M81:Q81"/>
    <mergeCell ref="R81:W81"/>
    <mergeCell ref="X81:AC81"/>
    <mergeCell ref="R64:AB64"/>
    <mergeCell ref="C67:F67"/>
    <mergeCell ref="G67:H67"/>
    <mergeCell ref="J67:K67"/>
    <mergeCell ref="M67:N67"/>
    <mergeCell ref="A68:F68"/>
    <mergeCell ref="G68:H68"/>
    <mergeCell ref="J68:K68"/>
    <mergeCell ref="M68:N68"/>
    <mergeCell ref="A82:H82"/>
    <mergeCell ref="I82:L82"/>
    <mergeCell ref="M82:Q82"/>
    <mergeCell ref="R82:W82"/>
    <mergeCell ref="X82:AC82"/>
    <mergeCell ref="A83:H83"/>
    <mergeCell ref="I83:L83"/>
    <mergeCell ref="M83:Q83"/>
    <mergeCell ref="R83:W83"/>
    <mergeCell ref="X83:AC83"/>
    <mergeCell ref="K98:T98"/>
    <mergeCell ref="K99:T99"/>
    <mergeCell ref="K101:T101"/>
    <mergeCell ref="A84:H84"/>
    <mergeCell ref="I84:L84"/>
    <mergeCell ref="M84:Q84"/>
    <mergeCell ref="R84:W84"/>
    <mergeCell ref="X84:AC84"/>
    <mergeCell ref="K97:T97"/>
  </mergeCells>
  <pageMargins left="0.51181102362204722" right="0.31496062992125984" top="0.51181102362204722" bottom="0.51181102362204722" header="0" footer="0.31496062992125984"/>
  <pageSetup orientation="portrait" verticalDpi="4294967293" r:id="rId1"/>
  <headerFooter>
    <oddHeader>&amp;C
&amp;G</oddHeader>
    <oddFooter xml:space="preserve">&amp;C&amp;G&amp;R&amp;7Página &amp;Pde&amp;N&amp;8
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'F:\SGC Vigente 2018-07-08\Clientes\Certificados\2018\Fuera de alcance\Dimensional\[NI-R02-MCIT-D-01 Hoja de calculo de calibradores universales v2 2018-05-21.xlsx]Generales'!#REF!</xm:f>
          </x14:formula1>
          <xm:sqref>K97:T97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O246"/>
  <sheetViews>
    <sheetView showZeros="0" zoomScale="10" zoomScaleNormal="10" workbookViewId="0">
      <selection activeCell="B45" sqref="A38:O55"/>
    </sheetView>
  </sheetViews>
  <sheetFormatPr baseColWidth="10" defaultColWidth="11.44140625" defaultRowHeight="13.2" x14ac:dyDescent="0.25"/>
  <cols>
    <col min="1" max="1" width="3.88671875" style="348" bestFit="1" customWidth="1"/>
    <col min="2" max="2" width="20.44140625" style="348" bestFit="1" customWidth="1"/>
    <col min="3" max="3" width="26.33203125" style="348" customWidth="1"/>
    <col min="4" max="4" width="11.44140625" style="348"/>
    <col min="5" max="5" width="24.33203125" style="348" customWidth="1"/>
    <col min="6" max="6" width="19.44140625" style="348" bestFit="1" customWidth="1"/>
    <col min="7" max="7" width="19.109375" style="348" customWidth="1"/>
    <col min="8" max="8" width="6.6640625" style="348" customWidth="1"/>
    <col min="9" max="9" width="38.33203125" style="348" bestFit="1" customWidth="1"/>
    <col min="10" max="10" width="12" style="348" customWidth="1"/>
    <col min="11" max="11" width="29.6640625" style="348" customWidth="1"/>
    <col min="12" max="12" width="14.5546875" style="348" bestFit="1" customWidth="1"/>
    <col min="13" max="13" width="25.6640625" style="348" bestFit="1" customWidth="1"/>
    <col min="14" max="16384" width="11.44140625" style="348"/>
  </cols>
  <sheetData>
    <row r="1" spans="1:15" x14ac:dyDescent="0.25">
      <c r="A1" s="348" t="s">
        <v>10</v>
      </c>
      <c r="B1" s="349">
        <v>5</v>
      </c>
      <c r="C1" s="349">
        <v>3</v>
      </c>
      <c r="F1" s="349">
        <v>1</v>
      </c>
      <c r="H1" s="349">
        <v>1</v>
      </c>
      <c r="I1" s="348">
        <f>H1-1</f>
        <v>0</v>
      </c>
      <c r="J1" s="349">
        <v>1</v>
      </c>
      <c r="K1" s="348">
        <f>J1-1</f>
        <v>0</v>
      </c>
    </row>
    <row r="2" spans="1:15" x14ac:dyDescent="0.25">
      <c r="B2" s="350" t="s">
        <v>69</v>
      </c>
      <c r="C2" s="350" t="s">
        <v>70</v>
      </c>
      <c r="D2" s="350" t="s">
        <v>71</v>
      </c>
      <c r="F2" s="350" t="s">
        <v>27</v>
      </c>
      <c r="G2" s="351"/>
      <c r="H2" s="700" t="s">
        <v>1</v>
      </c>
      <c r="I2" s="700"/>
      <c r="J2" s="700"/>
      <c r="K2" s="700"/>
      <c r="L2" s="700"/>
      <c r="M2" s="700"/>
      <c r="N2" s="700"/>
      <c r="O2" s="350"/>
    </row>
    <row r="3" spans="1:15" x14ac:dyDescent="0.25">
      <c r="A3" s="352">
        <v>1</v>
      </c>
      <c r="B3" s="348" t="s">
        <v>580</v>
      </c>
      <c r="C3" s="348" t="s">
        <v>583</v>
      </c>
      <c r="D3" s="348" t="s">
        <v>691</v>
      </c>
      <c r="F3" s="348" t="s">
        <v>38</v>
      </c>
      <c r="H3" s="353" t="s">
        <v>60</v>
      </c>
      <c r="I3" s="353" t="s">
        <v>72</v>
      </c>
      <c r="J3" s="353" t="s">
        <v>73</v>
      </c>
      <c r="K3" s="353" t="s">
        <v>2</v>
      </c>
      <c r="L3" s="353" t="s">
        <v>3</v>
      </c>
      <c r="M3" s="353" t="s">
        <v>53</v>
      </c>
      <c r="N3" s="353" t="s">
        <v>74</v>
      </c>
      <c r="O3" s="354"/>
    </row>
    <row r="4" spans="1:15" x14ac:dyDescent="0.25">
      <c r="A4" s="352">
        <v>2</v>
      </c>
      <c r="B4" s="348" t="s">
        <v>581</v>
      </c>
      <c r="F4" s="348" t="s">
        <v>79</v>
      </c>
      <c r="H4" s="353">
        <v>0</v>
      </c>
      <c r="I4" s="353" t="s">
        <v>4</v>
      </c>
      <c r="J4" s="353" t="s">
        <v>4</v>
      </c>
      <c r="K4" s="353"/>
      <c r="L4" s="355"/>
      <c r="M4" s="353" t="s">
        <v>4</v>
      </c>
      <c r="N4" s="353"/>
    </row>
    <row r="5" spans="1:15" x14ac:dyDescent="0.25">
      <c r="A5" s="352">
        <v>3</v>
      </c>
      <c r="B5" s="348" t="s">
        <v>582</v>
      </c>
      <c r="H5" s="356">
        <v>1</v>
      </c>
      <c r="I5" s="355" t="s">
        <v>234</v>
      </c>
      <c r="J5" s="357"/>
      <c r="K5" s="355" t="s">
        <v>419</v>
      </c>
      <c r="L5" s="355" t="s">
        <v>639</v>
      </c>
      <c r="M5" s="358" t="str">
        <f t="shared" ref="M5:M68" si="0">IF(J5="",I5,I5&amp;" ("&amp;J5&amp;")")</f>
        <v xml:space="preserve">A &amp; T Nicaragua, S.A.                                       </v>
      </c>
      <c r="N5" s="359"/>
    </row>
    <row r="6" spans="1:15" x14ac:dyDescent="0.25">
      <c r="A6" s="352">
        <v>4</v>
      </c>
      <c r="B6" s="348" t="s">
        <v>583</v>
      </c>
      <c r="H6" s="356">
        <v>2</v>
      </c>
      <c r="I6" s="355" t="s">
        <v>235</v>
      </c>
      <c r="J6" s="357"/>
      <c r="K6" s="355" t="s">
        <v>420</v>
      </c>
      <c r="L6" s="355" t="s">
        <v>640</v>
      </c>
      <c r="M6" s="358" t="str">
        <f t="shared" si="0"/>
        <v xml:space="preserve">Aceitera EL Real, S.A.                                      </v>
      </c>
      <c r="N6" s="359"/>
    </row>
    <row r="7" spans="1:15" ht="19.2" x14ac:dyDescent="0.25">
      <c r="A7" s="352">
        <v>5</v>
      </c>
      <c r="H7" s="356">
        <v>3</v>
      </c>
      <c r="I7" s="355" t="s">
        <v>236</v>
      </c>
      <c r="J7" s="357"/>
      <c r="K7" s="355" t="s">
        <v>421</v>
      </c>
      <c r="L7" s="355" t="s">
        <v>640</v>
      </c>
      <c r="M7" s="358" t="str">
        <f t="shared" si="0"/>
        <v>ACI-ACN</v>
      </c>
      <c r="N7" s="359"/>
    </row>
    <row r="8" spans="1:15" x14ac:dyDescent="0.25">
      <c r="H8" s="356">
        <v>4</v>
      </c>
      <c r="I8" s="355" t="s">
        <v>237</v>
      </c>
      <c r="J8" s="357"/>
      <c r="K8" s="355" t="s">
        <v>422</v>
      </c>
      <c r="L8" s="355" t="s">
        <v>640</v>
      </c>
      <c r="M8" s="358" t="str">
        <f t="shared" si="0"/>
        <v xml:space="preserve">AGMIN SRL                                                   </v>
      </c>
      <c r="N8" s="359"/>
    </row>
    <row r="9" spans="1:15" x14ac:dyDescent="0.25">
      <c r="H9" s="356">
        <v>5</v>
      </c>
      <c r="I9" s="355" t="s">
        <v>238</v>
      </c>
      <c r="J9" s="360"/>
      <c r="K9" s="355" t="s">
        <v>423</v>
      </c>
      <c r="L9" s="355"/>
      <c r="M9" s="358" t="str">
        <f t="shared" si="0"/>
        <v xml:space="preserve">Agrobiotek Nicaragua, S.A.                                  </v>
      </c>
      <c r="N9" s="361"/>
    </row>
    <row r="10" spans="1:15" ht="19.2" x14ac:dyDescent="0.25">
      <c r="H10" s="356">
        <v>6</v>
      </c>
      <c r="I10" s="355" t="s">
        <v>239</v>
      </c>
      <c r="J10" s="357"/>
      <c r="K10" s="355" t="s">
        <v>424</v>
      </c>
      <c r="L10" s="355"/>
      <c r="M10" s="358" t="str">
        <f t="shared" si="0"/>
        <v>Agrosa - Indegrasa - Harinisa</v>
      </c>
      <c r="N10" s="359"/>
    </row>
    <row r="11" spans="1:15" x14ac:dyDescent="0.25">
      <c r="A11" s="349">
        <v>1</v>
      </c>
      <c r="B11" s="362">
        <f>A11-1</f>
        <v>0</v>
      </c>
      <c r="H11" s="356">
        <v>7</v>
      </c>
      <c r="I11" s="355" t="s">
        <v>240</v>
      </c>
      <c r="J11" s="357"/>
      <c r="K11" s="355" t="s">
        <v>425</v>
      </c>
      <c r="L11" s="355"/>
      <c r="M11" s="358" t="str">
        <f t="shared" si="0"/>
        <v xml:space="preserve">Aje Nicaragua, S.A.                                         </v>
      </c>
      <c r="N11" s="359"/>
    </row>
    <row r="12" spans="1:15" ht="19.2" x14ac:dyDescent="0.25">
      <c r="A12" s="700" t="s">
        <v>40</v>
      </c>
      <c r="B12" s="700"/>
      <c r="C12" s="700"/>
      <c r="D12" s="700"/>
      <c r="E12" s="700"/>
      <c r="H12" s="356">
        <v>8</v>
      </c>
      <c r="I12" s="355" t="s">
        <v>241</v>
      </c>
      <c r="J12" s="357"/>
      <c r="K12" s="355" t="s">
        <v>426</v>
      </c>
      <c r="L12" s="355"/>
      <c r="M12" s="358" t="str">
        <f t="shared" si="0"/>
        <v xml:space="preserve">Alba de Nicaragua, S.A.                                     </v>
      </c>
      <c r="N12" s="359"/>
    </row>
    <row r="13" spans="1:15" ht="19.2" x14ac:dyDescent="0.25">
      <c r="A13" s="701" t="s">
        <v>60</v>
      </c>
      <c r="B13" s="353" t="s">
        <v>41</v>
      </c>
      <c r="C13" s="353" t="s">
        <v>73</v>
      </c>
      <c r="D13" s="701" t="s">
        <v>2</v>
      </c>
      <c r="E13" s="353" t="s">
        <v>54</v>
      </c>
      <c r="H13" s="356">
        <v>9</v>
      </c>
      <c r="I13" s="355" t="s">
        <v>242</v>
      </c>
      <c r="J13" s="357"/>
      <c r="K13" s="355" t="s">
        <v>427</v>
      </c>
      <c r="L13" s="355"/>
      <c r="M13" s="358" t="str">
        <f t="shared" si="0"/>
        <v xml:space="preserve">ALBALINISA                                                  </v>
      </c>
      <c r="N13" s="359"/>
    </row>
    <row r="14" spans="1:15" x14ac:dyDescent="0.25">
      <c r="A14" s="702"/>
      <c r="B14" s="353" t="s">
        <v>4</v>
      </c>
      <c r="C14" s="353" t="s">
        <v>4</v>
      </c>
      <c r="D14" s="702"/>
      <c r="E14" s="353" t="s">
        <v>4</v>
      </c>
      <c r="H14" s="356">
        <v>10</v>
      </c>
      <c r="I14" s="355" t="s">
        <v>243</v>
      </c>
      <c r="J14" s="357"/>
      <c r="K14" s="355" t="s">
        <v>428</v>
      </c>
      <c r="L14" s="355"/>
      <c r="M14" s="358" t="str">
        <f t="shared" si="0"/>
        <v xml:space="preserve">Alfredo Vargas                                         </v>
      </c>
      <c r="N14" s="359"/>
    </row>
    <row r="15" spans="1:15" x14ac:dyDescent="0.25">
      <c r="A15" s="356">
        <v>1</v>
      </c>
      <c r="B15" s="357" t="s">
        <v>51</v>
      </c>
      <c r="C15" s="357" t="s">
        <v>42</v>
      </c>
      <c r="D15" s="355" t="s">
        <v>52</v>
      </c>
      <c r="E15" s="358" t="str">
        <f>C15&amp; IF(B15=C15,"","          -         "&amp; B15)</f>
        <v>NO DISPONIBLE</v>
      </c>
      <c r="H15" s="356">
        <v>11</v>
      </c>
      <c r="I15" s="355" t="s">
        <v>244</v>
      </c>
      <c r="J15" s="357"/>
      <c r="K15" s="355" t="s">
        <v>429</v>
      </c>
      <c r="L15" s="355"/>
      <c r="M15" s="358" t="str">
        <f t="shared" si="0"/>
        <v xml:space="preserve">Alpla  Nicaragua, S.A.                                      </v>
      </c>
      <c r="N15" s="360"/>
    </row>
    <row r="16" spans="1:15" x14ac:dyDescent="0.25">
      <c r="A16" s="356">
        <v>2</v>
      </c>
      <c r="B16" s="357" t="s">
        <v>80</v>
      </c>
      <c r="C16" s="357" t="s">
        <v>80</v>
      </c>
      <c r="D16" s="355"/>
      <c r="E16" s="358" t="str">
        <f>B16&amp; IF(OR(B16=C16,C16=""),"","          -         "&amp; C16)</f>
        <v>Fisher Scientific</v>
      </c>
      <c r="H16" s="356">
        <v>12</v>
      </c>
      <c r="I16" s="355" t="s">
        <v>245</v>
      </c>
      <c r="J16" s="357"/>
      <c r="K16" s="355" t="s">
        <v>430</v>
      </c>
      <c r="L16" s="355"/>
      <c r="M16" s="358" t="str">
        <f t="shared" si="0"/>
        <v xml:space="preserve">Alta Research                                      </v>
      </c>
      <c r="N16" s="360"/>
    </row>
    <row r="17" spans="1:14" x14ac:dyDescent="0.25">
      <c r="A17" s="356">
        <v>3</v>
      </c>
      <c r="B17" s="357" t="s">
        <v>149</v>
      </c>
      <c r="C17" s="357" t="s">
        <v>149</v>
      </c>
      <c r="D17" s="355"/>
      <c r="E17" s="358" t="str">
        <f>B17&amp; IF(OR(B17=C17,C17=""),"","          -         "&amp; C17)</f>
        <v>Fowler&amp;NSK</v>
      </c>
      <c r="H17" s="356">
        <v>13</v>
      </c>
      <c r="I17" s="355" t="s">
        <v>246</v>
      </c>
      <c r="J17" s="357"/>
      <c r="K17" s="355" t="s">
        <v>431</v>
      </c>
      <c r="L17" s="355"/>
      <c r="M17" s="358" t="str">
        <f t="shared" si="0"/>
        <v xml:space="preserve">ANNIC II, S.A.                                              </v>
      </c>
      <c r="N17" s="360"/>
    </row>
    <row r="18" spans="1:14" ht="19.2" x14ac:dyDescent="0.25">
      <c r="A18" s="356">
        <v>4</v>
      </c>
      <c r="B18" s="357" t="s">
        <v>185</v>
      </c>
      <c r="C18" s="357" t="s">
        <v>185</v>
      </c>
      <c r="D18" s="355"/>
      <c r="E18" s="358" t="str">
        <f>B18&amp; IF(OR(B18=C18,C18=""),"","          -         "&amp; C18)</f>
        <v>HARDENED</v>
      </c>
      <c r="H18" s="356">
        <v>14</v>
      </c>
      <c r="I18" s="355" t="s">
        <v>247</v>
      </c>
      <c r="J18" s="357"/>
      <c r="K18" s="355" t="s">
        <v>432</v>
      </c>
      <c r="L18" s="355"/>
      <c r="M18" s="358" t="str">
        <f t="shared" si="0"/>
        <v xml:space="preserve">Arnecom El Salvador S.A. DE C.V.                         </v>
      </c>
      <c r="N18" s="360"/>
    </row>
    <row r="19" spans="1:14" ht="19.2" x14ac:dyDescent="0.25">
      <c r="A19" s="356">
        <v>5</v>
      </c>
      <c r="B19" s="357" t="s">
        <v>34</v>
      </c>
      <c r="C19" s="357" t="s">
        <v>34</v>
      </c>
      <c r="D19" s="355"/>
      <c r="E19" s="358" t="str">
        <f>B19&amp; IF(OR(B19=C19,C19=""),"","          -         "&amp; C19)</f>
        <v>Mitutoyo</v>
      </c>
      <c r="H19" s="356">
        <v>15</v>
      </c>
      <c r="I19" s="355" t="s">
        <v>248</v>
      </c>
      <c r="J19" s="363"/>
      <c r="K19" s="355" t="s">
        <v>433</v>
      </c>
      <c r="L19" s="355"/>
      <c r="M19" s="358" t="str">
        <f t="shared" si="0"/>
        <v xml:space="preserve">Articulos y Construcciones  Eléctricas de Nic, S.A.          </v>
      </c>
      <c r="N19" s="363" t="s">
        <v>197</v>
      </c>
    </row>
    <row r="20" spans="1:14" ht="19.2" x14ac:dyDescent="0.25">
      <c r="A20" s="356">
        <v>6</v>
      </c>
      <c r="B20" s="357" t="s">
        <v>186</v>
      </c>
      <c r="C20" s="357" t="s">
        <v>186</v>
      </c>
      <c r="D20" s="355"/>
      <c r="E20" s="358" t="str">
        <f>B20&amp; IF(OR(B20=C20,C20=""),"","          -         "&amp; C20)</f>
        <v>Truper</v>
      </c>
      <c r="H20" s="356">
        <v>16</v>
      </c>
      <c r="I20" s="355" t="s">
        <v>249</v>
      </c>
      <c r="J20" s="363"/>
      <c r="K20" s="355" t="s">
        <v>434</v>
      </c>
      <c r="L20" s="355"/>
      <c r="M20" s="358" t="str">
        <f t="shared" si="0"/>
        <v xml:space="preserve">Astaldi SPA                                                 </v>
      </c>
      <c r="N20" s="363"/>
    </row>
    <row r="21" spans="1:14" ht="12.75" customHeight="1" x14ac:dyDescent="0.25">
      <c r="A21" s="356">
        <v>7</v>
      </c>
      <c r="B21" s="364"/>
      <c r="C21" s="364"/>
      <c r="D21" s="365"/>
      <c r="E21" s="366" t="str">
        <f t="shared" ref="E21:E24" si="1">B21&amp; IF(OR(B21=C21,C21=""),"","          -         "&amp; C21)</f>
        <v/>
      </c>
      <c r="H21" s="356">
        <v>17</v>
      </c>
      <c r="I21" s="355" t="s">
        <v>250</v>
      </c>
      <c r="J21" s="363"/>
      <c r="K21" s="355" t="s">
        <v>435</v>
      </c>
      <c r="L21" s="355"/>
      <c r="M21" s="358" t="str">
        <f t="shared" si="0"/>
        <v>Básculas y Balanzas</v>
      </c>
      <c r="N21" s="363"/>
    </row>
    <row r="22" spans="1:14" ht="12.75" customHeight="1" x14ac:dyDescent="0.25">
      <c r="A22" s="356">
        <v>8</v>
      </c>
      <c r="B22" s="364"/>
      <c r="C22" s="364"/>
      <c r="D22" s="365"/>
      <c r="E22" s="366" t="str">
        <f t="shared" si="1"/>
        <v/>
      </c>
      <c r="H22" s="356">
        <v>18</v>
      </c>
      <c r="I22" s="355" t="s">
        <v>251</v>
      </c>
      <c r="J22" s="363"/>
      <c r="K22" s="355" t="s">
        <v>436</v>
      </c>
      <c r="L22" s="355"/>
      <c r="M22" s="358" t="str">
        <f t="shared" si="0"/>
        <v xml:space="preserve">Bayer, S.A.                                                 </v>
      </c>
      <c r="N22" s="363"/>
    </row>
    <row r="23" spans="1:14" ht="19.2" x14ac:dyDescent="0.25">
      <c r="A23" s="356">
        <v>9</v>
      </c>
      <c r="B23" s="364"/>
      <c r="C23" s="364"/>
      <c r="D23" s="365"/>
      <c r="E23" s="366" t="str">
        <f t="shared" si="1"/>
        <v/>
      </c>
      <c r="H23" s="356">
        <v>19</v>
      </c>
      <c r="I23" s="355" t="s">
        <v>252</v>
      </c>
      <c r="J23" s="363"/>
      <c r="K23" s="355" t="s">
        <v>437</v>
      </c>
      <c r="L23" s="355"/>
      <c r="M23" s="358" t="str">
        <f t="shared" si="0"/>
        <v>Beneficiadora "OLAM"</v>
      </c>
      <c r="N23" s="363"/>
    </row>
    <row r="24" spans="1:14" ht="19.2" x14ac:dyDescent="0.25">
      <c r="A24" s="356">
        <v>10</v>
      </c>
      <c r="B24" s="364"/>
      <c r="C24" s="364"/>
      <c r="D24" s="365"/>
      <c r="E24" s="366" t="str">
        <f t="shared" si="1"/>
        <v/>
      </c>
      <c r="H24" s="356">
        <v>20</v>
      </c>
      <c r="I24" s="355" t="s">
        <v>253</v>
      </c>
      <c r="J24" s="363"/>
      <c r="K24" s="355" t="s">
        <v>438</v>
      </c>
      <c r="L24" s="355"/>
      <c r="M24" s="358" t="str">
        <f t="shared" si="0"/>
        <v xml:space="preserve">Beneficiadora Norteña de Café, S.A.                         </v>
      </c>
      <c r="N24" s="363"/>
    </row>
    <row r="25" spans="1:14" ht="19.2" x14ac:dyDescent="0.25">
      <c r="H25" s="356">
        <v>21</v>
      </c>
      <c r="I25" s="355" t="s">
        <v>254</v>
      </c>
      <c r="J25" s="363"/>
      <c r="K25" s="355" t="s">
        <v>439</v>
      </c>
      <c r="L25" s="355"/>
      <c r="M25" s="358" t="str">
        <f t="shared" si="0"/>
        <v>Beneficio Las Tejas</v>
      </c>
      <c r="N25" s="363"/>
    </row>
    <row r="26" spans="1:14" x14ac:dyDescent="0.25">
      <c r="H26" s="356">
        <v>22</v>
      </c>
      <c r="I26" s="355" t="s">
        <v>255</v>
      </c>
      <c r="J26" s="363"/>
      <c r="K26" s="355" t="s">
        <v>440</v>
      </c>
      <c r="L26" s="355"/>
      <c r="M26" s="358" t="str">
        <f t="shared" si="0"/>
        <v>Beneficio San Rafael</v>
      </c>
      <c r="N26" s="363"/>
    </row>
    <row r="27" spans="1:14" x14ac:dyDescent="0.25">
      <c r="H27" s="356">
        <v>23</v>
      </c>
      <c r="I27" s="355" t="s">
        <v>256</v>
      </c>
      <c r="J27" s="363"/>
      <c r="K27" s="355" t="s">
        <v>433</v>
      </c>
      <c r="L27" s="355"/>
      <c r="M27" s="358" t="str">
        <f t="shared" si="0"/>
        <v>Biotecnica</v>
      </c>
      <c r="N27" s="363"/>
    </row>
    <row r="28" spans="1:14" x14ac:dyDescent="0.25">
      <c r="H28" s="356">
        <v>24</v>
      </c>
      <c r="I28" s="355" t="s">
        <v>257</v>
      </c>
      <c r="J28" s="363"/>
      <c r="K28" s="355" t="s">
        <v>441</v>
      </c>
      <c r="L28" s="355"/>
      <c r="M28" s="358" t="str">
        <f t="shared" si="0"/>
        <v xml:space="preserve">Biwater International, LTD.                                 </v>
      </c>
      <c r="N28" s="363"/>
    </row>
    <row r="29" spans="1:14" x14ac:dyDescent="0.25">
      <c r="H29" s="356">
        <v>25</v>
      </c>
      <c r="I29" s="355" t="s">
        <v>258</v>
      </c>
      <c r="J29" s="363"/>
      <c r="K29" s="355" t="s">
        <v>442</v>
      </c>
      <c r="L29" s="355"/>
      <c r="M29" s="358" t="str">
        <f t="shared" si="0"/>
        <v xml:space="preserve">Burke Agro                  </v>
      </c>
      <c r="N29" s="363"/>
    </row>
    <row r="30" spans="1:14" x14ac:dyDescent="0.25">
      <c r="H30" s="356">
        <v>26</v>
      </c>
      <c r="I30" s="355" t="s">
        <v>259</v>
      </c>
      <c r="J30" s="363"/>
      <c r="K30" s="355" t="s">
        <v>443</v>
      </c>
      <c r="L30" s="355"/>
      <c r="M30" s="358" t="str">
        <f t="shared" si="0"/>
        <v xml:space="preserve">Café Soluble, S.A.                                          </v>
      </c>
      <c r="N30" s="363"/>
    </row>
    <row r="31" spans="1:14" x14ac:dyDescent="0.25">
      <c r="H31" s="356">
        <v>27</v>
      </c>
      <c r="I31" s="355" t="s">
        <v>260</v>
      </c>
      <c r="J31" s="363"/>
      <c r="K31" s="355" t="s">
        <v>444</v>
      </c>
      <c r="L31" s="355"/>
      <c r="M31" s="358" t="str">
        <f t="shared" si="0"/>
        <v xml:space="preserve">Callejas Sequeira e Hijos                        </v>
      </c>
      <c r="N31" s="363"/>
    </row>
    <row r="32" spans="1:14" x14ac:dyDescent="0.25">
      <c r="H32" s="356">
        <v>28</v>
      </c>
      <c r="I32" s="355" t="s">
        <v>261</v>
      </c>
      <c r="J32" s="363"/>
      <c r="K32" s="355" t="s">
        <v>445</v>
      </c>
      <c r="L32" s="355"/>
      <c r="M32" s="358" t="str">
        <f t="shared" si="0"/>
        <v xml:space="preserve">CAM Interntional                               </v>
      </c>
      <c r="N32" s="363"/>
    </row>
    <row r="33" spans="1:14" x14ac:dyDescent="0.25">
      <c r="H33" s="356">
        <v>29</v>
      </c>
      <c r="I33" s="355" t="s">
        <v>262</v>
      </c>
      <c r="J33" s="363"/>
      <c r="K33" s="355" t="s">
        <v>446</v>
      </c>
      <c r="L33" s="355"/>
      <c r="M33" s="358" t="str">
        <f t="shared" si="0"/>
        <v xml:space="preserve">Camanica Zona Franca, S.A.                                  </v>
      </c>
      <c r="N33" s="363"/>
    </row>
    <row r="34" spans="1:14" ht="19.2" x14ac:dyDescent="0.25">
      <c r="H34" s="356">
        <v>30</v>
      </c>
      <c r="I34" s="355" t="s">
        <v>263</v>
      </c>
      <c r="J34" s="363"/>
      <c r="K34" s="355" t="s">
        <v>447</v>
      </c>
      <c r="L34" s="355"/>
      <c r="M34" s="358" t="str">
        <f t="shared" si="0"/>
        <v>Cambridge International, S.A.</v>
      </c>
      <c r="N34" s="363"/>
    </row>
    <row r="35" spans="1:14" ht="19.2" x14ac:dyDescent="0.25">
      <c r="H35" s="356">
        <v>31</v>
      </c>
      <c r="I35" s="355" t="s">
        <v>264</v>
      </c>
      <c r="J35" s="363"/>
      <c r="K35" s="355" t="s">
        <v>448</v>
      </c>
      <c r="L35" s="355"/>
      <c r="M35" s="358" t="str">
        <f t="shared" si="0"/>
        <v>Caribbean Blue S.A</v>
      </c>
      <c r="N35" s="363"/>
    </row>
    <row r="36" spans="1:14" x14ac:dyDescent="0.25">
      <c r="H36" s="356">
        <v>32</v>
      </c>
      <c r="I36" s="355" t="s">
        <v>265</v>
      </c>
      <c r="J36" s="363"/>
      <c r="K36" s="355" t="s">
        <v>449</v>
      </c>
      <c r="L36" s="355"/>
      <c r="M36" s="358" t="str">
        <f t="shared" si="0"/>
        <v xml:space="preserve">Carlos Gutierrez Mairena                        </v>
      </c>
      <c r="N36" s="363"/>
    </row>
    <row r="37" spans="1:14" x14ac:dyDescent="0.25">
      <c r="H37" s="356">
        <v>33</v>
      </c>
      <c r="I37" s="355" t="s">
        <v>266</v>
      </c>
      <c r="J37" s="363"/>
      <c r="K37" s="355" t="s">
        <v>450</v>
      </c>
      <c r="L37" s="355"/>
      <c r="M37" s="358" t="str">
        <f t="shared" si="0"/>
        <v xml:space="preserve">Casa del Café, S.A.                                         </v>
      </c>
      <c r="N37" s="363"/>
    </row>
    <row r="38" spans="1:14" x14ac:dyDescent="0.25">
      <c r="H38" s="356">
        <v>34</v>
      </c>
      <c r="I38" s="355" t="s">
        <v>267</v>
      </c>
      <c r="J38" s="363"/>
      <c r="K38" s="355" t="s">
        <v>451</v>
      </c>
      <c r="L38" s="355"/>
      <c r="M38" s="358" t="str">
        <f t="shared" si="0"/>
        <v xml:space="preserve">CCG Nicaragua, S.A.                                         </v>
      </c>
      <c r="N38" s="363"/>
    </row>
    <row r="39" spans="1:14" x14ac:dyDescent="0.25">
      <c r="H39" s="356">
        <v>35</v>
      </c>
      <c r="I39" s="355" t="s">
        <v>268</v>
      </c>
      <c r="J39" s="363"/>
      <c r="K39" s="355" t="s">
        <v>433</v>
      </c>
      <c r="L39" s="355"/>
      <c r="M39" s="358" t="str">
        <f t="shared" si="0"/>
        <v xml:space="preserve">CECNA - INATEC                                              </v>
      </c>
      <c r="N39" s="363"/>
    </row>
    <row r="40" spans="1:14" ht="19.2" x14ac:dyDescent="0.25">
      <c r="F40" s="350"/>
      <c r="G40" s="350"/>
      <c r="H40" s="356">
        <v>36</v>
      </c>
      <c r="I40" s="355" t="s">
        <v>269</v>
      </c>
      <c r="J40" s="363"/>
      <c r="K40" s="355" t="s">
        <v>452</v>
      </c>
      <c r="L40" s="355"/>
      <c r="M40" s="358" t="str">
        <f t="shared" si="0"/>
        <v xml:space="preserve">CEGA Nicaragua, S.A.                                        </v>
      </c>
      <c r="N40" s="363"/>
    </row>
    <row r="41" spans="1:14" x14ac:dyDescent="0.25">
      <c r="A41" s="187" t="s">
        <v>55</v>
      </c>
      <c r="B41" s="187"/>
      <c r="C41" s="187"/>
      <c r="D41" s="187"/>
      <c r="E41" s="187" t="s">
        <v>146</v>
      </c>
      <c r="H41" s="356">
        <v>37</v>
      </c>
      <c r="I41" s="355" t="s">
        <v>270</v>
      </c>
      <c r="J41" s="363"/>
      <c r="K41" s="355" t="s">
        <v>453</v>
      </c>
      <c r="L41" s="355"/>
      <c r="M41" s="358" t="str">
        <f t="shared" si="0"/>
        <v xml:space="preserve">CENSA                                                       </v>
      </c>
      <c r="N41" s="363"/>
    </row>
    <row r="42" spans="1:14" x14ac:dyDescent="0.25">
      <c r="A42" s="187" t="s">
        <v>147</v>
      </c>
      <c r="B42" s="187"/>
      <c r="C42" s="187"/>
      <c r="D42" s="187"/>
      <c r="H42" s="356">
        <v>38</v>
      </c>
      <c r="I42" s="355" t="s">
        <v>271</v>
      </c>
      <c r="J42" s="363"/>
      <c r="K42" s="355" t="s">
        <v>454</v>
      </c>
      <c r="L42" s="355"/>
      <c r="M42" s="358" t="str">
        <f t="shared" si="0"/>
        <v>Central American Fisheries S.A.</v>
      </c>
      <c r="N42" s="363"/>
    </row>
    <row r="43" spans="1:14" x14ac:dyDescent="0.25">
      <c r="A43" s="187" t="s">
        <v>0</v>
      </c>
      <c r="B43" s="187"/>
      <c r="C43" s="187"/>
      <c r="D43" s="187"/>
      <c r="H43" s="356">
        <v>39</v>
      </c>
      <c r="I43" s="355" t="s">
        <v>272</v>
      </c>
      <c r="J43" s="363"/>
      <c r="K43" s="355" t="s">
        <v>455</v>
      </c>
      <c r="L43" s="355"/>
      <c r="M43" s="358" t="str">
        <f t="shared" si="0"/>
        <v>Centrolac</v>
      </c>
      <c r="N43" s="363"/>
    </row>
    <row r="44" spans="1:14" x14ac:dyDescent="0.25">
      <c r="A44" s="187" t="s">
        <v>25</v>
      </c>
      <c r="B44" s="187"/>
      <c r="C44" s="187"/>
      <c r="D44" s="187"/>
      <c r="H44" s="356">
        <v>40</v>
      </c>
      <c r="I44" s="355" t="s">
        <v>273</v>
      </c>
      <c r="J44" s="363"/>
      <c r="K44" s="355" t="s">
        <v>456</v>
      </c>
      <c r="L44" s="355"/>
      <c r="M44" s="358" t="str">
        <f t="shared" si="0"/>
        <v xml:space="preserve">Cereales de Centroamérica, S.A.                  </v>
      </c>
      <c r="N44" s="363"/>
    </row>
    <row r="45" spans="1:14" ht="19.2" x14ac:dyDescent="0.25">
      <c r="A45" s="187" t="s">
        <v>56</v>
      </c>
      <c r="B45" s="187"/>
      <c r="C45" s="187"/>
      <c r="D45" s="187"/>
      <c r="H45" s="356">
        <v>41</v>
      </c>
      <c r="I45" s="355" t="s">
        <v>274</v>
      </c>
      <c r="J45" s="363"/>
      <c r="K45" s="355" t="s">
        <v>457</v>
      </c>
      <c r="L45" s="355"/>
      <c r="M45" s="358" t="str">
        <f t="shared" si="0"/>
        <v>Certificadores de Carga General (CCG)</v>
      </c>
      <c r="N45" s="363"/>
    </row>
    <row r="46" spans="1:14" x14ac:dyDescent="0.25">
      <c r="A46" s="187" t="s">
        <v>26</v>
      </c>
      <c r="B46" s="187"/>
      <c r="C46" s="187"/>
      <c r="D46" s="187"/>
      <c r="H46" s="356">
        <v>42</v>
      </c>
      <c r="I46" s="355" t="s">
        <v>275</v>
      </c>
      <c r="J46" s="363"/>
      <c r="K46" s="355" t="s">
        <v>458</v>
      </c>
      <c r="L46" s="355"/>
      <c r="M46" s="358" t="str">
        <f t="shared" si="0"/>
        <v xml:space="preserve">Cerveceria Panama Barú, S.A.                                     </v>
      </c>
      <c r="N46" s="363"/>
    </row>
    <row r="47" spans="1:14" x14ac:dyDescent="0.25">
      <c r="A47" s="187" t="s">
        <v>69</v>
      </c>
      <c r="B47" s="187"/>
      <c r="C47" s="187"/>
      <c r="D47" s="187"/>
      <c r="H47" s="356">
        <v>43</v>
      </c>
      <c r="I47" s="355" t="s">
        <v>276</v>
      </c>
      <c r="J47" s="363"/>
      <c r="K47" s="355" t="s">
        <v>459</v>
      </c>
      <c r="L47" s="355"/>
      <c r="M47" s="358" t="str">
        <f t="shared" si="0"/>
        <v xml:space="preserve">CIA. Azucarera del Sur, S.A.                                </v>
      </c>
      <c r="N47" s="363"/>
    </row>
    <row r="48" spans="1:14" ht="19.2" x14ac:dyDescent="0.25">
      <c r="A48" s="187" t="s">
        <v>29</v>
      </c>
      <c r="B48" s="187"/>
      <c r="C48" s="187"/>
      <c r="D48" s="187"/>
      <c r="H48" s="356">
        <v>44</v>
      </c>
      <c r="I48" s="355" t="s">
        <v>277</v>
      </c>
      <c r="J48" s="363"/>
      <c r="K48" s="355" t="s">
        <v>460</v>
      </c>
      <c r="L48" s="355"/>
      <c r="M48" s="358" t="str">
        <f t="shared" si="0"/>
        <v xml:space="preserve">CIA. Centroamericana de Productos Lacteos S.A.             </v>
      </c>
      <c r="N48" s="363"/>
    </row>
    <row r="49" spans="1:14" ht="19.2" x14ac:dyDescent="0.25">
      <c r="H49" s="356">
        <v>45</v>
      </c>
      <c r="I49" s="355" t="s">
        <v>278</v>
      </c>
      <c r="J49" s="363"/>
      <c r="K49" s="355" t="s">
        <v>461</v>
      </c>
      <c r="L49" s="355"/>
      <c r="M49" s="358" t="str">
        <f t="shared" si="0"/>
        <v>Command Medical Nicaragua</v>
      </c>
      <c r="N49" s="363"/>
    </row>
    <row r="50" spans="1:14" ht="19.2" x14ac:dyDescent="0.25">
      <c r="H50" s="356">
        <v>46</v>
      </c>
      <c r="I50" s="355" t="s">
        <v>279</v>
      </c>
      <c r="J50" s="363"/>
      <c r="K50" s="355" t="s">
        <v>462</v>
      </c>
      <c r="L50" s="355"/>
      <c r="M50" s="358" t="str">
        <f t="shared" si="0"/>
        <v xml:space="preserve">Compañía Licorera de Nicaragua, S.A.                        </v>
      </c>
      <c r="N50" s="363"/>
    </row>
    <row r="51" spans="1:14" ht="19.2" x14ac:dyDescent="0.25">
      <c r="H51" s="356">
        <v>47</v>
      </c>
      <c r="I51" s="355" t="s">
        <v>280</v>
      </c>
      <c r="J51" s="363"/>
      <c r="K51" s="355" t="s">
        <v>463</v>
      </c>
      <c r="L51" s="355"/>
      <c r="M51" s="358" t="str">
        <f t="shared" si="0"/>
        <v xml:space="preserve">Compañía Cervecera de Nicaragua, S.A.                       </v>
      </c>
      <c r="N51" s="363"/>
    </row>
    <row r="52" spans="1:14" x14ac:dyDescent="0.25">
      <c r="H52" s="356">
        <v>48</v>
      </c>
      <c r="I52" s="355" t="s">
        <v>281</v>
      </c>
      <c r="J52" s="363"/>
      <c r="K52" s="355" t="s">
        <v>464</v>
      </c>
      <c r="L52" s="355"/>
      <c r="M52" s="358" t="str">
        <f t="shared" si="0"/>
        <v>Concretera Total, S.A.</v>
      </c>
      <c r="N52" s="363"/>
    </row>
    <row r="53" spans="1:14" x14ac:dyDescent="0.25">
      <c r="H53" s="356">
        <v>49</v>
      </c>
      <c r="I53" s="355" t="s">
        <v>282</v>
      </c>
      <c r="J53" s="363"/>
      <c r="K53" s="355" t="s">
        <v>465</v>
      </c>
      <c r="L53" s="355"/>
      <c r="M53" s="358" t="str">
        <f t="shared" si="0"/>
        <v>Conipisos</v>
      </c>
      <c r="N53" s="363"/>
    </row>
    <row r="54" spans="1:14" ht="19.2" x14ac:dyDescent="0.25">
      <c r="H54" s="356">
        <v>50</v>
      </c>
      <c r="I54" s="355" t="s">
        <v>283</v>
      </c>
      <c r="J54" s="363"/>
      <c r="K54" s="355" t="s">
        <v>433</v>
      </c>
      <c r="L54" s="355"/>
      <c r="M54" s="358" t="str">
        <f t="shared" si="0"/>
        <v xml:space="preserve">Cooperativa de Exportacion de Cafe de Matagalpa </v>
      </c>
      <c r="N54" s="363"/>
    </row>
    <row r="55" spans="1:14" ht="19.2" x14ac:dyDescent="0.25">
      <c r="H55" s="356">
        <v>51</v>
      </c>
      <c r="I55" s="355" t="s">
        <v>284</v>
      </c>
      <c r="J55" s="363"/>
      <c r="K55" s="355" t="s">
        <v>466</v>
      </c>
      <c r="L55" s="355"/>
      <c r="M55" s="358" t="str">
        <f t="shared" si="0"/>
        <v>Cooperativa Esperanza</v>
      </c>
      <c r="N55" s="363"/>
    </row>
    <row r="56" spans="1:14" ht="19.2" x14ac:dyDescent="0.25">
      <c r="H56" s="356">
        <v>52</v>
      </c>
      <c r="I56" s="355" t="s">
        <v>285</v>
      </c>
      <c r="J56" s="363"/>
      <c r="K56" s="355" t="s">
        <v>467</v>
      </c>
      <c r="L56" s="355"/>
      <c r="M56" s="358" t="str">
        <f t="shared" si="0"/>
        <v xml:space="preserve">Corporación Agroindustrial del Pacifico S.A. (CAIPSA) </v>
      </c>
      <c r="N56" s="363"/>
    </row>
    <row r="57" spans="1:14" x14ac:dyDescent="0.25">
      <c r="H57" s="356">
        <v>53</v>
      </c>
      <c r="I57" s="355" t="s">
        <v>286</v>
      </c>
      <c r="J57" s="363"/>
      <c r="K57" s="355" t="s">
        <v>468</v>
      </c>
      <c r="L57" s="355"/>
      <c r="M57" s="358" t="str">
        <f t="shared" si="0"/>
        <v xml:space="preserve">Coorporación Eléctrica Nicaragüense                          </v>
      </c>
      <c r="N57" s="363"/>
    </row>
    <row r="58" spans="1:14" x14ac:dyDescent="0.25">
      <c r="H58" s="356">
        <v>54</v>
      </c>
      <c r="I58" s="355" t="s">
        <v>287</v>
      </c>
      <c r="J58" s="363"/>
      <c r="K58" s="355" t="s">
        <v>469</v>
      </c>
      <c r="L58" s="355"/>
      <c r="M58" s="358" t="str">
        <f t="shared" si="0"/>
        <v xml:space="preserve">Coorporación Montelimar, S.A.                                </v>
      </c>
      <c r="N58" s="363"/>
    </row>
    <row r="59" spans="1:14" x14ac:dyDescent="0.25">
      <c r="H59" s="356">
        <v>55</v>
      </c>
      <c r="I59" s="355" t="s">
        <v>288</v>
      </c>
      <c r="J59" s="363"/>
      <c r="K59" s="355" t="s">
        <v>433</v>
      </c>
      <c r="L59" s="355"/>
      <c r="M59" s="358" t="str">
        <f t="shared" si="0"/>
        <v xml:space="preserve">Cotton Ace Nicaragua, S.A.                                  </v>
      </c>
      <c r="N59" s="363"/>
    </row>
    <row r="60" spans="1:14" x14ac:dyDescent="0.25">
      <c r="H60" s="356">
        <v>56</v>
      </c>
      <c r="I60" s="355" t="s">
        <v>289</v>
      </c>
      <c r="J60" s="363"/>
      <c r="K60" s="355" t="s">
        <v>470</v>
      </c>
      <c r="L60" s="355"/>
      <c r="M60" s="358" t="str">
        <f t="shared" si="0"/>
        <v xml:space="preserve">Cruz Roja Nicaragüense                       </v>
      </c>
      <c r="N60" s="363"/>
    </row>
    <row r="61" spans="1:14" ht="19.2" x14ac:dyDescent="0.25">
      <c r="H61" s="356">
        <v>57</v>
      </c>
      <c r="I61" s="355" t="s">
        <v>290</v>
      </c>
      <c r="J61" s="363"/>
      <c r="K61" s="355" t="s">
        <v>471</v>
      </c>
      <c r="L61" s="355"/>
      <c r="M61" s="358" t="str">
        <f t="shared" si="0"/>
        <v>Dasoltex, S.A.</v>
      </c>
      <c r="N61" s="363"/>
    </row>
    <row r="62" spans="1:14" x14ac:dyDescent="0.25">
      <c r="H62" s="356">
        <v>58</v>
      </c>
      <c r="I62" s="355" t="s">
        <v>291</v>
      </c>
      <c r="J62" s="363"/>
      <c r="K62" s="355" t="s">
        <v>472</v>
      </c>
      <c r="L62" s="355"/>
      <c r="M62" s="358" t="str">
        <f t="shared" si="0"/>
        <v xml:space="preserve">DHL Global Forwarding                                       </v>
      </c>
      <c r="N62" s="363"/>
    </row>
    <row r="63" spans="1:14" x14ac:dyDescent="0.25">
      <c r="H63" s="356">
        <v>59</v>
      </c>
      <c r="I63" s="355" t="s">
        <v>292</v>
      </c>
      <c r="J63" s="363"/>
      <c r="K63" s="355" t="s">
        <v>473</v>
      </c>
      <c r="L63" s="355"/>
      <c r="M63" s="358" t="str">
        <f t="shared" si="0"/>
        <v xml:space="preserve">Dicegsa                                                 </v>
      </c>
      <c r="N63" s="363"/>
    </row>
    <row r="64" spans="1:14" x14ac:dyDescent="0.25">
      <c r="A64" s="367"/>
      <c r="B64" s="350"/>
      <c r="C64" s="350"/>
      <c r="D64" s="350"/>
      <c r="H64" s="356">
        <v>60</v>
      </c>
      <c r="I64" s="355" t="s">
        <v>293</v>
      </c>
      <c r="J64" s="363"/>
      <c r="K64" s="355" t="s">
        <v>433</v>
      </c>
      <c r="L64" s="355"/>
      <c r="M64" s="358" t="str">
        <f t="shared" si="0"/>
        <v xml:space="preserve">Distribuidora Cesar Argüello                                </v>
      </c>
      <c r="N64" s="363"/>
    </row>
    <row r="65" spans="1:14" ht="19.2" x14ac:dyDescent="0.25">
      <c r="A65" s="368"/>
      <c r="B65" s="369"/>
      <c r="C65" s="369"/>
      <c r="D65" s="370"/>
      <c r="H65" s="356">
        <v>61</v>
      </c>
      <c r="I65" s="355" t="s">
        <v>294</v>
      </c>
      <c r="J65" s="363"/>
      <c r="K65" s="355" t="s">
        <v>474</v>
      </c>
      <c r="L65" s="355"/>
      <c r="M65" s="358" t="str">
        <f t="shared" si="0"/>
        <v xml:space="preserve">Draexlmaier Partes Automotrices, S.A.                       </v>
      </c>
      <c r="N65" s="363"/>
    </row>
    <row r="66" spans="1:14" x14ac:dyDescent="0.25">
      <c r="A66" s="368"/>
      <c r="B66" s="369"/>
      <c r="C66" s="369"/>
      <c r="D66" s="370"/>
      <c r="H66" s="356">
        <v>62</v>
      </c>
      <c r="I66" s="355" t="s">
        <v>295</v>
      </c>
      <c r="J66" s="363"/>
      <c r="K66" s="355" t="s">
        <v>475</v>
      </c>
      <c r="L66" s="355"/>
      <c r="M66" s="358" t="str">
        <f t="shared" si="0"/>
        <v xml:space="preserve">Drogueria Rocha                                             </v>
      </c>
      <c r="N66" s="363"/>
    </row>
    <row r="67" spans="1:14" x14ac:dyDescent="0.25">
      <c r="A67" s="368"/>
      <c r="B67" s="369"/>
      <c r="C67" s="369"/>
      <c r="D67" s="370"/>
      <c r="H67" s="356">
        <v>63</v>
      </c>
      <c r="I67" s="355" t="s">
        <v>296</v>
      </c>
      <c r="J67" s="363"/>
      <c r="K67" s="355" t="s">
        <v>433</v>
      </c>
      <c r="L67" s="355"/>
      <c r="M67" s="358" t="str">
        <f t="shared" si="0"/>
        <v>Ecocycle Nicaragua</v>
      </c>
      <c r="N67" s="363"/>
    </row>
    <row r="68" spans="1:14" x14ac:dyDescent="0.25">
      <c r="A68" s="368"/>
      <c r="B68" s="369"/>
      <c r="C68" s="369"/>
      <c r="D68" s="370"/>
      <c r="H68" s="356">
        <v>64</v>
      </c>
      <c r="I68" s="355" t="s">
        <v>297</v>
      </c>
      <c r="J68" s="363"/>
      <c r="K68" s="355" t="s">
        <v>476</v>
      </c>
      <c r="L68" s="355"/>
      <c r="M68" s="358" t="str">
        <f t="shared" si="0"/>
        <v xml:space="preserve">Electromecánica Especializada                              </v>
      </c>
      <c r="N68" s="363"/>
    </row>
    <row r="69" spans="1:14" ht="19.2" x14ac:dyDescent="0.25">
      <c r="A69" s="368"/>
      <c r="B69" s="369"/>
      <c r="C69" s="369"/>
      <c r="D69" s="370"/>
      <c r="H69" s="356">
        <v>65</v>
      </c>
      <c r="I69" s="355" t="s">
        <v>298</v>
      </c>
      <c r="J69" s="363"/>
      <c r="K69" s="355" t="s">
        <v>477</v>
      </c>
      <c r="L69" s="355"/>
      <c r="M69" s="358" t="str">
        <f t="shared" ref="M69:M132" si="2">IF(J69="",I69,I69&amp;" ("&amp;J69&amp;")")</f>
        <v xml:space="preserve">Empaques Santo Domingo, S.A.                                </v>
      </c>
      <c r="N69" s="363"/>
    </row>
    <row r="70" spans="1:14" x14ac:dyDescent="0.25">
      <c r="A70" s="368"/>
      <c r="B70" s="369"/>
      <c r="C70" s="369"/>
      <c r="D70" s="370"/>
      <c r="H70" s="356">
        <v>66</v>
      </c>
      <c r="I70" s="355" t="s">
        <v>299</v>
      </c>
      <c r="J70" s="363"/>
      <c r="K70" s="355" t="s">
        <v>478</v>
      </c>
      <c r="L70" s="355"/>
      <c r="M70" s="358" t="str">
        <f t="shared" si="2"/>
        <v xml:space="preserve">Empresa Energética C, LTD.                            </v>
      </c>
      <c r="N70" s="363"/>
    </row>
    <row r="71" spans="1:14" ht="19.2" x14ac:dyDescent="0.25">
      <c r="A71" s="368"/>
      <c r="B71" s="369"/>
      <c r="C71" s="369"/>
      <c r="D71" s="370"/>
      <c r="H71" s="356">
        <v>67</v>
      </c>
      <c r="I71" s="355" t="s">
        <v>300</v>
      </c>
      <c r="J71" s="363"/>
      <c r="K71" s="355" t="s">
        <v>479</v>
      </c>
      <c r="L71" s="355"/>
      <c r="M71" s="358" t="str">
        <f t="shared" si="2"/>
        <v>Enimport/ Prog. de Gestión de Calidad y Validación de Método</v>
      </c>
      <c r="N71" s="363"/>
    </row>
    <row r="72" spans="1:14" ht="19.2" x14ac:dyDescent="0.25">
      <c r="A72" s="368"/>
      <c r="B72" s="369"/>
      <c r="C72" s="369"/>
      <c r="D72" s="370"/>
      <c r="H72" s="356">
        <v>68</v>
      </c>
      <c r="I72" s="355" t="s">
        <v>301</v>
      </c>
      <c r="J72" s="363"/>
      <c r="K72" s="355" t="s">
        <v>480</v>
      </c>
      <c r="L72" s="355"/>
      <c r="M72" s="358" t="str">
        <f t="shared" si="2"/>
        <v xml:space="preserve">Enimport/ Prog. Fort.  los Lab. Centrales del IPSA          </v>
      </c>
      <c r="N72" s="363"/>
    </row>
    <row r="73" spans="1:14" ht="28.8" x14ac:dyDescent="0.25">
      <c r="A73" s="368"/>
      <c r="B73" s="369"/>
      <c r="C73" s="369"/>
      <c r="D73" s="370"/>
      <c r="H73" s="356">
        <v>69</v>
      </c>
      <c r="I73" s="355" t="s">
        <v>302</v>
      </c>
      <c r="J73" s="363"/>
      <c r="K73" s="355" t="s">
        <v>481</v>
      </c>
      <c r="L73" s="355"/>
      <c r="M73" s="358" t="str">
        <f t="shared" si="2"/>
        <v>Expoim-Rilu, S.A.</v>
      </c>
      <c r="N73" s="363"/>
    </row>
    <row r="74" spans="1:14" ht="19.2" x14ac:dyDescent="0.25">
      <c r="A74" s="368"/>
      <c r="B74" s="369"/>
      <c r="C74" s="369"/>
      <c r="D74" s="370"/>
      <c r="H74" s="356">
        <v>70</v>
      </c>
      <c r="I74" s="355" t="s">
        <v>303</v>
      </c>
      <c r="J74" s="363"/>
      <c r="K74" s="355" t="s">
        <v>482</v>
      </c>
      <c r="L74" s="355"/>
      <c r="M74" s="358" t="str">
        <f t="shared" si="2"/>
        <v>Exportadora Panamericana Norte, S.A.</v>
      </c>
      <c r="N74" s="363"/>
    </row>
    <row r="75" spans="1:14" x14ac:dyDescent="0.25">
      <c r="A75" s="368"/>
      <c r="B75" s="369"/>
      <c r="C75" s="369"/>
      <c r="D75" s="370"/>
      <c r="H75" s="356">
        <v>71</v>
      </c>
      <c r="I75" s="355" t="s">
        <v>304</v>
      </c>
      <c r="J75" s="363"/>
      <c r="K75" s="355" t="s">
        <v>483</v>
      </c>
      <c r="L75" s="355"/>
      <c r="M75" s="358" t="str">
        <f t="shared" si="2"/>
        <v>Fara Coffee, S.A.</v>
      </c>
      <c r="N75" s="363"/>
    </row>
    <row r="76" spans="1:14" ht="19.2" x14ac:dyDescent="0.25">
      <c r="A76" s="368"/>
      <c r="B76" s="369"/>
      <c r="C76" s="369"/>
      <c r="D76" s="370"/>
      <c r="H76" s="356">
        <v>72</v>
      </c>
      <c r="I76" s="355" t="s">
        <v>305</v>
      </c>
      <c r="J76" s="363"/>
      <c r="K76" s="355" t="s">
        <v>484</v>
      </c>
      <c r="L76" s="355"/>
      <c r="M76" s="358" t="str">
        <f t="shared" si="2"/>
        <v>Finca Los Papales</v>
      </c>
      <c r="N76" s="363"/>
    </row>
    <row r="77" spans="1:14" x14ac:dyDescent="0.25">
      <c r="A77" s="368"/>
      <c r="B77" s="369"/>
      <c r="C77" s="369"/>
      <c r="D77" s="370"/>
      <c r="H77" s="356">
        <v>73</v>
      </c>
      <c r="I77" s="355" t="s">
        <v>306</v>
      </c>
      <c r="J77" s="363"/>
      <c r="K77" s="355" t="s">
        <v>433</v>
      </c>
      <c r="L77" s="355"/>
      <c r="M77" s="358" t="str">
        <f t="shared" si="2"/>
        <v xml:space="preserve">Futec Industrial                                            </v>
      </c>
      <c r="N77" s="363"/>
    </row>
    <row r="78" spans="1:14" x14ac:dyDescent="0.25">
      <c r="A78" s="368"/>
      <c r="B78" s="369"/>
      <c r="C78" s="369"/>
      <c r="D78" s="370"/>
      <c r="H78" s="356">
        <v>74</v>
      </c>
      <c r="I78" s="355" t="s">
        <v>307</v>
      </c>
      <c r="J78" s="363"/>
      <c r="K78" s="355" t="s">
        <v>485</v>
      </c>
      <c r="L78" s="355"/>
      <c r="M78" s="358" t="str">
        <f t="shared" si="2"/>
        <v>Genaro Medina</v>
      </c>
      <c r="N78" s="363"/>
    </row>
    <row r="79" spans="1:14" x14ac:dyDescent="0.25">
      <c r="A79" s="368"/>
      <c r="B79" s="369"/>
      <c r="C79" s="369"/>
      <c r="D79" s="370"/>
      <c r="H79" s="356">
        <v>75</v>
      </c>
      <c r="I79" s="355" t="s">
        <v>308</v>
      </c>
      <c r="J79" s="363"/>
      <c r="K79" s="355" t="s">
        <v>486</v>
      </c>
      <c r="L79" s="355"/>
      <c r="M79" s="358" t="str">
        <f t="shared" si="2"/>
        <v xml:space="preserve">General Coil, S.A.                                          </v>
      </c>
      <c r="N79" s="363"/>
    </row>
    <row r="80" spans="1:14" x14ac:dyDescent="0.25">
      <c r="H80" s="356">
        <v>76</v>
      </c>
      <c r="I80" s="355" t="s">
        <v>309</v>
      </c>
      <c r="J80" s="363"/>
      <c r="K80" s="355" t="s">
        <v>487</v>
      </c>
      <c r="L80" s="355"/>
      <c r="M80" s="358" t="str">
        <f t="shared" si="2"/>
        <v xml:space="preserve">Gildan Activewear San Marcos II, S.A.                      </v>
      </c>
      <c r="N80" s="363"/>
    </row>
    <row r="81" spans="8:14" ht="19.2" x14ac:dyDescent="0.25">
      <c r="H81" s="356">
        <v>77</v>
      </c>
      <c r="I81" s="355" t="s">
        <v>310</v>
      </c>
      <c r="J81" s="363"/>
      <c r="K81" s="355" t="s">
        <v>488</v>
      </c>
      <c r="L81" s="355"/>
      <c r="M81" s="358" t="str">
        <f t="shared" si="2"/>
        <v xml:space="preserve">Gildan Activewear Rivas II, S.A.                            </v>
      </c>
      <c r="N81" s="363"/>
    </row>
    <row r="82" spans="8:14" x14ac:dyDescent="0.25">
      <c r="H82" s="356">
        <v>78</v>
      </c>
      <c r="I82" s="355" t="s">
        <v>311</v>
      </c>
      <c r="J82" s="363"/>
      <c r="K82" s="355" t="s">
        <v>489</v>
      </c>
      <c r="L82" s="355"/>
      <c r="M82" s="358" t="str">
        <f t="shared" si="2"/>
        <v>Giovanni Granja Rivera</v>
      </c>
      <c r="N82" s="363"/>
    </row>
    <row r="83" spans="8:14" x14ac:dyDescent="0.25">
      <c r="H83" s="356">
        <v>79</v>
      </c>
      <c r="I83" s="355" t="s">
        <v>312</v>
      </c>
      <c r="J83" s="363"/>
      <c r="K83" s="355" t="s">
        <v>490</v>
      </c>
      <c r="L83" s="355"/>
      <c r="M83" s="358" t="str">
        <f t="shared" si="2"/>
        <v xml:space="preserve">Granja La Hammonia </v>
      </c>
      <c r="N83" s="363"/>
    </row>
    <row r="84" spans="8:14" x14ac:dyDescent="0.25">
      <c r="H84" s="356">
        <v>80</v>
      </c>
      <c r="I84" s="355" t="s">
        <v>313</v>
      </c>
      <c r="J84" s="363"/>
      <c r="K84" s="355" t="s">
        <v>491</v>
      </c>
      <c r="L84" s="355"/>
      <c r="M84" s="358" t="str">
        <f t="shared" si="2"/>
        <v>Grupo Industrial El Granjero</v>
      </c>
      <c r="N84" s="363"/>
    </row>
    <row r="85" spans="8:14" x14ac:dyDescent="0.25">
      <c r="H85" s="356">
        <v>81</v>
      </c>
      <c r="I85" s="355" t="s">
        <v>314</v>
      </c>
      <c r="J85" s="363"/>
      <c r="K85" s="355" t="s">
        <v>433</v>
      </c>
      <c r="L85" s="355"/>
      <c r="M85" s="358" t="str">
        <f t="shared" si="2"/>
        <v xml:space="preserve">Holcim Nicaragua, S.A                                       </v>
      </c>
      <c r="N85" s="363"/>
    </row>
    <row r="86" spans="8:14" x14ac:dyDescent="0.25">
      <c r="H86" s="356">
        <v>82</v>
      </c>
      <c r="I86" s="355" t="s">
        <v>315</v>
      </c>
      <c r="J86" s="363"/>
      <c r="K86" s="355" t="s">
        <v>485</v>
      </c>
      <c r="L86" s="355"/>
      <c r="M86" s="358" t="str">
        <f t="shared" si="2"/>
        <v>Hortycast</v>
      </c>
      <c r="N86" s="363"/>
    </row>
    <row r="87" spans="8:14" ht="19.2" x14ac:dyDescent="0.25">
      <c r="H87" s="356">
        <v>83</v>
      </c>
      <c r="I87" s="355" t="s">
        <v>316</v>
      </c>
      <c r="J87" s="363"/>
      <c r="K87" s="355" t="s">
        <v>492</v>
      </c>
      <c r="L87" s="355"/>
      <c r="M87" s="358" t="str">
        <f t="shared" si="2"/>
        <v>Impelsa</v>
      </c>
      <c r="N87" s="363"/>
    </row>
    <row r="88" spans="8:14" x14ac:dyDescent="0.25">
      <c r="H88" s="356">
        <v>84</v>
      </c>
      <c r="I88" s="355" t="s">
        <v>317</v>
      </c>
      <c r="J88" s="363"/>
      <c r="K88" s="355" t="s">
        <v>433</v>
      </c>
      <c r="L88" s="355"/>
      <c r="M88" s="358" t="str">
        <f t="shared" si="2"/>
        <v>Inconsa</v>
      </c>
      <c r="N88" s="363"/>
    </row>
    <row r="89" spans="8:14" ht="19.2" x14ac:dyDescent="0.25">
      <c r="H89" s="356">
        <v>85</v>
      </c>
      <c r="I89" s="355" t="s">
        <v>318</v>
      </c>
      <c r="J89" s="363"/>
      <c r="K89" s="355" t="s">
        <v>493</v>
      </c>
      <c r="L89" s="355"/>
      <c r="M89" s="358" t="str">
        <f t="shared" si="2"/>
        <v>Industria Ganadera de Oriente, S.A. (IGOSA) - Establecimiento número 6</v>
      </c>
      <c r="N89" s="363"/>
    </row>
    <row r="90" spans="8:14" ht="19.2" x14ac:dyDescent="0.25">
      <c r="H90" s="356">
        <v>86</v>
      </c>
      <c r="I90" s="355" t="s">
        <v>319</v>
      </c>
      <c r="J90" s="363"/>
      <c r="K90" s="355" t="s">
        <v>429</v>
      </c>
      <c r="L90" s="355"/>
      <c r="M90" s="358" t="str">
        <f t="shared" si="2"/>
        <v xml:space="preserve">Industría Nacional de Refrescos, S.A. (FEMSA)               </v>
      </c>
      <c r="N90" s="363"/>
    </row>
    <row r="91" spans="8:14" x14ac:dyDescent="0.25">
      <c r="H91" s="356">
        <v>87</v>
      </c>
      <c r="I91" s="355" t="s">
        <v>320</v>
      </c>
      <c r="J91" s="363"/>
      <c r="K91" s="355" t="s">
        <v>494</v>
      </c>
      <c r="L91" s="355"/>
      <c r="M91" s="358" t="str">
        <f t="shared" si="2"/>
        <v xml:space="preserve">Industrial Comercial San Martin, S.A.                       </v>
      </c>
      <c r="N91" s="363"/>
    </row>
    <row r="92" spans="8:14" x14ac:dyDescent="0.25">
      <c r="H92" s="356">
        <v>88</v>
      </c>
      <c r="I92" s="355" t="s">
        <v>321</v>
      </c>
      <c r="J92" s="363"/>
      <c r="K92" s="355" t="s">
        <v>495</v>
      </c>
      <c r="L92" s="355"/>
      <c r="M92" s="358" t="str">
        <f t="shared" si="2"/>
        <v xml:space="preserve">Industrias Cárnicas                                         </v>
      </c>
      <c r="N92" s="363"/>
    </row>
    <row r="93" spans="8:14" x14ac:dyDescent="0.25">
      <c r="H93" s="356">
        <v>89</v>
      </c>
      <c r="I93" s="355" t="s">
        <v>322</v>
      </c>
      <c r="J93" s="363"/>
      <c r="K93" s="355" t="s">
        <v>496</v>
      </c>
      <c r="L93" s="355"/>
      <c r="M93" s="358" t="str">
        <f t="shared" si="2"/>
        <v>Industrias Delmor, S.A.</v>
      </c>
      <c r="N93" s="363"/>
    </row>
    <row r="94" spans="8:14" ht="19.2" x14ac:dyDescent="0.25">
      <c r="H94" s="356">
        <v>90</v>
      </c>
      <c r="I94" s="355" t="s">
        <v>323</v>
      </c>
      <c r="J94" s="363"/>
      <c r="K94" s="355" t="s">
        <v>497</v>
      </c>
      <c r="L94" s="355"/>
      <c r="M94" s="358" t="str">
        <f t="shared" si="2"/>
        <v xml:space="preserve">Ingenieros Consultores Centroamericanos                     </v>
      </c>
      <c r="N94" s="363"/>
    </row>
    <row r="95" spans="8:14" ht="19.2" x14ac:dyDescent="0.25">
      <c r="H95" s="356">
        <v>91</v>
      </c>
      <c r="I95" s="355" t="s">
        <v>324</v>
      </c>
      <c r="J95" s="363"/>
      <c r="K95" s="355" t="s">
        <v>498</v>
      </c>
      <c r="L95" s="355"/>
      <c r="M95" s="358" t="str">
        <f t="shared" si="2"/>
        <v>Inmaconsa</v>
      </c>
      <c r="N95" s="363"/>
    </row>
    <row r="96" spans="8:14" x14ac:dyDescent="0.25">
      <c r="H96" s="356">
        <v>92</v>
      </c>
      <c r="I96" s="355" t="s">
        <v>325</v>
      </c>
      <c r="J96" s="363"/>
      <c r="K96" s="355" t="s">
        <v>499</v>
      </c>
      <c r="L96" s="355"/>
      <c r="M96" s="358" t="str">
        <f t="shared" si="2"/>
        <v>Insuma</v>
      </c>
      <c r="N96" s="363"/>
    </row>
    <row r="97" spans="8:14" x14ac:dyDescent="0.25">
      <c r="H97" s="356">
        <v>93</v>
      </c>
      <c r="I97" s="355" t="s">
        <v>326</v>
      </c>
      <c r="J97" s="363"/>
      <c r="K97" s="355" t="s">
        <v>500</v>
      </c>
      <c r="L97" s="355"/>
      <c r="M97" s="358" t="str">
        <f t="shared" si="2"/>
        <v>Insumos Disagro</v>
      </c>
      <c r="N97" s="363"/>
    </row>
    <row r="98" spans="8:14" ht="19.2" x14ac:dyDescent="0.25">
      <c r="H98" s="356">
        <v>94</v>
      </c>
      <c r="I98" s="355" t="s">
        <v>327</v>
      </c>
      <c r="J98" s="363"/>
      <c r="K98" s="355" t="s">
        <v>501</v>
      </c>
      <c r="L98" s="355"/>
      <c r="M98" s="358" t="str">
        <f t="shared" si="2"/>
        <v>Intek Nicaragua, S.A.</v>
      </c>
      <c r="N98" s="363"/>
    </row>
    <row r="99" spans="8:14" x14ac:dyDescent="0.25">
      <c r="H99" s="356">
        <v>95</v>
      </c>
      <c r="I99" s="355" t="s">
        <v>328</v>
      </c>
      <c r="J99" s="363"/>
      <c r="K99" s="355" t="s">
        <v>433</v>
      </c>
      <c r="L99" s="355"/>
      <c r="M99" s="358" t="str">
        <f t="shared" si="2"/>
        <v>Invercasa</v>
      </c>
      <c r="N99" s="363"/>
    </row>
    <row r="100" spans="8:14" x14ac:dyDescent="0.25">
      <c r="H100" s="356">
        <v>96</v>
      </c>
      <c r="I100" s="355" t="s">
        <v>329</v>
      </c>
      <c r="J100" s="363"/>
      <c r="K100" s="355" t="s">
        <v>433</v>
      </c>
      <c r="L100" s="355"/>
      <c r="M100" s="358" t="str">
        <f t="shared" si="2"/>
        <v xml:space="preserve">Inversiones en Concreto, S.A.                               </v>
      </c>
      <c r="N100" s="363"/>
    </row>
    <row r="101" spans="8:14" ht="19.2" x14ac:dyDescent="0.25">
      <c r="H101" s="356">
        <v>97</v>
      </c>
      <c r="I101" s="355" t="s">
        <v>330</v>
      </c>
      <c r="J101" s="363"/>
      <c r="K101" s="355" t="s">
        <v>502</v>
      </c>
      <c r="L101" s="355"/>
      <c r="M101" s="358" t="str">
        <f t="shared" si="2"/>
        <v xml:space="preserve">Iprocen, S.A.                                               </v>
      </c>
      <c r="N101" s="363"/>
    </row>
    <row r="102" spans="8:14" x14ac:dyDescent="0.25">
      <c r="H102" s="356">
        <v>98</v>
      </c>
      <c r="I102" s="355" t="s">
        <v>331</v>
      </c>
      <c r="J102" s="363"/>
      <c r="K102" s="355" t="s">
        <v>503</v>
      </c>
      <c r="L102" s="355"/>
      <c r="M102" s="358" t="str">
        <f t="shared" si="2"/>
        <v>IPSA - Veterinario</v>
      </c>
      <c r="N102" s="363"/>
    </row>
    <row r="103" spans="8:14" ht="28.8" x14ac:dyDescent="0.25">
      <c r="H103" s="356">
        <v>99</v>
      </c>
      <c r="I103" s="355" t="s">
        <v>332</v>
      </c>
      <c r="J103" s="363"/>
      <c r="K103" s="355" t="s">
        <v>504</v>
      </c>
      <c r="L103" s="355"/>
      <c r="M103" s="358" t="str">
        <f t="shared" si="2"/>
        <v>Julio César Montealegre</v>
      </c>
      <c r="N103" s="363"/>
    </row>
    <row r="104" spans="8:14" ht="19.2" x14ac:dyDescent="0.25">
      <c r="H104" s="356">
        <v>100</v>
      </c>
      <c r="I104" s="355" t="s">
        <v>333</v>
      </c>
      <c r="J104" s="363"/>
      <c r="K104" s="355" t="s">
        <v>505</v>
      </c>
      <c r="L104" s="355"/>
      <c r="M104" s="358" t="str">
        <f t="shared" si="2"/>
        <v xml:space="preserve">Juan López Matute                                         </v>
      </c>
      <c r="N104" s="363"/>
    </row>
    <row r="105" spans="8:14" ht="19.2" x14ac:dyDescent="0.25">
      <c r="H105" s="356">
        <v>101</v>
      </c>
      <c r="I105" s="355" t="s">
        <v>334</v>
      </c>
      <c r="J105" s="363"/>
      <c r="K105" s="355" t="s">
        <v>506</v>
      </c>
      <c r="L105" s="355"/>
      <c r="M105" s="358" t="str">
        <f t="shared" si="2"/>
        <v>Kentex, S.A.</v>
      </c>
      <c r="N105" s="363"/>
    </row>
    <row r="106" spans="8:14" ht="28.8" x14ac:dyDescent="0.25">
      <c r="H106" s="356">
        <v>102</v>
      </c>
      <c r="I106" s="355" t="s">
        <v>335</v>
      </c>
      <c r="J106" s="363"/>
      <c r="K106" s="355" t="s">
        <v>507</v>
      </c>
      <c r="L106" s="355"/>
      <c r="M106" s="358" t="str">
        <f t="shared" si="2"/>
        <v>KM Internacional</v>
      </c>
      <c r="N106" s="363"/>
    </row>
    <row r="107" spans="8:14" x14ac:dyDescent="0.25">
      <c r="H107" s="356">
        <v>103</v>
      </c>
      <c r="I107" s="355" t="s">
        <v>336</v>
      </c>
      <c r="J107" s="363"/>
      <c r="K107" s="355" t="s">
        <v>508</v>
      </c>
      <c r="L107" s="355"/>
      <c r="M107" s="358" t="str">
        <f t="shared" si="2"/>
        <v xml:space="preserve">Kola Shaler Industrial, S.A.                                </v>
      </c>
      <c r="N107" s="363"/>
    </row>
    <row r="108" spans="8:14" x14ac:dyDescent="0.25">
      <c r="H108" s="356">
        <v>104</v>
      </c>
      <c r="I108" s="355" t="s">
        <v>337</v>
      </c>
      <c r="J108" s="363"/>
      <c r="K108" s="355" t="s">
        <v>509</v>
      </c>
      <c r="L108" s="355"/>
      <c r="M108" s="358" t="str">
        <f t="shared" si="2"/>
        <v xml:space="preserve">Kufferath Nicaragua, S.A.                                   </v>
      </c>
      <c r="N108" s="363"/>
    </row>
    <row r="109" spans="8:14" x14ac:dyDescent="0.25">
      <c r="H109" s="356">
        <v>105</v>
      </c>
      <c r="I109" s="355" t="s">
        <v>338</v>
      </c>
      <c r="J109" s="363"/>
      <c r="K109" s="355" t="s">
        <v>510</v>
      </c>
      <c r="L109" s="355"/>
      <c r="M109" s="358" t="str">
        <f t="shared" si="2"/>
        <v>Laboratorios Ramos, S.A.</v>
      </c>
      <c r="N109" s="363"/>
    </row>
    <row r="110" spans="8:14" x14ac:dyDescent="0.25">
      <c r="H110" s="356">
        <v>106</v>
      </c>
      <c r="I110" s="355" t="s">
        <v>339</v>
      </c>
      <c r="J110" s="363"/>
      <c r="K110" s="355" t="s">
        <v>511</v>
      </c>
      <c r="L110" s="355"/>
      <c r="M110" s="358" t="str">
        <f t="shared" si="2"/>
        <v xml:space="preserve">Laboratorios Rarpe     </v>
      </c>
      <c r="N110" s="363"/>
    </row>
    <row r="111" spans="8:14" x14ac:dyDescent="0.25">
      <c r="H111" s="356">
        <v>107</v>
      </c>
      <c r="I111" s="355" t="s">
        <v>340</v>
      </c>
      <c r="J111" s="363"/>
      <c r="K111" s="355" t="s">
        <v>512</v>
      </c>
      <c r="L111" s="355"/>
      <c r="M111" s="358" t="str">
        <f t="shared" si="2"/>
        <v>Laboratorios Solka</v>
      </c>
      <c r="N111" s="363"/>
    </row>
    <row r="112" spans="8:14" ht="19.2" x14ac:dyDescent="0.25">
      <c r="H112" s="356">
        <v>108</v>
      </c>
      <c r="I112" s="355" t="s">
        <v>341</v>
      </c>
      <c r="J112" s="363"/>
      <c r="K112" s="355" t="s">
        <v>513</v>
      </c>
      <c r="L112" s="355"/>
      <c r="M112" s="358" t="str">
        <f t="shared" si="2"/>
        <v>Lacteos, S.A.</v>
      </c>
      <c r="N112" s="363"/>
    </row>
    <row r="113" spans="8:14" ht="19.2" x14ac:dyDescent="0.25">
      <c r="H113" s="356">
        <v>109</v>
      </c>
      <c r="I113" s="355" t="s">
        <v>342</v>
      </c>
      <c r="J113" s="363"/>
      <c r="K113" s="355" t="s">
        <v>514</v>
      </c>
      <c r="L113" s="355"/>
      <c r="M113" s="358" t="str">
        <f t="shared" si="2"/>
        <v>Langostinos de Centroamérica, S.A.</v>
      </c>
      <c r="N113" s="363"/>
    </row>
    <row r="114" spans="8:14" x14ac:dyDescent="0.25">
      <c r="H114" s="356">
        <v>110</v>
      </c>
      <c r="I114" s="355" t="s">
        <v>343</v>
      </c>
      <c r="J114" s="363"/>
      <c r="K114" s="355" t="s">
        <v>515</v>
      </c>
      <c r="L114" s="355"/>
      <c r="M114" s="358" t="str">
        <f t="shared" si="2"/>
        <v xml:space="preserve">Logistica Comercial                      </v>
      </c>
      <c r="N114" s="363"/>
    </row>
    <row r="115" spans="8:14" x14ac:dyDescent="0.25">
      <c r="H115" s="356">
        <v>111</v>
      </c>
      <c r="I115" s="355" t="s">
        <v>344</v>
      </c>
      <c r="J115" s="363"/>
      <c r="K115" s="355" t="s">
        <v>516</v>
      </c>
      <c r="L115" s="355"/>
      <c r="M115" s="358" t="str">
        <f t="shared" si="2"/>
        <v xml:space="preserve">Marbel Gutierrez Martinez                   </v>
      </c>
      <c r="N115" s="363"/>
    </row>
    <row r="116" spans="8:14" x14ac:dyDescent="0.25">
      <c r="H116" s="356">
        <v>112</v>
      </c>
      <c r="I116" s="355" t="s">
        <v>345</v>
      </c>
      <c r="J116" s="363"/>
      <c r="K116" s="355" t="s">
        <v>516</v>
      </c>
      <c r="L116" s="355"/>
      <c r="M116" s="358" t="str">
        <f t="shared" si="2"/>
        <v>Margumar</v>
      </c>
      <c r="N116" s="363"/>
    </row>
    <row r="117" spans="8:14" ht="28.8" x14ac:dyDescent="0.25">
      <c r="H117" s="356">
        <v>113</v>
      </c>
      <c r="I117" s="355" t="s">
        <v>346</v>
      </c>
      <c r="J117" s="363"/>
      <c r="K117" s="355" t="s">
        <v>517</v>
      </c>
      <c r="L117" s="355"/>
      <c r="M117" s="358" t="str">
        <f t="shared" si="2"/>
        <v>María Sánchez</v>
      </c>
      <c r="N117" s="363"/>
    </row>
    <row r="118" spans="8:14" ht="19.2" x14ac:dyDescent="0.25">
      <c r="H118" s="356">
        <v>114</v>
      </c>
      <c r="I118" s="355" t="s">
        <v>347</v>
      </c>
      <c r="J118" s="363"/>
      <c r="K118" s="355" t="s">
        <v>518</v>
      </c>
      <c r="L118" s="355"/>
      <c r="M118" s="358" t="str">
        <f t="shared" si="2"/>
        <v xml:space="preserve">Medisut, S.A.                                               </v>
      </c>
      <c r="N118" s="363"/>
    </row>
    <row r="119" spans="8:14" x14ac:dyDescent="0.25">
      <c r="H119" s="356">
        <v>115</v>
      </c>
      <c r="I119" s="355" t="s">
        <v>348</v>
      </c>
      <c r="J119" s="363"/>
      <c r="K119" s="355" t="s">
        <v>519</v>
      </c>
      <c r="L119" s="355"/>
      <c r="M119" s="358" t="str">
        <f t="shared" si="2"/>
        <v xml:space="preserve">Meedsa                                                      </v>
      </c>
      <c r="N119" s="363"/>
    </row>
    <row r="120" spans="8:14" x14ac:dyDescent="0.25">
      <c r="H120" s="356">
        <v>116</v>
      </c>
      <c r="I120" s="355" t="s">
        <v>349</v>
      </c>
      <c r="J120" s="363"/>
      <c r="K120" s="355" t="s">
        <v>433</v>
      </c>
      <c r="L120" s="355"/>
      <c r="M120" s="358" t="str">
        <f t="shared" si="2"/>
        <v>Metro Garment Nicaragua, S.A</v>
      </c>
      <c r="N120" s="363"/>
    </row>
    <row r="121" spans="8:14" ht="28.8" x14ac:dyDescent="0.25">
      <c r="H121" s="356">
        <v>117</v>
      </c>
      <c r="I121" s="355" t="s">
        <v>350</v>
      </c>
      <c r="J121" s="363"/>
      <c r="K121" s="355" t="s">
        <v>520</v>
      </c>
      <c r="L121" s="355"/>
      <c r="M121" s="358" t="str">
        <f t="shared" si="2"/>
        <v>MJ ApparelL, S.A.</v>
      </c>
      <c r="N121" s="363"/>
    </row>
    <row r="122" spans="8:14" ht="19.2" x14ac:dyDescent="0.25">
      <c r="H122" s="356">
        <v>118</v>
      </c>
      <c r="I122" s="355" t="s">
        <v>351</v>
      </c>
      <c r="J122" s="363"/>
      <c r="K122" s="355" t="s">
        <v>521</v>
      </c>
      <c r="L122" s="355"/>
      <c r="M122" s="358" t="str">
        <f t="shared" si="2"/>
        <v xml:space="preserve">Montacargas y Accesorios de Nicaragua, S.A.                 </v>
      </c>
      <c r="N122" s="363"/>
    </row>
    <row r="123" spans="8:14" ht="19.2" x14ac:dyDescent="0.25">
      <c r="H123" s="356">
        <v>119</v>
      </c>
      <c r="I123" s="355" t="s">
        <v>352</v>
      </c>
      <c r="J123" s="363"/>
      <c r="K123" s="355" t="s">
        <v>522</v>
      </c>
      <c r="L123" s="355"/>
      <c r="M123" s="358" t="str">
        <f t="shared" si="2"/>
        <v>Mundo de Frutas</v>
      </c>
      <c r="N123" s="363"/>
    </row>
    <row r="124" spans="8:14" x14ac:dyDescent="0.25">
      <c r="H124" s="356">
        <v>120</v>
      </c>
      <c r="I124" s="355" t="s">
        <v>353</v>
      </c>
      <c r="J124" s="363"/>
      <c r="K124" s="355" t="s">
        <v>523</v>
      </c>
      <c r="L124" s="355"/>
      <c r="M124" s="358" t="str">
        <f t="shared" si="2"/>
        <v>My Fathers Cigars</v>
      </c>
      <c r="N124" s="363"/>
    </row>
    <row r="125" spans="8:14" x14ac:dyDescent="0.25">
      <c r="H125" s="356">
        <v>121</v>
      </c>
      <c r="I125" s="355" t="s">
        <v>354</v>
      </c>
      <c r="J125" s="363"/>
      <c r="K125" s="355" t="s">
        <v>524</v>
      </c>
      <c r="L125" s="355"/>
      <c r="M125" s="358" t="str">
        <f t="shared" si="2"/>
        <v xml:space="preserve">Navinic     </v>
      </c>
      <c r="N125" s="363"/>
    </row>
    <row r="126" spans="8:14" x14ac:dyDescent="0.25">
      <c r="H126" s="356">
        <v>122</v>
      </c>
      <c r="I126" s="355" t="s">
        <v>355</v>
      </c>
      <c r="J126" s="363"/>
      <c r="K126" s="355" t="s">
        <v>525</v>
      </c>
      <c r="L126" s="355"/>
      <c r="M126" s="358" t="str">
        <f t="shared" si="2"/>
        <v xml:space="preserve">Nestle de Nicaragua, S.A.                                      </v>
      </c>
      <c r="N126" s="363"/>
    </row>
    <row r="127" spans="8:14" ht="19.2" x14ac:dyDescent="0.25">
      <c r="H127" s="356">
        <v>123</v>
      </c>
      <c r="I127" s="355" t="s">
        <v>356</v>
      </c>
      <c r="J127" s="363"/>
      <c r="K127" s="355" t="s">
        <v>526</v>
      </c>
      <c r="L127" s="355"/>
      <c r="M127" s="358" t="str">
        <f t="shared" si="2"/>
        <v>Next Level Apparel</v>
      </c>
      <c r="N127" s="363"/>
    </row>
    <row r="128" spans="8:14" x14ac:dyDescent="0.25">
      <c r="H128" s="356">
        <v>124</v>
      </c>
      <c r="I128" s="355" t="s">
        <v>357</v>
      </c>
      <c r="J128" s="363"/>
      <c r="K128" s="355" t="s">
        <v>527</v>
      </c>
      <c r="L128" s="355"/>
      <c r="M128" s="358" t="str">
        <f t="shared" si="2"/>
        <v>Nica Manos, S.A.</v>
      </c>
      <c r="N128" s="363"/>
    </row>
    <row r="129" spans="8:14" x14ac:dyDescent="0.25">
      <c r="H129" s="356">
        <v>125</v>
      </c>
      <c r="I129" s="355" t="s">
        <v>358</v>
      </c>
      <c r="J129" s="363"/>
      <c r="K129" s="355" t="s">
        <v>528</v>
      </c>
      <c r="L129" s="355"/>
      <c r="M129" s="358" t="str">
        <f t="shared" si="2"/>
        <v>Nicabanana</v>
      </c>
      <c r="N129" s="363"/>
    </row>
    <row r="130" spans="8:14" ht="28.8" x14ac:dyDescent="0.25">
      <c r="H130" s="356">
        <v>126</v>
      </c>
      <c r="I130" s="355" t="s">
        <v>359</v>
      </c>
      <c r="J130" s="363"/>
      <c r="K130" s="355" t="s">
        <v>529</v>
      </c>
      <c r="L130" s="355"/>
      <c r="M130" s="358" t="str">
        <f t="shared" si="2"/>
        <v>Nicamex, S.A.</v>
      </c>
      <c r="N130" s="363"/>
    </row>
    <row r="131" spans="8:14" x14ac:dyDescent="0.25">
      <c r="H131" s="356">
        <v>127</v>
      </c>
      <c r="I131" s="355" t="s">
        <v>360</v>
      </c>
      <c r="J131" s="363"/>
      <c r="K131" s="355" t="s">
        <v>530</v>
      </c>
      <c r="L131" s="355"/>
      <c r="M131" s="358" t="str">
        <f t="shared" si="2"/>
        <v>Nicaragua American Cigars S.A.</v>
      </c>
      <c r="N131" s="363"/>
    </row>
    <row r="132" spans="8:14" x14ac:dyDescent="0.25">
      <c r="H132" s="356">
        <v>128</v>
      </c>
      <c r="I132" s="355" t="s">
        <v>361</v>
      </c>
      <c r="J132" s="363"/>
      <c r="K132" s="355" t="s">
        <v>531</v>
      </c>
      <c r="L132" s="355"/>
      <c r="M132" s="358" t="str">
        <f t="shared" si="2"/>
        <v>Nicaragua Sugar State Limited</v>
      </c>
      <c r="N132" s="363"/>
    </row>
    <row r="133" spans="8:14" ht="19.2" x14ac:dyDescent="0.25">
      <c r="H133" s="356">
        <v>129</v>
      </c>
      <c r="I133" s="355" t="s">
        <v>362</v>
      </c>
      <c r="J133" s="363"/>
      <c r="K133" s="355" t="s">
        <v>532</v>
      </c>
      <c r="L133" s="355"/>
      <c r="M133" s="358" t="str">
        <f t="shared" ref="M133:M196" si="3">IF(J133="",I133,I133&amp;" ("&amp;J133&amp;")")</f>
        <v>Nicasolum</v>
      </c>
      <c r="N133" s="363"/>
    </row>
    <row r="134" spans="8:14" x14ac:dyDescent="0.25">
      <c r="H134" s="356">
        <v>130</v>
      </c>
      <c r="I134" s="355" t="s">
        <v>363</v>
      </c>
      <c r="J134" s="363"/>
      <c r="K134" s="355" t="s">
        <v>533</v>
      </c>
      <c r="L134" s="355"/>
      <c r="M134" s="358" t="str">
        <f t="shared" si="3"/>
        <v>Nicastarch Agro</v>
      </c>
      <c r="N134" s="363"/>
    </row>
    <row r="135" spans="8:14" x14ac:dyDescent="0.25">
      <c r="H135" s="356">
        <v>131</v>
      </c>
      <c r="I135" s="355" t="s">
        <v>364</v>
      </c>
      <c r="J135" s="363"/>
      <c r="K135" s="355" t="s">
        <v>534</v>
      </c>
      <c r="L135" s="355"/>
      <c r="M135" s="358" t="str">
        <f t="shared" si="3"/>
        <v xml:space="preserve">Novaterra                    </v>
      </c>
      <c r="N135" s="363"/>
    </row>
    <row r="136" spans="8:14" x14ac:dyDescent="0.25">
      <c r="H136" s="356">
        <v>132</v>
      </c>
      <c r="I136" s="355" t="s">
        <v>365</v>
      </c>
      <c r="J136" s="363"/>
      <c r="K136" s="355" t="s">
        <v>535</v>
      </c>
      <c r="L136" s="355"/>
      <c r="M136" s="358" t="str">
        <f t="shared" si="3"/>
        <v xml:space="preserve">Nova Honduras Zona Libre S.A.                             </v>
      </c>
      <c r="N136" s="363"/>
    </row>
    <row r="137" spans="8:14" x14ac:dyDescent="0.25">
      <c r="H137" s="356">
        <v>133</v>
      </c>
      <c r="I137" s="355" t="s">
        <v>366</v>
      </c>
      <c r="J137" s="363"/>
      <c r="K137" s="355" t="s">
        <v>536</v>
      </c>
      <c r="L137" s="355"/>
      <c r="M137" s="358" t="str">
        <f t="shared" si="3"/>
        <v xml:space="preserve">Nuevo Carnic, S.A.                                          </v>
      </c>
      <c r="N137" s="363"/>
    </row>
    <row r="138" spans="8:14" ht="19.2" x14ac:dyDescent="0.25">
      <c r="H138" s="356">
        <v>134</v>
      </c>
      <c r="I138" s="355" t="s">
        <v>367</v>
      </c>
      <c r="J138" s="363"/>
      <c r="K138" s="355" t="s">
        <v>537</v>
      </c>
      <c r="L138" s="355"/>
      <c r="M138" s="358" t="str">
        <f t="shared" si="3"/>
        <v>Oil Test Internacional de Nicaragua, S.A.</v>
      </c>
      <c r="N138" s="363"/>
    </row>
    <row r="139" spans="8:14" x14ac:dyDescent="0.25">
      <c r="H139" s="356">
        <v>135</v>
      </c>
      <c r="I139" s="355" t="s">
        <v>368</v>
      </c>
      <c r="J139" s="363"/>
      <c r="K139" s="355" t="s">
        <v>538</v>
      </c>
      <c r="L139" s="355"/>
      <c r="M139" s="358" t="str">
        <f t="shared" si="3"/>
        <v>Opportunity International Nicaragua</v>
      </c>
      <c r="N139" s="363"/>
    </row>
    <row r="140" spans="8:14" ht="19.2" x14ac:dyDescent="0.25">
      <c r="H140" s="356">
        <v>136</v>
      </c>
      <c r="I140" s="355" t="s">
        <v>369</v>
      </c>
      <c r="J140" s="363"/>
      <c r="K140" s="355" t="s">
        <v>539</v>
      </c>
      <c r="L140" s="355"/>
      <c r="M140" s="358" t="str">
        <f t="shared" si="3"/>
        <v>Orgoma</v>
      </c>
      <c r="N140" s="363"/>
    </row>
    <row r="141" spans="8:14" x14ac:dyDescent="0.25">
      <c r="H141" s="356">
        <v>137</v>
      </c>
      <c r="I141" s="355" t="s">
        <v>370</v>
      </c>
      <c r="J141" s="363"/>
      <c r="K141" s="355" t="s">
        <v>540</v>
      </c>
      <c r="L141" s="355"/>
      <c r="M141" s="358" t="str">
        <f t="shared" si="3"/>
        <v xml:space="preserve">Panzyma Laboratories, S.A.                                  </v>
      </c>
      <c r="N141" s="363"/>
    </row>
    <row r="142" spans="8:14" x14ac:dyDescent="0.25">
      <c r="H142" s="356">
        <v>138</v>
      </c>
      <c r="I142" s="355" t="s">
        <v>371</v>
      </c>
      <c r="J142" s="363"/>
      <c r="K142" s="355" t="s">
        <v>429</v>
      </c>
      <c r="L142" s="355"/>
      <c r="M142" s="358" t="str">
        <f t="shared" si="3"/>
        <v xml:space="preserve">Parmalat Centroamerica, S.A.                                </v>
      </c>
      <c r="N142" s="363"/>
    </row>
    <row r="143" spans="8:14" x14ac:dyDescent="0.25">
      <c r="H143" s="356">
        <v>139</v>
      </c>
      <c r="I143" s="355" t="s">
        <v>372</v>
      </c>
      <c r="J143" s="363"/>
      <c r="K143" s="355" t="s">
        <v>433</v>
      </c>
      <c r="L143" s="355"/>
      <c r="M143" s="358" t="str">
        <f t="shared" si="3"/>
        <v>Pasenic, S.A. Managua</v>
      </c>
      <c r="N143" s="363"/>
    </row>
    <row r="144" spans="8:14" x14ac:dyDescent="0.25">
      <c r="H144" s="356">
        <v>140</v>
      </c>
      <c r="I144" s="355" t="s">
        <v>373</v>
      </c>
      <c r="J144" s="363"/>
      <c r="K144" s="355" t="s">
        <v>541</v>
      </c>
      <c r="L144" s="355"/>
      <c r="M144" s="358" t="str">
        <f t="shared" si="3"/>
        <v xml:space="preserve">Peninsula Maritima Corp., S.A.                              </v>
      </c>
      <c r="N144" s="363"/>
    </row>
    <row r="145" spans="8:14" ht="19.2" x14ac:dyDescent="0.25">
      <c r="H145" s="356">
        <v>141</v>
      </c>
      <c r="I145" s="355" t="s">
        <v>374</v>
      </c>
      <c r="J145" s="363"/>
      <c r="K145" s="355" t="s">
        <v>542</v>
      </c>
      <c r="L145" s="355"/>
      <c r="M145" s="358" t="str">
        <f t="shared" si="3"/>
        <v>Peralta Coffee</v>
      </c>
      <c r="N145" s="363"/>
    </row>
    <row r="146" spans="8:14" ht="19.2" x14ac:dyDescent="0.25">
      <c r="H146" s="356">
        <v>142</v>
      </c>
      <c r="I146" s="355" t="s">
        <v>375</v>
      </c>
      <c r="J146" s="363"/>
      <c r="K146" s="355" t="s">
        <v>543</v>
      </c>
      <c r="L146" s="355"/>
      <c r="M146" s="358" t="str">
        <f t="shared" si="3"/>
        <v>Petrogas</v>
      </c>
      <c r="N146" s="363"/>
    </row>
    <row r="147" spans="8:14" x14ac:dyDescent="0.25">
      <c r="H147" s="356">
        <v>143</v>
      </c>
      <c r="I147" s="355" t="s">
        <v>376</v>
      </c>
      <c r="J147" s="363"/>
      <c r="K147" s="355" t="s">
        <v>544</v>
      </c>
      <c r="L147" s="355"/>
      <c r="M147" s="358" t="str">
        <f t="shared" si="3"/>
        <v>Pinula, S.A.</v>
      </c>
      <c r="N147" s="363"/>
    </row>
    <row r="148" spans="8:14" x14ac:dyDescent="0.25">
      <c r="H148" s="356">
        <v>144</v>
      </c>
      <c r="I148" s="355" t="s">
        <v>377</v>
      </c>
      <c r="J148" s="363"/>
      <c r="K148" s="355" t="s">
        <v>545</v>
      </c>
      <c r="L148" s="355"/>
      <c r="M148" s="358" t="str">
        <f t="shared" si="3"/>
        <v xml:space="preserve">Polaris Energy Nicaragua, S.A.                              </v>
      </c>
      <c r="N148" s="363"/>
    </row>
    <row r="149" spans="8:14" x14ac:dyDescent="0.25">
      <c r="H149" s="356">
        <v>145</v>
      </c>
      <c r="I149" s="355" t="s">
        <v>378</v>
      </c>
      <c r="J149" s="363"/>
      <c r="K149" s="355" t="s">
        <v>546</v>
      </c>
      <c r="L149" s="355"/>
      <c r="M149" s="358" t="str">
        <f t="shared" si="3"/>
        <v xml:space="preserve">Precon Nicaragua, S.A.                                      </v>
      </c>
      <c r="N149" s="363"/>
    </row>
    <row r="150" spans="8:14" ht="19.2" x14ac:dyDescent="0.25">
      <c r="H150" s="356">
        <v>146</v>
      </c>
      <c r="I150" s="355" t="s">
        <v>379</v>
      </c>
      <c r="J150" s="363"/>
      <c r="K150" s="355" t="s">
        <v>547</v>
      </c>
      <c r="L150" s="355"/>
      <c r="M150" s="358" t="str">
        <f t="shared" si="3"/>
        <v>Premet</v>
      </c>
      <c r="N150" s="363"/>
    </row>
    <row r="151" spans="8:14" x14ac:dyDescent="0.25">
      <c r="H151" s="356">
        <v>147</v>
      </c>
      <c r="I151" s="355" t="s">
        <v>380</v>
      </c>
      <c r="J151" s="363"/>
      <c r="K151" s="355" t="s">
        <v>509</v>
      </c>
      <c r="L151" s="355"/>
      <c r="M151" s="358" t="str">
        <f t="shared" si="3"/>
        <v xml:space="preserve">Productos del Aire Nicaragua, S.A.                       </v>
      </c>
      <c r="N151" s="363"/>
    </row>
    <row r="152" spans="8:14" x14ac:dyDescent="0.25">
      <c r="H152" s="356">
        <v>148</v>
      </c>
      <c r="I152" s="355" t="s">
        <v>381</v>
      </c>
      <c r="J152" s="363"/>
      <c r="K152" s="355" t="s">
        <v>548</v>
      </c>
      <c r="L152" s="355"/>
      <c r="M152" s="358" t="str">
        <f t="shared" si="3"/>
        <v xml:space="preserve">Protena, S.A. </v>
      </c>
      <c r="N152" s="363"/>
    </row>
    <row r="153" spans="8:14" x14ac:dyDescent="0.25">
      <c r="H153" s="356">
        <v>149</v>
      </c>
      <c r="I153" s="355" t="s">
        <v>382</v>
      </c>
      <c r="J153" s="363"/>
      <c r="K153" s="355" t="s">
        <v>433</v>
      </c>
      <c r="L153" s="355"/>
      <c r="M153" s="358" t="str">
        <f t="shared" si="3"/>
        <v>Provesa</v>
      </c>
      <c r="N153" s="363"/>
    </row>
    <row r="154" spans="8:14" ht="19.2" x14ac:dyDescent="0.25">
      <c r="H154" s="356">
        <v>150</v>
      </c>
      <c r="I154" s="355" t="s">
        <v>383</v>
      </c>
      <c r="J154" s="363"/>
      <c r="K154" s="355" t="s">
        <v>549</v>
      </c>
      <c r="L154" s="355"/>
      <c r="M154" s="358" t="str">
        <f t="shared" si="3"/>
        <v>Provisave/Prog. de Gestión de la Calidad y Validación de Métodos</v>
      </c>
      <c r="N154" s="363"/>
    </row>
    <row r="155" spans="8:14" ht="19.2" x14ac:dyDescent="0.25">
      <c r="H155" s="356">
        <v>151</v>
      </c>
      <c r="I155" s="355" t="s">
        <v>384</v>
      </c>
      <c r="J155" s="363"/>
      <c r="K155" s="355" t="s">
        <v>550</v>
      </c>
      <c r="L155" s="355"/>
      <c r="M155" s="358" t="str">
        <f t="shared" si="3"/>
        <v>Proyeco de Saneamiento del Lago de la Ciudad de Managua</v>
      </c>
      <c r="N155" s="363"/>
    </row>
    <row r="156" spans="8:14" x14ac:dyDescent="0.25">
      <c r="H156" s="356">
        <v>152</v>
      </c>
      <c r="I156" s="355" t="s">
        <v>385</v>
      </c>
      <c r="J156" s="363"/>
      <c r="K156" s="355" t="s">
        <v>551</v>
      </c>
      <c r="L156" s="355"/>
      <c r="M156" s="358" t="str">
        <f t="shared" si="3"/>
        <v xml:space="preserve">Proyectos y Automatización PYASA                            </v>
      </c>
      <c r="N156" s="363"/>
    </row>
    <row r="157" spans="8:14" ht="19.2" x14ac:dyDescent="0.25">
      <c r="H157" s="356">
        <v>153</v>
      </c>
      <c r="I157" s="355" t="s">
        <v>386</v>
      </c>
      <c r="J157" s="363"/>
      <c r="K157" s="355" t="s">
        <v>552</v>
      </c>
      <c r="L157" s="355"/>
      <c r="M157" s="358" t="str">
        <f t="shared" si="3"/>
        <v>Puros de Estelí</v>
      </c>
      <c r="N157" s="363"/>
    </row>
    <row r="158" spans="8:14" x14ac:dyDescent="0.25">
      <c r="H158" s="356">
        <v>154</v>
      </c>
      <c r="I158" s="355" t="s">
        <v>387</v>
      </c>
      <c r="J158" s="363"/>
      <c r="K158" s="355" t="s">
        <v>433</v>
      </c>
      <c r="L158" s="355"/>
      <c r="M158" s="358" t="str">
        <f t="shared" si="3"/>
        <v>Rainbow Apparel Trading S,A</v>
      </c>
      <c r="N158" s="363"/>
    </row>
    <row r="159" spans="8:14" x14ac:dyDescent="0.25">
      <c r="H159" s="356">
        <v>155</v>
      </c>
      <c r="I159" s="355" t="s">
        <v>388</v>
      </c>
      <c r="J159" s="363"/>
      <c r="K159" s="355" t="s">
        <v>553</v>
      </c>
      <c r="L159" s="355"/>
      <c r="M159" s="358" t="str">
        <f t="shared" si="3"/>
        <v>Ramón Duriez González</v>
      </c>
      <c r="N159" s="363"/>
    </row>
    <row r="160" spans="8:14" ht="19.2" x14ac:dyDescent="0.25">
      <c r="H160" s="356">
        <v>156</v>
      </c>
      <c r="I160" s="355" t="s">
        <v>389</v>
      </c>
      <c r="J160" s="363"/>
      <c r="K160" s="355" t="s">
        <v>554</v>
      </c>
      <c r="L160" s="355"/>
      <c r="M160" s="358" t="str">
        <f t="shared" si="3"/>
        <v>Ramón Nicoya</v>
      </c>
      <c r="N160" s="363"/>
    </row>
    <row r="161" spans="8:14" ht="19.2" x14ac:dyDescent="0.25">
      <c r="H161" s="356">
        <v>157</v>
      </c>
      <c r="I161" s="355" t="s">
        <v>390</v>
      </c>
      <c r="J161" s="363"/>
      <c r="K161" s="355" t="s">
        <v>461</v>
      </c>
      <c r="L161" s="355"/>
      <c r="M161" s="358" t="str">
        <f t="shared" si="3"/>
        <v>Rocedes, S.A.</v>
      </c>
      <c r="N161" s="363"/>
    </row>
    <row r="162" spans="8:14" x14ac:dyDescent="0.25">
      <c r="H162" s="356">
        <v>158</v>
      </c>
      <c r="I162" s="355" t="s">
        <v>391</v>
      </c>
      <c r="J162" s="363"/>
      <c r="K162" s="355" t="s">
        <v>433</v>
      </c>
      <c r="L162" s="355"/>
      <c r="M162" s="358" t="str">
        <f t="shared" si="3"/>
        <v>Roger Moreno</v>
      </c>
      <c r="N162" s="363"/>
    </row>
    <row r="163" spans="8:14" x14ac:dyDescent="0.25">
      <c r="H163" s="356">
        <v>159</v>
      </c>
      <c r="I163" s="355" t="s">
        <v>392</v>
      </c>
      <c r="J163" s="363"/>
      <c r="K163" s="355" t="s">
        <v>555</v>
      </c>
      <c r="L163" s="355"/>
      <c r="M163" s="358" t="str">
        <f t="shared" si="3"/>
        <v xml:space="preserve">Roo Hsing Co. Nicaragua, S.A.                               </v>
      </c>
      <c r="N163" s="363"/>
    </row>
    <row r="164" spans="8:14" x14ac:dyDescent="0.25">
      <c r="H164" s="356">
        <v>160</v>
      </c>
      <c r="I164" s="355" t="s">
        <v>393</v>
      </c>
      <c r="J164" s="363"/>
      <c r="K164" s="355" t="s">
        <v>556</v>
      </c>
      <c r="L164" s="355"/>
      <c r="M164" s="358" t="str">
        <f t="shared" si="3"/>
        <v>Royal Shrimp, S.A.</v>
      </c>
      <c r="N164" s="363"/>
    </row>
    <row r="165" spans="8:14" ht="19.2" x14ac:dyDescent="0.25">
      <c r="H165" s="356">
        <v>161</v>
      </c>
      <c r="I165" s="355" t="s">
        <v>394</v>
      </c>
      <c r="J165" s="363"/>
      <c r="K165" s="355" t="s">
        <v>557</v>
      </c>
      <c r="L165" s="355"/>
      <c r="M165" s="358" t="str">
        <f t="shared" si="3"/>
        <v>Sae Technotex S.A.</v>
      </c>
      <c r="N165" s="363"/>
    </row>
    <row r="166" spans="8:14" x14ac:dyDescent="0.25">
      <c r="H166" s="356">
        <v>162</v>
      </c>
      <c r="I166" s="355" t="s">
        <v>395</v>
      </c>
      <c r="J166" s="363"/>
      <c r="K166" s="355" t="s">
        <v>556</v>
      </c>
      <c r="L166" s="355"/>
      <c r="M166" s="358" t="str">
        <f t="shared" si="3"/>
        <v>Sahlman Seafoods Nicaragua</v>
      </c>
      <c r="N166" s="363"/>
    </row>
    <row r="167" spans="8:14" x14ac:dyDescent="0.25">
      <c r="H167" s="356">
        <v>163</v>
      </c>
      <c r="I167" s="355" t="s">
        <v>396</v>
      </c>
      <c r="J167" s="363"/>
      <c r="K167" s="355" t="s">
        <v>556</v>
      </c>
      <c r="L167" s="355"/>
      <c r="M167" s="358" t="str">
        <f t="shared" si="3"/>
        <v>Seratex Nicaragua. S.A</v>
      </c>
      <c r="N167" s="363"/>
    </row>
    <row r="168" spans="8:14" x14ac:dyDescent="0.25">
      <c r="H168" s="356">
        <v>164</v>
      </c>
      <c r="I168" s="355" t="s">
        <v>397</v>
      </c>
      <c r="J168" s="363"/>
      <c r="K168" s="355" t="s">
        <v>433</v>
      </c>
      <c r="L168" s="355"/>
      <c r="M168" s="358" t="str">
        <f t="shared" si="3"/>
        <v xml:space="preserve">Servicios Técnicos de Básculas </v>
      </c>
      <c r="N168" s="363"/>
    </row>
    <row r="169" spans="8:14" x14ac:dyDescent="0.25">
      <c r="H169" s="356">
        <v>165</v>
      </c>
      <c r="I169" s="355" t="s">
        <v>398</v>
      </c>
      <c r="J169" s="363"/>
      <c r="K169" s="355" t="s">
        <v>558</v>
      </c>
      <c r="L169" s="355"/>
      <c r="M169" s="358" t="str">
        <f t="shared" si="3"/>
        <v>Simplementemadera</v>
      </c>
      <c r="N169" s="363"/>
    </row>
    <row r="170" spans="8:14" x14ac:dyDescent="0.25">
      <c r="H170" s="356">
        <v>166</v>
      </c>
      <c r="I170" s="355" t="s">
        <v>399</v>
      </c>
      <c r="J170" s="363"/>
      <c r="K170" s="355" t="s">
        <v>559</v>
      </c>
      <c r="L170" s="355"/>
      <c r="M170" s="358" t="str">
        <f t="shared" si="3"/>
        <v>Sovereign Logistics S.A.</v>
      </c>
      <c r="N170" s="363"/>
    </row>
    <row r="171" spans="8:14" ht="19.2" x14ac:dyDescent="0.25">
      <c r="H171" s="356">
        <v>167</v>
      </c>
      <c r="I171" s="355" t="s">
        <v>400</v>
      </c>
      <c r="J171" s="363"/>
      <c r="K171" s="355" t="s">
        <v>560</v>
      </c>
      <c r="L171" s="355"/>
      <c r="M171" s="358" t="str">
        <f t="shared" si="3"/>
        <v xml:space="preserve">Suministros Químicos Industriales, S.A.(SUQUISA)            </v>
      </c>
      <c r="N171" s="363"/>
    </row>
    <row r="172" spans="8:14" ht="19.2" x14ac:dyDescent="0.25">
      <c r="H172" s="356">
        <v>168</v>
      </c>
      <c r="I172" s="355" t="s">
        <v>401</v>
      </c>
      <c r="J172" s="363"/>
      <c r="K172" s="355" t="s">
        <v>561</v>
      </c>
      <c r="L172" s="355"/>
      <c r="M172" s="358" t="str">
        <f t="shared" si="3"/>
        <v>Tabacos Cubanica, S.A.</v>
      </c>
      <c r="N172" s="363"/>
    </row>
    <row r="173" spans="8:14" ht="19.2" x14ac:dyDescent="0.25">
      <c r="H173" s="356">
        <v>169</v>
      </c>
      <c r="I173" s="355" t="s">
        <v>402</v>
      </c>
      <c r="J173" s="363"/>
      <c r="K173" s="355" t="s">
        <v>562</v>
      </c>
      <c r="L173" s="355"/>
      <c r="M173" s="358" t="str">
        <f t="shared" si="3"/>
        <v>Tabacos del Sol</v>
      </c>
      <c r="N173" s="363"/>
    </row>
    <row r="174" spans="8:14" x14ac:dyDescent="0.25">
      <c r="H174" s="356">
        <v>170</v>
      </c>
      <c r="I174" s="355" t="s">
        <v>403</v>
      </c>
      <c r="J174" s="363"/>
      <c r="K174" s="355" t="s">
        <v>556</v>
      </c>
      <c r="L174" s="355"/>
      <c r="M174" s="358" t="str">
        <f t="shared" si="3"/>
        <v>Tecniprocesos de Nicaragua, S.A.</v>
      </c>
      <c r="N174" s="363"/>
    </row>
    <row r="175" spans="8:14" x14ac:dyDescent="0.25">
      <c r="H175" s="356">
        <v>171</v>
      </c>
      <c r="I175" s="355" t="s">
        <v>404</v>
      </c>
      <c r="J175" s="363"/>
      <c r="K175" s="355" t="s">
        <v>563</v>
      </c>
      <c r="L175" s="355"/>
      <c r="M175" s="358" t="str">
        <f t="shared" si="3"/>
        <v xml:space="preserve">Tecnodiagnóstica, S.A.                                      </v>
      </c>
      <c r="N175" s="363"/>
    </row>
    <row r="176" spans="8:14" x14ac:dyDescent="0.25">
      <c r="H176" s="356">
        <v>172</v>
      </c>
      <c r="I176" s="355" t="s">
        <v>405</v>
      </c>
      <c r="J176" s="363"/>
      <c r="K176" s="355" t="s">
        <v>564</v>
      </c>
      <c r="L176" s="355"/>
      <c r="M176" s="358" t="str">
        <f t="shared" si="3"/>
        <v>Tecshoes Latinoamérica</v>
      </c>
      <c r="N176" s="363"/>
    </row>
    <row r="177" spans="8:14" x14ac:dyDescent="0.25">
      <c r="H177" s="356">
        <v>173</v>
      </c>
      <c r="I177" s="355" t="s">
        <v>406</v>
      </c>
      <c r="J177" s="363"/>
      <c r="K177" s="355" t="s">
        <v>565</v>
      </c>
      <c r="L177" s="355"/>
      <c r="M177" s="358" t="str">
        <f t="shared" si="3"/>
        <v>Terraexport S.A. (Planta Matagalpa)</v>
      </c>
      <c r="N177" s="363"/>
    </row>
    <row r="178" spans="8:14" ht="19.2" x14ac:dyDescent="0.25">
      <c r="H178" s="356">
        <v>174</v>
      </c>
      <c r="I178" s="355" t="s">
        <v>407</v>
      </c>
      <c r="J178" s="363"/>
      <c r="K178" s="355" t="s">
        <v>566</v>
      </c>
      <c r="L178" s="355"/>
      <c r="M178" s="358" t="str">
        <f t="shared" si="3"/>
        <v>Terraexport S.A. (Planta Nueva Guinea)</v>
      </c>
      <c r="N178" s="363"/>
    </row>
    <row r="179" spans="8:14" x14ac:dyDescent="0.25">
      <c r="H179" s="356">
        <v>175</v>
      </c>
      <c r="I179" s="355" t="s">
        <v>408</v>
      </c>
      <c r="J179" s="363"/>
      <c r="K179" s="355" t="s">
        <v>567</v>
      </c>
      <c r="L179" s="355"/>
      <c r="M179" s="358" t="str">
        <f t="shared" si="3"/>
        <v xml:space="preserve">Tical, S.A.                                                 </v>
      </c>
      <c r="N179" s="363"/>
    </row>
    <row r="180" spans="8:14" x14ac:dyDescent="0.25">
      <c r="H180" s="356">
        <v>176</v>
      </c>
      <c r="I180" s="355" t="s">
        <v>409</v>
      </c>
      <c r="J180" s="363"/>
      <c r="K180" s="355" t="s">
        <v>568</v>
      </c>
      <c r="L180" s="355"/>
      <c r="M180" s="358" t="str">
        <f t="shared" si="3"/>
        <v xml:space="preserve">Tipitapa Power Company                            </v>
      </c>
      <c r="N180" s="363"/>
    </row>
    <row r="181" spans="8:14" x14ac:dyDescent="0.25">
      <c r="H181" s="356">
        <v>177</v>
      </c>
      <c r="I181" s="355" t="s">
        <v>410</v>
      </c>
      <c r="J181" s="363"/>
      <c r="K181" s="355" t="s">
        <v>556</v>
      </c>
      <c r="L181" s="355"/>
      <c r="M181" s="358" t="str">
        <f t="shared" si="3"/>
        <v>Transimport, S.A.</v>
      </c>
      <c r="N181" s="363"/>
    </row>
    <row r="182" spans="8:14" ht="38.4" x14ac:dyDescent="0.25">
      <c r="H182" s="356">
        <v>178</v>
      </c>
      <c r="I182" s="355" t="s">
        <v>411</v>
      </c>
      <c r="J182" s="363"/>
      <c r="K182" s="355" t="s">
        <v>569</v>
      </c>
      <c r="L182" s="355"/>
      <c r="M182" s="358" t="str">
        <f t="shared" si="3"/>
        <v>Tropicana Fruit Farms Inc.</v>
      </c>
      <c r="N182" s="363"/>
    </row>
    <row r="183" spans="8:14" ht="19.2" x14ac:dyDescent="0.25">
      <c r="H183" s="356">
        <v>179</v>
      </c>
      <c r="I183" s="355" t="s">
        <v>412</v>
      </c>
      <c r="J183" s="363"/>
      <c r="K183" s="355" t="s">
        <v>570</v>
      </c>
      <c r="L183" s="355"/>
      <c r="M183" s="358" t="str">
        <f t="shared" si="3"/>
        <v>Universal Leaf Nicaragua, S.A.</v>
      </c>
      <c r="N183" s="363"/>
    </row>
    <row r="184" spans="8:14" x14ac:dyDescent="0.25">
      <c r="H184" s="356">
        <v>180</v>
      </c>
      <c r="I184" s="355" t="s">
        <v>413</v>
      </c>
      <c r="J184" s="363"/>
      <c r="K184" s="355" t="s">
        <v>571</v>
      </c>
      <c r="L184" s="355"/>
      <c r="M184" s="358" t="str">
        <f t="shared" si="3"/>
        <v>Universidad Nacional de Ingeniería</v>
      </c>
      <c r="N184" s="363"/>
    </row>
    <row r="185" spans="8:14" x14ac:dyDescent="0.25">
      <c r="H185" s="356">
        <v>181</v>
      </c>
      <c r="I185" s="355" t="s">
        <v>414</v>
      </c>
      <c r="J185" s="363"/>
      <c r="K185" s="355" t="s">
        <v>572</v>
      </c>
      <c r="L185" s="355"/>
      <c r="M185" s="358" t="str">
        <f t="shared" si="3"/>
        <v>UNO</v>
      </c>
      <c r="N185" s="363"/>
    </row>
    <row r="186" spans="8:14" x14ac:dyDescent="0.25">
      <c r="H186" s="356">
        <v>182</v>
      </c>
      <c r="I186" s="355" t="s">
        <v>415</v>
      </c>
      <c r="J186" s="363"/>
      <c r="K186" s="355" t="s">
        <v>573</v>
      </c>
      <c r="L186" s="355"/>
      <c r="M186" s="358" t="str">
        <f t="shared" si="3"/>
        <v>Vegyfrut</v>
      </c>
      <c r="N186" s="363"/>
    </row>
    <row r="187" spans="8:14" x14ac:dyDescent="0.25">
      <c r="H187" s="356">
        <v>183</v>
      </c>
      <c r="I187" s="355" t="s">
        <v>416</v>
      </c>
      <c r="J187" s="363"/>
      <c r="K187" s="355" t="s">
        <v>574</v>
      </c>
      <c r="L187" s="355"/>
      <c r="M187" s="358" t="str">
        <f t="shared" si="3"/>
        <v xml:space="preserve">Yazaki de Nicaragua, S.A.                                   </v>
      </c>
      <c r="N187" s="363"/>
    </row>
    <row r="188" spans="8:14" x14ac:dyDescent="0.25">
      <c r="H188" s="356">
        <v>184</v>
      </c>
      <c r="I188" s="355" t="s">
        <v>417</v>
      </c>
      <c r="J188" s="363"/>
      <c r="K188" s="355" t="s">
        <v>575</v>
      </c>
      <c r="L188" s="355"/>
      <c r="M188" s="358" t="str">
        <f t="shared" si="3"/>
        <v xml:space="preserve">Zeas Apicola y Cia. LTDA.                                   </v>
      </c>
      <c r="N188" s="363"/>
    </row>
    <row r="189" spans="8:14" ht="19.2" x14ac:dyDescent="0.25">
      <c r="H189" s="356">
        <v>185</v>
      </c>
      <c r="I189" s="355" t="s">
        <v>418</v>
      </c>
      <c r="J189" s="363"/>
      <c r="K189" s="355" t="s">
        <v>576</v>
      </c>
      <c r="L189" s="355"/>
      <c r="M189" s="358" t="str">
        <f t="shared" si="3"/>
        <v>Labnicsa</v>
      </c>
      <c r="N189" s="363"/>
    </row>
    <row r="190" spans="8:14" ht="19.2" x14ac:dyDescent="0.25">
      <c r="H190" s="356">
        <v>186</v>
      </c>
      <c r="I190" s="355" t="s">
        <v>641</v>
      </c>
      <c r="J190" s="355" t="s">
        <v>642</v>
      </c>
      <c r="K190" s="355" t="s">
        <v>643</v>
      </c>
      <c r="L190" s="355" t="s">
        <v>639</v>
      </c>
      <c r="M190" s="358" t="str">
        <f t="shared" si="3"/>
        <v>Metrología Consultores de Nicaragua S.A. (METROCAL)</v>
      </c>
      <c r="N190" s="363"/>
    </row>
    <row r="191" spans="8:14" x14ac:dyDescent="0.25">
      <c r="H191" s="356">
        <v>187</v>
      </c>
      <c r="I191" s="355"/>
      <c r="J191" s="363"/>
      <c r="K191" s="355"/>
      <c r="L191" s="355"/>
      <c r="M191" s="358">
        <f t="shared" si="3"/>
        <v>0</v>
      </c>
      <c r="N191" s="363"/>
    </row>
    <row r="192" spans="8:14" x14ac:dyDescent="0.25">
      <c r="H192" s="356">
        <v>188</v>
      </c>
      <c r="I192" s="355"/>
      <c r="J192" s="363"/>
      <c r="K192" s="355"/>
      <c r="L192" s="355"/>
      <c r="M192" s="358">
        <f t="shared" si="3"/>
        <v>0</v>
      </c>
      <c r="N192" s="363"/>
    </row>
    <row r="193" spans="8:14" x14ac:dyDescent="0.25">
      <c r="H193" s="356">
        <v>189</v>
      </c>
      <c r="I193" s="355"/>
      <c r="J193" s="363"/>
      <c r="K193" s="355"/>
      <c r="L193" s="355"/>
      <c r="M193" s="358">
        <f t="shared" si="3"/>
        <v>0</v>
      </c>
      <c r="N193" s="363"/>
    </row>
    <row r="194" spans="8:14" x14ac:dyDescent="0.25">
      <c r="H194" s="356">
        <v>190</v>
      </c>
      <c r="I194" s="355"/>
      <c r="J194" s="363"/>
      <c r="K194" s="355"/>
      <c r="L194" s="355"/>
      <c r="M194" s="358">
        <f t="shared" si="3"/>
        <v>0</v>
      </c>
      <c r="N194" s="363"/>
    </row>
    <row r="195" spans="8:14" x14ac:dyDescent="0.25">
      <c r="H195" s="356">
        <v>191</v>
      </c>
      <c r="I195" s="355"/>
      <c r="J195" s="363"/>
      <c r="K195" s="355"/>
      <c r="L195" s="355"/>
      <c r="M195" s="358">
        <f t="shared" si="3"/>
        <v>0</v>
      </c>
      <c r="N195" s="363"/>
    </row>
    <row r="196" spans="8:14" x14ac:dyDescent="0.25">
      <c r="H196" s="356">
        <v>192</v>
      </c>
      <c r="I196" s="355"/>
      <c r="J196" s="363"/>
      <c r="K196" s="355"/>
      <c r="L196" s="355"/>
      <c r="M196" s="358">
        <f t="shared" si="3"/>
        <v>0</v>
      </c>
      <c r="N196" s="363"/>
    </row>
    <row r="197" spans="8:14" x14ac:dyDescent="0.25">
      <c r="H197" s="356">
        <v>193</v>
      </c>
      <c r="I197" s="355"/>
      <c r="J197" s="363"/>
      <c r="K197" s="355"/>
      <c r="L197" s="355"/>
      <c r="M197" s="358">
        <f t="shared" ref="M197:M246" si="4">IF(J197="",I197,I197&amp;" ("&amp;J197&amp;")")</f>
        <v>0</v>
      </c>
      <c r="N197" s="363"/>
    </row>
    <row r="198" spans="8:14" x14ac:dyDescent="0.25">
      <c r="H198" s="356">
        <v>194</v>
      </c>
      <c r="I198" s="355"/>
      <c r="J198" s="363"/>
      <c r="K198" s="355"/>
      <c r="L198" s="355"/>
      <c r="M198" s="358">
        <f t="shared" si="4"/>
        <v>0</v>
      </c>
      <c r="N198" s="363"/>
    </row>
    <row r="199" spans="8:14" x14ac:dyDescent="0.25">
      <c r="H199" s="356">
        <v>195</v>
      </c>
      <c r="I199" s="355"/>
      <c r="J199" s="363"/>
      <c r="K199" s="355"/>
      <c r="L199" s="355"/>
      <c r="M199" s="358">
        <f t="shared" si="4"/>
        <v>0</v>
      </c>
      <c r="N199" s="363"/>
    </row>
    <row r="200" spans="8:14" x14ac:dyDescent="0.25">
      <c r="H200" s="356">
        <v>196</v>
      </c>
      <c r="I200" s="355"/>
      <c r="J200" s="363"/>
      <c r="K200" s="355"/>
      <c r="L200" s="355"/>
      <c r="M200" s="358">
        <f t="shared" si="4"/>
        <v>0</v>
      </c>
      <c r="N200" s="363"/>
    </row>
    <row r="201" spans="8:14" x14ac:dyDescent="0.25">
      <c r="H201" s="356">
        <v>197</v>
      </c>
      <c r="I201" s="355"/>
      <c r="J201" s="363"/>
      <c r="K201" s="355"/>
      <c r="L201" s="355"/>
      <c r="M201" s="358">
        <f t="shared" si="4"/>
        <v>0</v>
      </c>
      <c r="N201" s="363"/>
    </row>
    <row r="202" spans="8:14" x14ac:dyDescent="0.25">
      <c r="H202" s="356">
        <v>198</v>
      </c>
      <c r="I202" s="355"/>
      <c r="J202" s="363"/>
      <c r="K202" s="355"/>
      <c r="L202" s="355"/>
      <c r="M202" s="358">
        <f t="shared" si="4"/>
        <v>0</v>
      </c>
      <c r="N202" s="363"/>
    </row>
    <row r="203" spans="8:14" x14ac:dyDescent="0.25">
      <c r="H203" s="356">
        <v>199</v>
      </c>
      <c r="I203" s="355"/>
      <c r="J203" s="363"/>
      <c r="K203" s="355"/>
      <c r="L203" s="355"/>
      <c r="M203" s="358">
        <f t="shared" si="4"/>
        <v>0</v>
      </c>
      <c r="N203" s="363"/>
    </row>
    <row r="204" spans="8:14" x14ac:dyDescent="0.25">
      <c r="H204" s="356">
        <v>200</v>
      </c>
      <c r="I204" s="355"/>
      <c r="J204" s="363"/>
      <c r="K204" s="355"/>
      <c r="L204" s="355"/>
      <c r="M204" s="358">
        <f t="shared" si="4"/>
        <v>0</v>
      </c>
      <c r="N204" s="363"/>
    </row>
    <row r="205" spans="8:14" x14ac:dyDescent="0.25">
      <c r="H205" s="356">
        <v>201</v>
      </c>
      <c r="I205" s="355"/>
      <c r="J205" s="363"/>
      <c r="K205" s="355"/>
      <c r="L205" s="355"/>
      <c r="M205" s="358">
        <f t="shared" si="4"/>
        <v>0</v>
      </c>
      <c r="N205" s="363"/>
    </row>
    <row r="206" spans="8:14" x14ac:dyDescent="0.25">
      <c r="H206" s="356">
        <v>202</v>
      </c>
      <c r="I206" s="355"/>
      <c r="J206" s="363"/>
      <c r="K206" s="355"/>
      <c r="L206" s="355"/>
      <c r="M206" s="358">
        <f t="shared" si="4"/>
        <v>0</v>
      </c>
      <c r="N206" s="363"/>
    </row>
    <row r="207" spans="8:14" x14ac:dyDescent="0.25">
      <c r="H207" s="356">
        <v>203</v>
      </c>
      <c r="I207" s="355"/>
      <c r="J207" s="363"/>
      <c r="K207" s="355"/>
      <c r="L207" s="355"/>
      <c r="M207" s="358">
        <f t="shared" si="4"/>
        <v>0</v>
      </c>
      <c r="N207" s="363"/>
    </row>
    <row r="208" spans="8:14" x14ac:dyDescent="0.25">
      <c r="H208" s="356">
        <v>204</v>
      </c>
      <c r="I208" s="355"/>
      <c r="J208" s="363"/>
      <c r="K208" s="355"/>
      <c r="L208" s="355"/>
      <c r="M208" s="358">
        <f t="shared" si="4"/>
        <v>0</v>
      </c>
      <c r="N208" s="363"/>
    </row>
    <row r="209" spans="8:14" x14ac:dyDescent="0.25">
      <c r="H209" s="356">
        <v>205</v>
      </c>
      <c r="I209" s="355"/>
      <c r="J209" s="363"/>
      <c r="K209" s="355"/>
      <c r="L209" s="355"/>
      <c r="M209" s="358">
        <f t="shared" si="4"/>
        <v>0</v>
      </c>
      <c r="N209" s="363"/>
    </row>
    <row r="210" spans="8:14" x14ac:dyDescent="0.25">
      <c r="H210" s="356">
        <v>206</v>
      </c>
      <c r="I210" s="355"/>
      <c r="J210" s="363"/>
      <c r="K210" s="355"/>
      <c r="L210" s="355"/>
      <c r="M210" s="358">
        <f t="shared" si="4"/>
        <v>0</v>
      </c>
      <c r="N210" s="363"/>
    </row>
    <row r="211" spans="8:14" x14ac:dyDescent="0.25">
      <c r="H211" s="356">
        <v>207</v>
      </c>
      <c r="I211" s="355"/>
      <c r="J211" s="363"/>
      <c r="K211" s="355"/>
      <c r="L211" s="355"/>
      <c r="M211" s="358">
        <f t="shared" si="4"/>
        <v>0</v>
      </c>
      <c r="N211" s="363"/>
    </row>
    <row r="212" spans="8:14" x14ac:dyDescent="0.25">
      <c r="H212" s="356">
        <v>208</v>
      </c>
      <c r="I212" s="355"/>
      <c r="J212" s="363"/>
      <c r="K212" s="355"/>
      <c r="L212" s="355"/>
      <c r="M212" s="358">
        <f t="shared" si="4"/>
        <v>0</v>
      </c>
      <c r="N212" s="363"/>
    </row>
    <row r="213" spans="8:14" x14ac:dyDescent="0.25">
      <c r="H213" s="356">
        <v>209</v>
      </c>
      <c r="I213" s="355"/>
      <c r="J213" s="363"/>
      <c r="K213" s="355"/>
      <c r="L213" s="355"/>
      <c r="M213" s="358">
        <f t="shared" si="4"/>
        <v>0</v>
      </c>
      <c r="N213" s="363"/>
    </row>
    <row r="214" spans="8:14" x14ac:dyDescent="0.25">
      <c r="H214" s="356">
        <v>210</v>
      </c>
      <c r="I214" s="355"/>
      <c r="J214" s="363"/>
      <c r="K214" s="355"/>
      <c r="L214" s="355"/>
      <c r="M214" s="358">
        <f t="shared" si="4"/>
        <v>0</v>
      </c>
      <c r="N214" s="363"/>
    </row>
    <row r="215" spans="8:14" x14ac:dyDescent="0.25">
      <c r="H215" s="356">
        <v>211</v>
      </c>
      <c r="I215" s="355"/>
      <c r="J215" s="363"/>
      <c r="K215" s="355"/>
      <c r="L215" s="355"/>
      <c r="M215" s="358">
        <f t="shared" si="4"/>
        <v>0</v>
      </c>
      <c r="N215" s="363"/>
    </row>
    <row r="216" spans="8:14" x14ac:dyDescent="0.25">
      <c r="H216" s="356">
        <v>212</v>
      </c>
      <c r="I216" s="355"/>
      <c r="J216" s="363"/>
      <c r="K216" s="355"/>
      <c r="L216" s="355"/>
      <c r="M216" s="358">
        <f t="shared" si="4"/>
        <v>0</v>
      </c>
      <c r="N216" s="363"/>
    </row>
    <row r="217" spans="8:14" x14ac:dyDescent="0.25">
      <c r="H217" s="356">
        <v>213</v>
      </c>
      <c r="I217" s="355"/>
      <c r="J217" s="363"/>
      <c r="K217" s="355"/>
      <c r="L217" s="355"/>
      <c r="M217" s="358">
        <f t="shared" si="4"/>
        <v>0</v>
      </c>
      <c r="N217" s="363"/>
    </row>
    <row r="218" spans="8:14" x14ac:dyDescent="0.25">
      <c r="H218" s="356">
        <v>214</v>
      </c>
      <c r="I218" s="355"/>
      <c r="J218" s="363"/>
      <c r="K218" s="355"/>
      <c r="L218" s="355"/>
      <c r="M218" s="358">
        <f t="shared" si="4"/>
        <v>0</v>
      </c>
      <c r="N218" s="363"/>
    </row>
    <row r="219" spans="8:14" x14ac:dyDescent="0.25">
      <c r="H219" s="356">
        <v>215</v>
      </c>
      <c r="I219" s="355"/>
      <c r="J219" s="363"/>
      <c r="K219" s="355"/>
      <c r="L219" s="355"/>
      <c r="M219" s="358">
        <f t="shared" si="4"/>
        <v>0</v>
      </c>
      <c r="N219" s="363"/>
    </row>
    <row r="220" spans="8:14" x14ac:dyDescent="0.25">
      <c r="H220" s="356">
        <v>216</v>
      </c>
      <c r="I220" s="355"/>
      <c r="J220" s="363"/>
      <c r="K220" s="355"/>
      <c r="L220" s="355"/>
      <c r="M220" s="358">
        <f t="shared" si="4"/>
        <v>0</v>
      </c>
      <c r="N220" s="363"/>
    </row>
    <row r="221" spans="8:14" x14ac:dyDescent="0.25">
      <c r="H221" s="356">
        <v>217</v>
      </c>
      <c r="I221" s="355"/>
      <c r="J221" s="363"/>
      <c r="K221" s="355"/>
      <c r="L221" s="355"/>
      <c r="M221" s="358">
        <f t="shared" si="4"/>
        <v>0</v>
      </c>
      <c r="N221" s="363"/>
    </row>
    <row r="222" spans="8:14" x14ac:dyDescent="0.25">
      <c r="H222" s="356">
        <v>218</v>
      </c>
      <c r="I222" s="355"/>
      <c r="J222" s="363"/>
      <c r="K222" s="355"/>
      <c r="L222" s="355"/>
      <c r="M222" s="358">
        <f t="shared" si="4"/>
        <v>0</v>
      </c>
      <c r="N222" s="363"/>
    </row>
    <row r="223" spans="8:14" x14ac:dyDescent="0.25">
      <c r="H223" s="356">
        <v>219</v>
      </c>
      <c r="I223" s="355"/>
      <c r="J223" s="363"/>
      <c r="K223" s="355"/>
      <c r="L223" s="355"/>
      <c r="M223" s="358">
        <f t="shared" si="4"/>
        <v>0</v>
      </c>
      <c r="N223" s="363"/>
    </row>
    <row r="224" spans="8:14" x14ac:dyDescent="0.25">
      <c r="H224" s="356">
        <v>220</v>
      </c>
      <c r="I224" s="355"/>
      <c r="J224" s="363"/>
      <c r="K224" s="355"/>
      <c r="L224" s="355"/>
      <c r="M224" s="358">
        <f t="shared" si="4"/>
        <v>0</v>
      </c>
      <c r="N224" s="363"/>
    </row>
    <row r="225" spans="8:14" x14ac:dyDescent="0.25">
      <c r="H225" s="356">
        <v>221</v>
      </c>
      <c r="I225" s="355"/>
      <c r="J225" s="363"/>
      <c r="K225" s="355"/>
      <c r="L225" s="355"/>
      <c r="M225" s="358">
        <f t="shared" si="4"/>
        <v>0</v>
      </c>
      <c r="N225" s="363"/>
    </row>
    <row r="226" spans="8:14" x14ac:dyDescent="0.25">
      <c r="H226" s="356">
        <v>222</v>
      </c>
      <c r="I226" s="355"/>
      <c r="J226" s="363"/>
      <c r="K226" s="355"/>
      <c r="L226" s="355"/>
      <c r="M226" s="358">
        <f t="shared" si="4"/>
        <v>0</v>
      </c>
      <c r="N226" s="363"/>
    </row>
    <row r="227" spans="8:14" x14ac:dyDescent="0.25">
      <c r="H227" s="356">
        <v>223</v>
      </c>
      <c r="I227" s="355"/>
      <c r="J227" s="363"/>
      <c r="K227" s="355"/>
      <c r="L227" s="355"/>
      <c r="M227" s="358">
        <f t="shared" si="4"/>
        <v>0</v>
      </c>
      <c r="N227" s="363"/>
    </row>
    <row r="228" spans="8:14" x14ac:dyDescent="0.25">
      <c r="H228" s="356">
        <v>224</v>
      </c>
      <c r="I228" s="355"/>
      <c r="J228" s="363"/>
      <c r="K228" s="355"/>
      <c r="L228" s="355"/>
      <c r="M228" s="358">
        <f t="shared" si="4"/>
        <v>0</v>
      </c>
      <c r="N228" s="363"/>
    </row>
    <row r="229" spans="8:14" x14ac:dyDescent="0.25">
      <c r="H229" s="356">
        <v>225</v>
      </c>
      <c r="I229" s="355"/>
      <c r="J229" s="363"/>
      <c r="K229" s="355"/>
      <c r="L229" s="355"/>
      <c r="M229" s="358">
        <f t="shared" si="4"/>
        <v>0</v>
      </c>
      <c r="N229" s="363"/>
    </row>
    <row r="230" spans="8:14" x14ac:dyDescent="0.25">
      <c r="H230" s="356">
        <v>226</v>
      </c>
      <c r="I230" s="355"/>
      <c r="J230" s="363"/>
      <c r="K230" s="355"/>
      <c r="L230" s="355"/>
      <c r="M230" s="358">
        <f t="shared" si="4"/>
        <v>0</v>
      </c>
      <c r="N230" s="363"/>
    </row>
    <row r="231" spans="8:14" x14ac:dyDescent="0.25">
      <c r="H231" s="356">
        <v>227</v>
      </c>
      <c r="I231" s="355"/>
      <c r="J231" s="363"/>
      <c r="K231" s="355"/>
      <c r="L231" s="355"/>
      <c r="M231" s="358">
        <f t="shared" si="4"/>
        <v>0</v>
      </c>
      <c r="N231" s="363"/>
    </row>
    <row r="232" spans="8:14" x14ac:dyDescent="0.25">
      <c r="H232" s="356">
        <v>228</v>
      </c>
      <c r="I232" s="355"/>
      <c r="J232" s="363"/>
      <c r="K232" s="355"/>
      <c r="L232" s="355"/>
      <c r="M232" s="358">
        <f t="shared" si="4"/>
        <v>0</v>
      </c>
      <c r="N232" s="363"/>
    </row>
    <row r="233" spans="8:14" x14ac:dyDescent="0.25">
      <c r="H233" s="356">
        <v>229</v>
      </c>
      <c r="I233" s="355"/>
      <c r="J233" s="363"/>
      <c r="K233" s="355"/>
      <c r="L233" s="355"/>
      <c r="M233" s="358">
        <f t="shared" si="4"/>
        <v>0</v>
      </c>
      <c r="N233" s="363"/>
    </row>
    <row r="234" spans="8:14" x14ac:dyDescent="0.25">
      <c r="H234" s="356">
        <v>230</v>
      </c>
      <c r="I234" s="355"/>
      <c r="J234" s="363"/>
      <c r="K234" s="355"/>
      <c r="L234" s="355"/>
      <c r="M234" s="358">
        <f t="shared" si="4"/>
        <v>0</v>
      </c>
      <c r="N234" s="363"/>
    </row>
    <row r="235" spans="8:14" x14ac:dyDescent="0.25">
      <c r="H235" s="356">
        <v>231</v>
      </c>
      <c r="I235" s="355"/>
      <c r="J235" s="363"/>
      <c r="K235" s="355"/>
      <c r="L235" s="355"/>
      <c r="M235" s="358">
        <f t="shared" si="4"/>
        <v>0</v>
      </c>
      <c r="N235" s="363"/>
    </row>
    <row r="236" spans="8:14" x14ac:dyDescent="0.25">
      <c r="H236" s="356">
        <v>232</v>
      </c>
      <c r="I236" s="355"/>
      <c r="J236" s="363"/>
      <c r="K236" s="355"/>
      <c r="L236" s="355"/>
      <c r="M236" s="358">
        <f t="shared" si="4"/>
        <v>0</v>
      </c>
      <c r="N236" s="363"/>
    </row>
    <row r="237" spans="8:14" x14ac:dyDescent="0.25">
      <c r="H237" s="356">
        <v>233</v>
      </c>
      <c r="I237" s="355"/>
      <c r="J237" s="363"/>
      <c r="K237" s="355"/>
      <c r="L237" s="355"/>
      <c r="M237" s="358">
        <f t="shared" si="4"/>
        <v>0</v>
      </c>
      <c r="N237" s="363"/>
    </row>
    <row r="238" spans="8:14" x14ac:dyDescent="0.25">
      <c r="H238" s="356">
        <v>234</v>
      </c>
      <c r="I238" s="355"/>
      <c r="J238" s="363"/>
      <c r="K238" s="355"/>
      <c r="L238" s="355"/>
      <c r="M238" s="358">
        <f t="shared" si="4"/>
        <v>0</v>
      </c>
      <c r="N238" s="363"/>
    </row>
    <row r="239" spans="8:14" x14ac:dyDescent="0.25">
      <c r="H239" s="356">
        <v>235</v>
      </c>
      <c r="I239" s="355"/>
      <c r="J239" s="363"/>
      <c r="K239" s="355"/>
      <c r="L239" s="355"/>
      <c r="M239" s="358">
        <f t="shared" si="4"/>
        <v>0</v>
      </c>
      <c r="N239" s="363"/>
    </row>
    <row r="240" spans="8:14" x14ac:dyDescent="0.25">
      <c r="H240" s="356">
        <v>236</v>
      </c>
      <c r="I240" s="355"/>
      <c r="J240" s="363"/>
      <c r="K240" s="355"/>
      <c r="L240" s="355"/>
      <c r="M240" s="358">
        <f t="shared" si="4"/>
        <v>0</v>
      </c>
      <c r="N240" s="363"/>
    </row>
    <row r="241" spans="8:14" x14ac:dyDescent="0.25">
      <c r="H241" s="356">
        <v>237</v>
      </c>
      <c r="I241" s="355"/>
      <c r="J241" s="363"/>
      <c r="K241" s="355"/>
      <c r="L241" s="355"/>
      <c r="M241" s="358">
        <f t="shared" si="4"/>
        <v>0</v>
      </c>
      <c r="N241" s="363"/>
    </row>
    <row r="242" spans="8:14" x14ac:dyDescent="0.25">
      <c r="H242" s="356">
        <v>238</v>
      </c>
      <c r="I242" s="355"/>
      <c r="J242" s="363"/>
      <c r="K242" s="355"/>
      <c r="L242" s="355"/>
      <c r="M242" s="358">
        <f t="shared" si="4"/>
        <v>0</v>
      </c>
      <c r="N242" s="363"/>
    </row>
    <row r="243" spans="8:14" x14ac:dyDescent="0.25">
      <c r="H243" s="356">
        <v>239</v>
      </c>
      <c r="I243" s="355"/>
      <c r="J243" s="363"/>
      <c r="K243" s="355"/>
      <c r="L243" s="355"/>
      <c r="M243" s="358">
        <f t="shared" si="4"/>
        <v>0</v>
      </c>
      <c r="N243" s="363"/>
    </row>
    <row r="244" spans="8:14" x14ac:dyDescent="0.25">
      <c r="H244" s="356">
        <v>240</v>
      </c>
      <c r="I244" s="355"/>
      <c r="J244" s="363"/>
      <c r="K244" s="355"/>
      <c r="L244" s="355"/>
      <c r="M244" s="358">
        <f t="shared" si="4"/>
        <v>0</v>
      </c>
      <c r="N244" s="363"/>
    </row>
    <row r="245" spans="8:14" x14ac:dyDescent="0.25">
      <c r="H245" s="356">
        <v>241</v>
      </c>
      <c r="I245" s="355"/>
      <c r="J245" s="363"/>
      <c r="K245" s="355"/>
      <c r="L245" s="355"/>
      <c r="M245" s="358">
        <f t="shared" si="4"/>
        <v>0</v>
      </c>
      <c r="N245" s="363"/>
    </row>
    <row r="246" spans="8:14" x14ac:dyDescent="0.25">
      <c r="H246" s="356">
        <v>242</v>
      </c>
      <c r="I246" s="355"/>
      <c r="J246" s="363"/>
      <c r="K246" s="355"/>
      <c r="L246" s="355"/>
      <c r="M246" s="358">
        <f t="shared" si="4"/>
        <v>0</v>
      </c>
      <c r="N246" s="363"/>
    </row>
  </sheetData>
  <sheetProtection algorithmName="SHA-512" hashValue="GlZHs2clDQxDcF3FUg/r/+ktx++CXFiR2y5zsyvZYP/AxNtJX7bSGAVg0Drrbl4lZa9fL8buz0q/mDvtYBoTuQ==" saltValue="iktcXscUOrGUplhrifPjNA==" spinCount="100000" sheet="1" formatCells="0"/>
  <mergeCells count="4">
    <mergeCell ref="H2:N2"/>
    <mergeCell ref="A12:E12"/>
    <mergeCell ref="A13:A14"/>
    <mergeCell ref="D13:D14"/>
  </mergeCells>
  <pageMargins left="0.75" right="0.75" top="1" bottom="1" header="0" footer="0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6"/>
  <dimension ref="A1:O246"/>
  <sheetViews>
    <sheetView showZeros="0" zoomScale="40" zoomScaleNormal="40" workbookViewId="0">
      <selection activeCell="F17" sqref="F17"/>
    </sheetView>
  </sheetViews>
  <sheetFormatPr baseColWidth="10" defaultColWidth="11.44140625" defaultRowHeight="13.2" x14ac:dyDescent="0.25"/>
  <cols>
    <col min="1" max="1" width="3.88671875" style="61" bestFit="1" customWidth="1"/>
    <col min="2" max="2" width="20.44140625" style="61" bestFit="1" customWidth="1"/>
    <col min="3" max="3" width="26.33203125" style="61" customWidth="1"/>
    <col min="4" max="4" width="11.44140625" style="61"/>
    <col min="5" max="5" width="24.33203125" style="61" customWidth="1"/>
    <col min="6" max="6" width="19.44140625" style="61" bestFit="1" customWidth="1"/>
    <col min="7" max="7" width="19.109375" style="61" customWidth="1"/>
    <col min="8" max="8" width="6.6640625" style="61" customWidth="1"/>
    <col min="9" max="9" width="38.33203125" style="61" bestFit="1" customWidth="1"/>
    <col min="10" max="10" width="12" style="61" customWidth="1"/>
    <col min="11" max="11" width="29.6640625" style="61" customWidth="1"/>
    <col min="12" max="12" width="14.5546875" style="61" bestFit="1" customWidth="1"/>
    <col min="13" max="13" width="25.6640625" style="61" bestFit="1" customWidth="1"/>
    <col min="14" max="16384" width="11.44140625" style="61"/>
  </cols>
  <sheetData>
    <row r="1" spans="1:15" x14ac:dyDescent="0.25">
      <c r="A1" s="61" t="s">
        <v>10</v>
      </c>
      <c r="B1" s="3">
        <v>2</v>
      </c>
      <c r="C1" s="3">
        <v>1</v>
      </c>
      <c r="F1" s="3">
        <v>1</v>
      </c>
      <c r="H1" s="4">
        <v>81</v>
      </c>
      <c r="I1" s="14">
        <f>H1-1</f>
        <v>80</v>
      </c>
      <c r="J1" s="4">
        <v>100</v>
      </c>
      <c r="K1" s="14">
        <f>J1-1</f>
        <v>99</v>
      </c>
      <c r="L1" s="14"/>
      <c r="M1" s="14"/>
      <c r="N1" s="14"/>
    </row>
    <row r="2" spans="1:15" x14ac:dyDescent="0.25">
      <c r="B2" s="149" t="s">
        <v>69</v>
      </c>
      <c r="C2" s="149" t="s">
        <v>70</v>
      </c>
      <c r="D2" s="149" t="s">
        <v>71</v>
      </c>
      <c r="F2" s="149" t="s">
        <v>27</v>
      </c>
      <c r="G2" s="81"/>
      <c r="H2" s="703" t="s">
        <v>1</v>
      </c>
      <c r="I2" s="703"/>
      <c r="J2" s="703"/>
      <c r="K2" s="703"/>
      <c r="L2" s="703"/>
      <c r="M2" s="703"/>
      <c r="N2" s="703"/>
      <c r="O2" s="108"/>
    </row>
    <row r="3" spans="1:15" x14ac:dyDescent="0.25">
      <c r="A3" s="76">
        <v>1</v>
      </c>
      <c r="B3" s="150" t="s">
        <v>1367</v>
      </c>
      <c r="C3" s="150" t="s">
        <v>583</v>
      </c>
      <c r="D3" s="150" t="s">
        <v>638</v>
      </c>
      <c r="F3" s="61" t="s">
        <v>38</v>
      </c>
      <c r="H3" s="157" t="s">
        <v>60</v>
      </c>
      <c r="I3" s="97" t="s">
        <v>72</v>
      </c>
      <c r="J3" s="98" t="s">
        <v>73</v>
      </c>
      <c r="K3" s="98" t="s">
        <v>2</v>
      </c>
      <c r="L3" s="98" t="s">
        <v>3</v>
      </c>
      <c r="M3" s="98" t="s">
        <v>53</v>
      </c>
      <c r="N3" s="98" t="s">
        <v>74</v>
      </c>
      <c r="O3" s="70"/>
    </row>
    <row r="4" spans="1:15" x14ac:dyDescent="0.25">
      <c r="A4" s="76">
        <v>2</v>
      </c>
      <c r="B4" s="150" t="s">
        <v>581</v>
      </c>
      <c r="C4" s="14"/>
      <c r="F4" s="61" t="s">
        <v>79</v>
      </c>
      <c r="H4" s="157">
        <v>0</v>
      </c>
      <c r="I4" s="97" t="s">
        <v>4</v>
      </c>
      <c r="J4" s="98" t="s">
        <v>4</v>
      </c>
      <c r="K4" s="98"/>
      <c r="L4" s="104"/>
      <c r="M4" s="98" t="s">
        <v>4</v>
      </c>
      <c r="N4" s="98"/>
    </row>
    <row r="5" spans="1:15" x14ac:dyDescent="0.25">
      <c r="A5" s="76">
        <v>3</v>
      </c>
      <c r="B5" s="150" t="s">
        <v>583</v>
      </c>
      <c r="C5" s="14"/>
      <c r="H5" s="55">
        <v>1</v>
      </c>
      <c r="I5" s="104" t="s">
        <v>234</v>
      </c>
      <c r="J5" s="103"/>
      <c r="K5" s="104" t="s">
        <v>419</v>
      </c>
      <c r="L5" s="104" t="s">
        <v>639</v>
      </c>
      <c r="M5" s="100" t="str">
        <f t="shared" ref="M5:M68" si="0">IF(J5="",I5,I5&amp;" ("&amp;J5&amp;")")</f>
        <v xml:space="preserve">A &amp; T Nicaragua, S.A.                                       </v>
      </c>
      <c r="N5" s="101"/>
    </row>
    <row r="6" spans="1:15" x14ac:dyDescent="0.25">
      <c r="A6" s="76">
        <v>4</v>
      </c>
      <c r="B6" s="150"/>
      <c r="C6" s="14"/>
      <c r="H6" s="55">
        <v>2</v>
      </c>
      <c r="I6" s="104" t="s">
        <v>235</v>
      </c>
      <c r="J6" s="99"/>
      <c r="K6" s="104" t="s">
        <v>420</v>
      </c>
      <c r="L6" s="104" t="s">
        <v>640</v>
      </c>
      <c r="M6" s="100" t="str">
        <f t="shared" si="0"/>
        <v xml:space="preserve">Aceitera EL Real, S.A.                                      </v>
      </c>
      <c r="N6" s="101"/>
    </row>
    <row r="7" spans="1:15" ht="19.2" x14ac:dyDescent="0.25">
      <c r="A7" s="76">
        <v>5</v>
      </c>
      <c r="B7" s="14"/>
      <c r="C7" s="14"/>
      <c r="H7" s="55">
        <v>3</v>
      </c>
      <c r="I7" s="104" t="s">
        <v>236</v>
      </c>
      <c r="J7" s="103"/>
      <c r="K7" s="104" t="s">
        <v>421</v>
      </c>
      <c r="L7" s="104" t="s">
        <v>640</v>
      </c>
      <c r="M7" s="100" t="str">
        <f t="shared" si="0"/>
        <v>ACI-ACN</v>
      </c>
      <c r="N7" s="101"/>
    </row>
    <row r="8" spans="1:15" x14ac:dyDescent="0.25">
      <c r="B8" s="14"/>
      <c r="C8" s="14"/>
      <c r="H8" s="56">
        <v>4</v>
      </c>
      <c r="I8" s="104" t="s">
        <v>237</v>
      </c>
      <c r="J8" s="103"/>
      <c r="K8" s="104" t="s">
        <v>422</v>
      </c>
      <c r="L8" s="104" t="s">
        <v>640</v>
      </c>
      <c r="M8" s="100" t="str">
        <f t="shared" si="0"/>
        <v xml:space="preserve">AGMIN SRL                                                   </v>
      </c>
      <c r="N8" s="105"/>
    </row>
    <row r="9" spans="1:15" x14ac:dyDescent="0.25">
      <c r="H9" s="56">
        <v>5</v>
      </c>
      <c r="I9" s="104" t="s">
        <v>238</v>
      </c>
      <c r="J9" s="107"/>
      <c r="K9" s="104" t="s">
        <v>423</v>
      </c>
      <c r="L9" s="104"/>
      <c r="M9" s="100" t="str">
        <f t="shared" si="0"/>
        <v xml:space="preserve">Agrobiotek Nicaragua, S.A.                                  </v>
      </c>
      <c r="N9" s="106"/>
    </row>
    <row r="10" spans="1:15" ht="19.2" x14ac:dyDescent="0.25">
      <c r="H10" s="56">
        <v>6</v>
      </c>
      <c r="I10" s="104" t="s">
        <v>239</v>
      </c>
      <c r="J10" s="103"/>
      <c r="K10" s="104" t="s">
        <v>424</v>
      </c>
      <c r="L10" s="104"/>
      <c r="M10" s="100" t="str">
        <f t="shared" si="0"/>
        <v>Agrosa - Indegrasa - Harinisa</v>
      </c>
      <c r="N10" s="105"/>
    </row>
    <row r="11" spans="1:15" x14ac:dyDescent="0.25">
      <c r="A11" s="4">
        <v>3</v>
      </c>
      <c r="B11" s="59">
        <f>A11-1</f>
        <v>2</v>
      </c>
      <c r="C11" s="60"/>
      <c r="D11" s="60"/>
      <c r="E11" s="60"/>
      <c r="H11" s="56">
        <v>7</v>
      </c>
      <c r="I11" s="104" t="s">
        <v>240</v>
      </c>
      <c r="J11" s="103"/>
      <c r="K11" s="104" t="s">
        <v>425</v>
      </c>
      <c r="L11" s="104"/>
      <c r="M11" s="146" t="str">
        <f t="shared" si="0"/>
        <v xml:space="preserve">Aje Nicaragua, S.A.                                         </v>
      </c>
      <c r="N11" s="105"/>
    </row>
    <row r="12" spans="1:15" ht="19.2" x14ac:dyDescent="0.25">
      <c r="A12" s="630" t="s">
        <v>40</v>
      </c>
      <c r="B12" s="630"/>
      <c r="C12" s="630"/>
      <c r="D12" s="630"/>
      <c r="E12" s="630"/>
      <c r="H12" s="56">
        <v>8</v>
      </c>
      <c r="I12" s="104" t="s">
        <v>241</v>
      </c>
      <c r="J12" s="103"/>
      <c r="K12" s="104" t="s">
        <v>426</v>
      </c>
      <c r="L12" s="104"/>
      <c r="M12" s="100" t="str">
        <f t="shared" si="0"/>
        <v xml:space="preserve">Alba de Nicaragua, S.A.                                     </v>
      </c>
      <c r="N12" s="105"/>
    </row>
    <row r="13" spans="1:15" ht="19.2" x14ac:dyDescent="0.25">
      <c r="A13" s="704" t="s">
        <v>60</v>
      </c>
      <c r="B13" s="157" t="s">
        <v>41</v>
      </c>
      <c r="C13" s="157" t="s">
        <v>73</v>
      </c>
      <c r="D13" s="704" t="s">
        <v>2</v>
      </c>
      <c r="E13" s="157" t="s">
        <v>54</v>
      </c>
      <c r="H13" s="56">
        <v>9</v>
      </c>
      <c r="I13" s="104" t="s">
        <v>242</v>
      </c>
      <c r="J13" s="103"/>
      <c r="K13" s="104" t="s">
        <v>427</v>
      </c>
      <c r="L13" s="104"/>
      <c r="M13" s="100" t="str">
        <f t="shared" si="0"/>
        <v xml:space="preserve">ALBALINISA                                                  </v>
      </c>
      <c r="N13" s="105"/>
    </row>
    <row r="14" spans="1:15" x14ac:dyDescent="0.25">
      <c r="A14" s="705"/>
      <c r="B14" s="157" t="s">
        <v>4</v>
      </c>
      <c r="C14" s="157" t="s">
        <v>4</v>
      </c>
      <c r="D14" s="705"/>
      <c r="E14" s="157" t="s">
        <v>4</v>
      </c>
      <c r="H14" s="56">
        <v>10</v>
      </c>
      <c r="I14" s="104" t="s">
        <v>243</v>
      </c>
      <c r="J14" s="103"/>
      <c r="K14" s="104" t="s">
        <v>428</v>
      </c>
      <c r="L14" s="104"/>
      <c r="M14" s="100" t="str">
        <f t="shared" si="0"/>
        <v xml:space="preserve">Alfredo Vargas                                         </v>
      </c>
      <c r="N14" s="105"/>
    </row>
    <row r="15" spans="1:15" x14ac:dyDescent="0.25">
      <c r="A15" s="56">
        <v>1</v>
      </c>
      <c r="B15" s="57" t="s">
        <v>51</v>
      </c>
      <c r="C15" s="57" t="s">
        <v>42</v>
      </c>
      <c r="D15" s="58" t="s">
        <v>52</v>
      </c>
      <c r="E15" s="62" t="str">
        <f>C15&amp; IF(B15=C15,"","          -         "&amp; B15)</f>
        <v>NO DISPONIBLE</v>
      </c>
      <c r="H15" s="56">
        <v>11</v>
      </c>
      <c r="I15" s="104" t="s">
        <v>244</v>
      </c>
      <c r="J15" s="102"/>
      <c r="K15" s="104" t="s">
        <v>429</v>
      </c>
      <c r="L15" s="104"/>
      <c r="M15" s="100" t="str">
        <f t="shared" si="0"/>
        <v xml:space="preserve">Alpla  Nicaragua, S.A.                                      </v>
      </c>
      <c r="N15" s="107"/>
    </row>
    <row r="16" spans="1:15" x14ac:dyDescent="0.25">
      <c r="A16" s="56">
        <v>2</v>
      </c>
      <c r="B16" s="57" t="s">
        <v>80</v>
      </c>
      <c r="C16" s="57" t="s">
        <v>80</v>
      </c>
      <c r="D16" s="58"/>
      <c r="E16" s="62" t="str">
        <f t="shared" ref="E16:E24" si="1">B16&amp; IF(OR(B16=C16,C16=""),"","          -         "&amp; C16)</f>
        <v>Fisher Scientific</v>
      </c>
      <c r="H16" s="56">
        <v>12</v>
      </c>
      <c r="I16" s="104" t="s">
        <v>245</v>
      </c>
      <c r="J16" s="99"/>
      <c r="K16" s="104" t="s">
        <v>430</v>
      </c>
      <c r="L16" s="104"/>
      <c r="M16" s="100" t="str">
        <f t="shared" si="0"/>
        <v xml:space="preserve">Alta Research                                      </v>
      </c>
      <c r="N16" s="107"/>
    </row>
    <row r="17" spans="1:14" x14ac:dyDescent="0.25">
      <c r="A17" s="56">
        <v>3</v>
      </c>
      <c r="B17" s="57" t="s">
        <v>149</v>
      </c>
      <c r="C17" s="57" t="s">
        <v>149</v>
      </c>
      <c r="D17" s="58"/>
      <c r="E17" s="62" t="str">
        <f t="shared" si="1"/>
        <v>Fowler&amp;NSK</v>
      </c>
      <c r="H17" s="56">
        <v>13</v>
      </c>
      <c r="I17" s="104" t="s">
        <v>246</v>
      </c>
      <c r="J17" s="148"/>
      <c r="K17" s="104" t="s">
        <v>431</v>
      </c>
      <c r="L17" s="104"/>
      <c r="M17" s="147" t="str">
        <f t="shared" si="0"/>
        <v xml:space="preserve">ANNIC II, S.A.                                              </v>
      </c>
      <c r="N17" s="107"/>
    </row>
    <row r="18" spans="1:14" x14ac:dyDescent="0.25">
      <c r="A18" s="56">
        <v>4</v>
      </c>
      <c r="B18" s="57" t="s">
        <v>185</v>
      </c>
      <c r="C18" s="57" t="s">
        <v>185</v>
      </c>
      <c r="D18" s="58"/>
      <c r="E18" s="62" t="str">
        <f t="shared" si="1"/>
        <v>HARDENED</v>
      </c>
      <c r="H18" s="56">
        <v>14</v>
      </c>
      <c r="I18" s="104" t="s">
        <v>247</v>
      </c>
      <c r="J18" s="145"/>
      <c r="K18" s="104" t="s">
        <v>432</v>
      </c>
      <c r="L18" s="104"/>
      <c r="M18" s="147" t="str">
        <f t="shared" si="0"/>
        <v xml:space="preserve">Arnecom El Salvador S.A. DE C.V.                         </v>
      </c>
      <c r="N18" s="107"/>
    </row>
    <row r="19" spans="1:14" ht="19.2" x14ac:dyDescent="0.25">
      <c r="A19" s="56">
        <v>5</v>
      </c>
      <c r="B19" s="57" t="s">
        <v>34</v>
      </c>
      <c r="C19" s="57" t="s">
        <v>34</v>
      </c>
      <c r="D19" s="58"/>
      <c r="E19" s="62" t="str">
        <f t="shared" si="1"/>
        <v>Mitutoyo</v>
      </c>
      <c r="H19" s="56">
        <v>15</v>
      </c>
      <c r="I19" s="104" t="s">
        <v>248</v>
      </c>
      <c r="J19" s="162"/>
      <c r="K19" s="104" t="s">
        <v>433</v>
      </c>
      <c r="L19" s="104"/>
      <c r="M19" s="147" t="str">
        <f t="shared" si="0"/>
        <v xml:space="preserve">Articulos y Construcciones  Eléctricas de Nic, S.A.          </v>
      </c>
      <c r="N19" s="162" t="s">
        <v>197</v>
      </c>
    </row>
    <row r="20" spans="1:14" ht="19.2" x14ac:dyDescent="0.25">
      <c r="A20" s="56">
        <v>6</v>
      </c>
      <c r="B20" s="57" t="s">
        <v>186</v>
      </c>
      <c r="C20" s="57" t="s">
        <v>186</v>
      </c>
      <c r="D20" s="58"/>
      <c r="E20" s="62" t="str">
        <f t="shared" si="1"/>
        <v>Truper</v>
      </c>
      <c r="H20" s="56">
        <v>16</v>
      </c>
      <c r="I20" s="104" t="s">
        <v>249</v>
      </c>
      <c r="J20" s="162"/>
      <c r="K20" s="104" t="s">
        <v>434</v>
      </c>
      <c r="L20" s="104"/>
      <c r="M20" s="147" t="str">
        <f t="shared" si="0"/>
        <v xml:space="preserve">Astaldi SPA                                                 </v>
      </c>
      <c r="N20" s="162"/>
    </row>
    <row r="21" spans="1:14" ht="12.75" customHeight="1" x14ac:dyDescent="0.25">
      <c r="A21" s="56">
        <v>7</v>
      </c>
      <c r="B21" s="159"/>
      <c r="C21" s="159"/>
      <c r="D21" s="160"/>
      <c r="E21" s="161" t="str">
        <f t="shared" si="1"/>
        <v/>
      </c>
      <c r="H21" s="56">
        <v>17</v>
      </c>
      <c r="I21" s="104" t="s">
        <v>250</v>
      </c>
      <c r="J21" s="162"/>
      <c r="K21" s="104" t="s">
        <v>435</v>
      </c>
      <c r="L21" s="104"/>
      <c r="M21" s="147" t="str">
        <f t="shared" si="0"/>
        <v>Básculas y Balanzas</v>
      </c>
      <c r="N21" s="162"/>
    </row>
    <row r="22" spans="1:14" ht="12.75" customHeight="1" x14ac:dyDescent="0.25">
      <c r="A22" s="56">
        <v>8</v>
      </c>
      <c r="B22" s="159"/>
      <c r="C22" s="159"/>
      <c r="D22" s="160"/>
      <c r="E22" s="161" t="str">
        <f t="shared" si="1"/>
        <v/>
      </c>
      <c r="H22" s="56">
        <v>18</v>
      </c>
      <c r="I22" s="104" t="s">
        <v>251</v>
      </c>
      <c r="J22" s="162"/>
      <c r="K22" s="104" t="s">
        <v>436</v>
      </c>
      <c r="L22" s="104"/>
      <c r="M22" s="147" t="str">
        <f t="shared" si="0"/>
        <v xml:space="preserve">Bayer, S.A.                                                 </v>
      </c>
      <c r="N22" s="162"/>
    </row>
    <row r="23" spans="1:14" ht="19.2" x14ac:dyDescent="0.25">
      <c r="A23" s="56">
        <v>9</v>
      </c>
      <c r="B23" s="159"/>
      <c r="C23" s="159"/>
      <c r="D23" s="160"/>
      <c r="E23" s="161" t="str">
        <f t="shared" si="1"/>
        <v/>
      </c>
      <c r="H23" s="56">
        <v>19</v>
      </c>
      <c r="I23" s="104" t="s">
        <v>252</v>
      </c>
      <c r="J23" s="162"/>
      <c r="K23" s="104" t="s">
        <v>437</v>
      </c>
      <c r="L23" s="104"/>
      <c r="M23" s="147" t="str">
        <f t="shared" si="0"/>
        <v>Beneficiadora "OLAM"</v>
      </c>
      <c r="N23" s="162"/>
    </row>
    <row r="24" spans="1:14" ht="19.2" x14ac:dyDescent="0.25">
      <c r="A24" s="56">
        <v>10</v>
      </c>
      <c r="B24" s="159"/>
      <c r="C24" s="159"/>
      <c r="D24" s="160"/>
      <c r="E24" s="161" t="str">
        <f t="shared" si="1"/>
        <v/>
      </c>
      <c r="H24" s="56">
        <v>20</v>
      </c>
      <c r="I24" s="104" t="s">
        <v>253</v>
      </c>
      <c r="J24" s="162"/>
      <c r="K24" s="104" t="s">
        <v>438</v>
      </c>
      <c r="L24" s="104"/>
      <c r="M24" s="147" t="str">
        <f t="shared" si="0"/>
        <v xml:space="preserve">Beneficiadora Norteña de Café, S.A.                         </v>
      </c>
      <c r="N24" s="162"/>
    </row>
    <row r="25" spans="1:14" ht="19.2" x14ac:dyDescent="0.25">
      <c r="H25" s="56">
        <v>21</v>
      </c>
      <c r="I25" s="104" t="s">
        <v>254</v>
      </c>
      <c r="J25" s="162"/>
      <c r="K25" s="104" t="s">
        <v>439</v>
      </c>
      <c r="L25" s="104"/>
      <c r="M25" s="147" t="str">
        <f t="shared" si="0"/>
        <v>Beneficio Las Tejas</v>
      </c>
      <c r="N25" s="162"/>
    </row>
    <row r="26" spans="1:14" x14ac:dyDescent="0.25">
      <c r="H26" s="56">
        <v>22</v>
      </c>
      <c r="I26" s="104" t="s">
        <v>255</v>
      </c>
      <c r="J26" s="162"/>
      <c r="K26" s="104" t="s">
        <v>440</v>
      </c>
      <c r="L26" s="104"/>
      <c r="M26" s="147" t="str">
        <f t="shared" si="0"/>
        <v>Beneficio San Rafael</v>
      </c>
      <c r="N26" s="162"/>
    </row>
    <row r="27" spans="1:14" x14ac:dyDescent="0.25">
      <c r="H27" s="56">
        <v>23</v>
      </c>
      <c r="I27" s="104" t="s">
        <v>256</v>
      </c>
      <c r="J27" s="162"/>
      <c r="K27" s="104" t="s">
        <v>433</v>
      </c>
      <c r="L27" s="104"/>
      <c r="M27" s="147" t="str">
        <f t="shared" si="0"/>
        <v>Biotecnica</v>
      </c>
      <c r="N27" s="162"/>
    </row>
    <row r="28" spans="1:14" x14ac:dyDescent="0.25">
      <c r="H28" s="56">
        <v>24</v>
      </c>
      <c r="I28" s="104" t="s">
        <v>257</v>
      </c>
      <c r="J28" s="162"/>
      <c r="K28" s="104" t="s">
        <v>441</v>
      </c>
      <c r="L28" s="104"/>
      <c r="M28" s="147" t="str">
        <f t="shared" si="0"/>
        <v xml:space="preserve">Biwater International, LTD.                                 </v>
      </c>
      <c r="N28" s="162"/>
    </row>
    <row r="29" spans="1:14" x14ac:dyDescent="0.25">
      <c r="H29" s="56">
        <v>25</v>
      </c>
      <c r="I29" s="104" t="s">
        <v>258</v>
      </c>
      <c r="J29" s="162"/>
      <c r="K29" s="104" t="s">
        <v>442</v>
      </c>
      <c r="L29" s="104"/>
      <c r="M29" s="147" t="str">
        <f t="shared" si="0"/>
        <v xml:space="preserve">Burke Agro                  </v>
      </c>
      <c r="N29" s="162"/>
    </row>
    <row r="30" spans="1:14" x14ac:dyDescent="0.25">
      <c r="H30" s="56">
        <v>26</v>
      </c>
      <c r="I30" s="104" t="s">
        <v>259</v>
      </c>
      <c r="J30" s="162"/>
      <c r="K30" s="104" t="s">
        <v>443</v>
      </c>
      <c r="L30" s="104"/>
      <c r="M30" s="147" t="str">
        <f t="shared" si="0"/>
        <v xml:space="preserve">Café Soluble, S.A.                                          </v>
      </c>
      <c r="N30" s="162"/>
    </row>
    <row r="31" spans="1:14" x14ac:dyDescent="0.25">
      <c r="H31" s="56">
        <v>27</v>
      </c>
      <c r="I31" s="104" t="s">
        <v>260</v>
      </c>
      <c r="J31" s="162"/>
      <c r="K31" s="104" t="s">
        <v>444</v>
      </c>
      <c r="L31" s="104"/>
      <c r="M31" s="147" t="str">
        <f t="shared" si="0"/>
        <v xml:space="preserve">Callejas Sequeira e Hijos                        </v>
      </c>
      <c r="N31" s="162"/>
    </row>
    <row r="32" spans="1:14" x14ac:dyDescent="0.25">
      <c r="H32" s="56">
        <v>28</v>
      </c>
      <c r="I32" s="104" t="s">
        <v>261</v>
      </c>
      <c r="J32" s="162"/>
      <c r="K32" s="104" t="s">
        <v>445</v>
      </c>
      <c r="L32" s="104"/>
      <c r="M32" s="147" t="str">
        <f t="shared" si="0"/>
        <v xml:space="preserve">CAM Interntional                               </v>
      </c>
      <c r="N32" s="162"/>
    </row>
    <row r="33" spans="1:14" x14ac:dyDescent="0.25">
      <c r="H33" s="56">
        <v>29</v>
      </c>
      <c r="I33" s="104" t="s">
        <v>262</v>
      </c>
      <c r="J33" s="162"/>
      <c r="K33" s="104" t="s">
        <v>446</v>
      </c>
      <c r="L33" s="104"/>
      <c r="M33" s="147" t="str">
        <f t="shared" si="0"/>
        <v xml:space="preserve">Camanica Zona Franca, S.A.                                  </v>
      </c>
      <c r="N33" s="162"/>
    </row>
    <row r="34" spans="1:14" ht="19.2" x14ac:dyDescent="0.25">
      <c r="H34" s="56">
        <v>30</v>
      </c>
      <c r="I34" s="104" t="s">
        <v>263</v>
      </c>
      <c r="J34" s="162"/>
      <c r="K34" s="104" t="s">
        <v>447</v>
      </c>
      <c r="L34" s="104"/>
      <c r="M34" s="147" t="str">
        <f t="shared" si="0"/>
        <v>Cambridge International, S.A.</v>
      </c>
      <c r="N34" s="162"/>
    </row>
    <row r="35" spans="1:14" ht="19.2" x14ac:dyDescent="0.25">
      <c r="H35" s="56">
        <v>31</v>
      </c>
      <c r="I35" s="104" t="s">
        <v>264</v>
      </c>
      <c r="J35" s="162"/>
      <c r="K35" s="104" t="s">
        <v>448</v>
      </c>
      <c r="L35" s="104"/>
      <c r="M35" s="147" t="str">
        <f t="shared" si="0"/>
        <v>Caribbean Blue S.A</v>
      </c>
      <c r="N35" s="162"/>
    </row>
    <row r="36" spans="1:14" x14ac:dyDescent="0.25">
      <c r="H36" s="56">
        <v>32</v>
      </c>
      <c r="I36" s="104" t="s">
        <v>265</v>
      </c>
      <c r="J36" s="162"/>
      <c r="K36" s="104" t="s">
        <v>449</v>
      </c>
      <c r="L36" s="104"/>
      <c r="M36" s="147" t="str">
        <f t="shared" si="0"/>
        <v xml:space="preserve">Carlos Gutierrez Mairena                        </v>
      </c>
      <c r="N36" s="162"/>
    </row>
    <row r="37" spans="1:14" x14ac:dyDescent="0.25">
      <c r="H37" s="56">
        <v>33</v>
      </c>
      <c r="I37" s="104" t="s">
        <v>266</v>
      </c>
      <c r="J37" s="162"/>
      <c r="K37" s="104" t="s">
        <v>450</v>
      </c>
      <c r="L37" s="104"/>
      <c r="M37" s="147" t="str">
        <f t="shared" si="0"/>
        <v xml:space="preserve">Casa del Café, S.A.                                         </v>
      </c>
      <c r="N37" s="162"/>
    </row>
    <row r="38" spans="1:14" x14ac:dyDescent="0.25">
      <c r="H38" s="56">
        <v>34</v>
      </c>
      <c r="I38" s="104" t="s">
        <v>267</v>
      </c>
      <c r="J38" s="162"/>
      <c r="K38" s="104" t="s">
        <v>451</v>
      </c>
      <c r="L38" s="104"/>
      <c r="M38" s="147" t="str">
        <f t="shared" si="0"/>
        <v xml:space="preserve">CCG Nicaragua, S.A.                                         </v>
      </c>
      <c r="N38" s="162"/>
    </row>
    <row r="39" spans="1:14" x14ac:dyDescent="0.25">
      <c r="F39" s="60"/>
      <c r="G39" s="60"/>
      <c r="H39" s="56">
        <v>35</v>
      </c>
      <c r="I39" s="104" t="s">
        <v>268</v>
      </c>
      <c r="J39" s="162"/>
      <c r="K39" s="104" t="s">
        <v>433</v>
      </c>
      <c r="L39" s="104"/>
      <c r="M39" s="147" t="str">
        <f t="shared" si="0"/>
        <v xml:space="preserve">CECNA - INATEC                                              </v>
      </c>
      <c r="N39" s="162"/>
    </row>
    <row r="40" spans="1:14" ht="19.2" x14ac:dyDescent="0.25">
      <c r="F40" s="149"/>
      <c r="G40" s="149"/>
      <c r="H40" s="56">
        <v>36</v>
      </c>
      <c r="I40" s="104" t="s">
        <v>269</v>
      </c>
      <c r="J40" s="162"/>
      <c r="K40" s="104" t="s">
        <v>452</v>
      </c>
      <c r="L40" s="104"/>
      <c r="M40" s="147" t="str">
        <f t="shared" si="0"/>
        <v xml:space="preserve">CEGA Nicaragua, S.A.                                        </v>
      </c>
      <c r="N40" s="162"/>
    </row>
    <row r="41" spans="1:14" x14ac:dyDescent="0.25">
      <c r="A41" s="1" t="s">
        <v>55</v>
      </c>
      <c r="B41" s="1"/>
      <c r="C41" s="1"/>
      <c r="D41" s="1"/>
      <c r="E41" s="1" t="s">
        <v>146</v>
      </c>
      <c r="H41" s="56">
        <v>37</v>
      </c>
      <c r="I41" s="104" t="s">
        <v>270</v>
      </c>
      <c r="J41" s="162"/>
      <c r="K41" s="104" t="s">
        <v>453</v>
      </c>
      <c r="L41" s="104"/>
      <c r="M41" s="147" t="str">
        <f t="shared" si="0"/>
        <v xml:space="preserve">CENSA                                                       </v>
      </c>
      <c r="N41" s="162"/>
    </row>
    <row r="42" spans="1:14" x14ac:dyDescent="0.25">
      <c r="A42" s="1" t="s">
        <v>147</v>
      </c>
      <c r="B42" s="1"/>
      <c r="C42" s="1"/>
      <c r="D42" s="1"/>
      <c r="H42" s="56">
        <v>38</v>
      </c>
      <c r="I42" s="104" t="s">
        <v>271</v>
      </c>
      <c r="J42" s="162"/>
      <c r="K42" s="104" t="s">
        <v>454</v>
      </c>
      <c r="L42" s="104"/>
      <c r="M42" s="147" t="str">
        <f t="shared" si="0"/>
        <v>Central American Fisheries S.A.</v>
      </c>
      <c r="N42" s="162"/>
    </row>
    <row r="43" spans="1:14" x14ac:dyDescent="0.25">
      <c r="A43" s="1" t="s">
        <v>0</v>
      </c>
      <c r="B43" s="1"/>
      <c r="C43" s="1"/>
      <c r="D43" s="1"/>
      <c r="H43" s="56">
        <v>39</v>
      </c>
      <c r="I43" s="104" t="s">
        <v>272</v>
      </c>
      <c r="J43" s="162"/>
      <c r="K43" s="104" t="s">
        <v>455</v>
      </c>
      <c r="L43" s="104"/>
      <c r="M43" s="147" t="str">
        <f t="shared" si="0"/>
        <v>Centrolac</v>
      </c>
      <c r="N43" s="162"/>
    </row>
    <row r="44" spans="1:14" x14ac:dyDescent="0.25">
      <c r="A44" s="1" t="s">
        <v>25</v>
      </c>
      <c r="B44" s="1"/>
      <c r="C44" s="1"/>
      <c r="D44" s="1"/>
      <c r="H44" s="56">
        <v>40</v>
      </c>
      <c r="I44" s="104" t="s">
        <v>273</v>
      </c>
      <c r="J44" s="162"/>
      <c r="K44" s="104" t="s">
        <v>456</v>
      </c>
      <c r="L44" s="104"/>
      <c r="M44" s="147" t="str">
        <f t="shared" si="0"/>
        <v xml:space="preserve">Cereales de Centroamérica, S.A.                  </v>
      </c>
      <c r="N44" s="162"/>
    </row>
    <row r="45" spans="1:14" x14ac:dyDescent="0.25">
      <c r="A45" s="1" t="s">
        <v>56</v>
      </c>
      <c r="B45" s="1"/>
      <c r="C45" s="1"/>
      <c r="D45" s="1"/>
      <c r="H45" s="56">
        <v>41</v>
      </c>
      <c r="I45" s="104" t="s">
        <v>274</v>
      </c>
      <c r="J45" s="162"/>
      <c r="K45" s="104" t="s">
        <v>457</v>
      </c>
      <c r="L45" s="104"/>
      <c r="M45" s="147" t="str">
        <f t="shared" si="0"/>
        <v>Certificadores de Carga General (CCG)</v>
      </c>
      <c r="N45" s="162"/>
    </row>
    <row r="46" spans="1:14" x14ac:dyDescent="0.25">
      <c r="A46" s="1" t="s">
        <v>26</v>
      </c>
      <c r="B46" s="1"/>
      <c r="C46" s="1"/>
      <c r="D46" s="1"/>
      <c r="H46" s="56">
        <v>42</v>
      </c>
      <c r="I46" s="104" t="s">
        <v>275</v>
      </c>
      <c r="J46" s="162"/>
      <c r="K46" s="104" t="s">
        <v>458</v>
      </c>
      <c r="L46" s="104"/>
      <c r="M46" s="147" t="str">
        <f t="shared" si="0"/>
        <v xml:space="preserve">Cerveceria Panama Barú, S.A.                                     </v>
      </c>
      <c r="N46" s="162"/>
    </row>
    <row r="47" spans="1:14" x14ac:dyDescent="0.25">
      <c r="A47" s="1" t="s">
        <v>69</v>
      </c>
      <c r="B47" s="1"/>
      <c r="C47" s="1"/>
      <c r="D47" s="1"/>
      <c r="H47" s="56">
        <v>43</v>
      </c>
      <c r="I47" s="104" t="s">
        <v>276</v>
      </c>
      <c r="J47" s="162"/>
      <c r="K47" s="104" t="s">
        <v>459</v>
      </c>
      <c r="L47" s="104"/>
      <c r="M47" s="147" t="str">
        <f t="shared" si="0"/>
        <v xml:space="preserve">CIA. Azucarera del Sur, S.A.                                </v>
      </c>
      <c r="N47" s="162"/>
    </row>
    <row r="48" spans="1:14" ht="19.2" x14ac:dyDescent="0.25">
      <c r="A48" s="1" t="s">
        <v>29</v>
      </c>
      <c r="B48" s="1"/>
      <c r="C48" s="1"/>
      <c r="D48" s="1"/>
      <c r="H48" s="56">
        <v>44</v>
      </c>
      <c r="I48" s="104" t="s">
        <v>277</v>
      </c>
      <c r="J48" s="162"/>
      <c r="K48" s="104" t="s">
        <v>460</v>
      </c>
      <c r="L48" s="104"/>
      <c r="M48" s="147" t="str">
        <f t="shared" si="0"/>
        <v xml:space="preserve">CIA. Centroamericana de Productos Lacteos S.A.             </v>
      </c>
      <c r="N48" s="162"/>
    </row>
    <row r="49" spans="1:14" ht="19.2" x14ac:dyDescent="0.25">
      <c r="A49" s="14"/>
      <c r="B49" s="14"/>
      <c r="H49" s="56">
        <v>45</v>
      </c>
      <c r="I49" s="104" t="s">
        <v>278</v>
      </c>
      <c r="J49" s="162"/>
      <c r="K49" s="104" t="s">
        <v>461</v>
      </c>
      <c r="L49" s="104"/>
      <c r="M49" s="147" t="str">
        <f t="shared" si="0"/>
        <v>Command Medical Nicaragua</v>
      </c>
      <c r="N49" s="162"/>
    </row>
    <row r="50" spans="1:14" ht="19.2" x14ac:dyDescent="0.25">
      <c r="F50" s="14"/>
      <c r="G50" s="14"/>
      <c r="H50" s="56">
        <v>46</v>
      </c>
      <c r="I50" s="104" t="s">
        <v>279</v>
      </c>
      <c r="J50" s="162"/>
      <c r="K50" s="104" t="s">
        <v>462</v>
      </c>
      <c r="L50" s="104"/>
      <c r="M50" s="147" t="str">
        <f t="shared" si="0"/>
        <v xml:space="preserve">Compañía Licorera de Nicaragua, S.A.                        </v>
      </c>
      <c r="N50" s="162"/>
    </row>
    <row r="51" spans="1:14" ht="19.2" x14ac:dyDescent="0.25">
      <c r="F51" s="14"/>
      <c r="G51" s="14"/>
      <c r="H51" s="56">
        <v>47</v>
      </c>
      <c r="I51" s="104" t="s">
        <v>280</v>
      </c>
      <c r="J51" s="162"/>
      <c r="K51" s="104" t="s">
        <v>463</v>
      </c>
      <c r="L51" s="104"/>
      <c r="M51" s="147" t="str">
        <f t="shared" si="0"/>
        <v xml:space="preserve">Compañía Cervecera de Nicaragua, S.A.                       </v>
      </c>
      <c r="N51" s="162"/>
    </row>
    <row r="52" spans="1:14" x14ac:dyDescent="0.25">
      <c r="F52" s="14"/>
      <c r="G52" s="14"/>
      <c r="H52" s="56">
        <v>48</v>
      </c>
      <c r="I52" s="104" t="s">
        <v>281</v>
      </c>
      <c r="J52" s="162"/>
      <c r="K52" s="104" t="s">
        <v>464</v>
      </c>
      <c r="L52" s="104"/>
      <c r="M52" s="147" t="str">
        <f t="shared" si="0"/>
        <v>Concretera Total, S.A.</v>
      </c>
      <c r="N52" s="162"/>
    </row>
    <row r="53" spans="1:14" x14ac:dyDescent="0.25">
      <c r="H53" s="56">
        <v>49</v>
      </c>
      <c r="I53" s="104" t="s">
        <v>282</v>
      </c>
      <c r="J53" s="162"/>
      <c r="K53" s="104" t="s">
        <v>465</v>
      </c>
      <c r="L53" s="104"/>
      <c r="M53" s="147" t="str">
        <f t="shared" si="0"/>
        <v>Conipisos</v>
      </c>
      <c r="N53" s="162"/>
    </row>
    <row r="54" spans="1:14" ht="19.2" x14ac:dyDescent="0.25">
      <c r="H54" s="56">
        <v>50</v>
      </c>
      <c r="I54" s="104" t="s">
        <v>283</v>
      </c>
      <c r="J54" s="162"/>
      <c r="K54" s="104" t="s">
        <v>433</v>
      </c>
      <c r="L54" s="104"/>
      <c r="M54" s="147" t="str">
        <f t="shared" si="0"/>
        <v xml:space="preserve">Cooperativa de Exportacion de Cafe de Matagalpa </v>
      </c>
      <c r="N54" s="162"/>
    </row>
    <row r="55" spans="1:14" x14ac:dyDescent="0.25">
      <c r="H55" s="56">
        <v>51</v>
      </c>
      <c r="I55" s="104" t="s">
        <v>284</v>
      </c>
      <c r="J55" s="162"/>
      <c r="K55" s="104" t="s">
        <v>466</v>
      </c>
      <c r="L55" s="104"/>
      <c r="M55" s="147" t="str">
        <f t="shared" si="0"/>
        <v>Cooperativa Esperanza</v>
      </c>
      <c r="N55" s="162"/>
    </row>
    <row r="56" spans="1:14" ht="19.2" x14ac:dyDescent="0.25">
      <c r="H56" s="56">
        <v>52</v>
      </c>
      <c r="I56" s="104" t="s">
        <v>285</v>
      </c>
      <c r="J56" s="162"/>
      <c r="K56" s="104" t="s">
        <v>467</v>
      </c>
      <c r="L56" s="104"/>
      <c r="M56" s="147" t="str">
        <f t="shared" si="0"/>
        <v xml:space="preserve">Corporación Agroindustrial del Pacifico S.A. (CAIPSA) </v>
      </c>
      <c r="N56" s="162"/>
    </row>
    <row r="57" spans="1:14" x14ac:dyDescent="0.25">
      <c r="H57" s="56">
        <v>53</v>
      </c>
      <c r="I57" s="104" t="s">
        <v>286</v>
      </c>
      <c r="J57" s="162"/>
      <c r="K57" s="104" t="s">
        <v>468</v>
      </c>
      <c r="L57" s="104"/>
      <c r="M57" s="147" t="str">
        <f t="shared" si="0"/>
        <v xml:space="preserve">Coorporación Eléctrica Nicaragüense                          </v>
      </c>
      <c r="N57" s="162"/>
    </row>
    <row r="58" spans="1:14" x14ac:dyDescent="0.25">
      <c r="H58" s="56">
        <v>54</v>
      </c>
      <c r="I58" s="104" t="s">
        <v>287</v>
      </c>
      <c r="J58" s="162"/>
      <c r="K58" s="104" t="s">
        <v>469</v>
      </c>
      <c r="L58" s="104"/>
      <c r="M58" s="147" t="str">
        <f t="shared" si="0"/>
        <v xml:space="preserve">Coorporación Montelimar, S.A.                                </v>
      </c>
      <c r="N58" s="162"/>
    </row>
    <row r="59" spans="1:14" x14ac:dyDescent="0.25">
      <c r="H59" s="56">
        <v>55</v>
      </c>
      <c r="I59" s="104" t="s">
        <v>288</v>
      </c>
      <c r="J59" s="162"/>
      <c r="K59" s="104" t="s">
        <v>433</v>
      </c>
      <c r="L59" s="104"/>
      <c r="M59" s="147" t="str">
        <f t="shared" si="0"/>
        <v xml:space="preserve">Cotton Ace Nicaragua, S.A.                                  </v>
      </c>
      <c r="N59" s="162"/>
    </row>
    <row r="60" spans="1:14" x14ac:dyDescent="0.25">
      <c r="H60" s="56">
        <v>56</v>
      </c>
      <c r="I60" s="104" t="s">
        <v>289</v>
      </c>
      <c r="J60" s="162"/>
      <c r="K60" s="104" t="s">
        <v>470</v>
      </c>
      <c r="L60" s="104"/>
      <c r="M60" s="147" t="str">
        <f t="shared" si="0"/>
        <v xml:space="preserve">Cruz Roja Nicaragüense                       </v>
      </c>
      <c r="N60" s="162"/>
    </row>
    <row r="61" spans="1:14" ht="19.2" x14ac:dyDescent="0.25">
      <c r="H61" s="56">
        <v>57</v>
      </c>
      <c r="I61" s="104" t="s">
        <v>290</v>
      </c>
      <c r="J61" s="162"/>
      <c r="K61" s="104" t="s">
        <v>471</v>
      </c>
      <c r="L61" s="104"/>
      <c r="M61" s="147" t="str">
        <f t="shared" si="0"/>
        <v>Dasoltex, S.A.</v>
      </c>
      <c r="N61" s="162"/>
    </row>
    <row r="62" spans="1:14" x14ac:dyDescent="0.25">
      <c r="H62" s="56">
        <v>58</v>
      </c>
      <c r="I62" s="104" t="s">
        <v>291</v>
      </c>
      <c r="J62" s="162"/>
      <c r="K62" s="104" t="s">
        <v>472</v>
      </c>
      <c r="L62" s="104"/>
      <c r="M62" s="147" t="str">
        <f t="shared" si="0"/>
        <v xml:space="preserve">DHL Global Forwarding                                       </v>
      </c>
      <c r="N62" s="162"/>
    </row>
    <row r="63" spans="1:14" x14ac:dyDescent="0.25">
      <c r="H63" s="56">
        <v>59</v>
      </c>
      <c r="I63" s="104" t="s">
        <v>292</v>
      </c>
      <c r="J63" s="162"/>
      <c r="K63" s="104" t="s">
        <v>473</v>
      </c>
      <c r="L63" s="104"/>
      <c r="M63" s="147" t="str">
        <f t="shared" si="0"/>
        <v xml:space="preserve">Dicegsa                                                 </v>
      </c>
      <c r="N63" s="162"/>
    </row>
    <row r="64" spans="1:14" x14ac:dyDescent="0.25">
      <c r="A64" s="63"/>
      <c r="B64" s="149"/>
      <c r="C64" s="149"/>
      <c r="D64" s="149"/>
      <c r="H64" s="56">
        <v>60</v>
      </c>
      <c r="I64" s="104" t="s">
        <v>293</v>
      </c>
      <c r="J64" s="162"/>
      <c r="K64" s="104" t="s">
        <v>433</v>
      </c>
      <c r="L64" s="104"/>
      <c r="M64" s="147" t="str">
        <f t="shared" si="0"/>
        <v xml:space="preserve">Distribuidora Cesar Argüello                                </v>
      </c>
      <c r="N64" s="162"/>
    </row>
    <row r="65" spans="1:14" x14ac:dyDescent="0.25">
      <c r="A65" s="64"/>
      <c r="B65" s="65"/>
      <c r="C65" s="65"/>
      <c r="D65" s="66"/>
      <c r="H65" s="56">
        <v>61</v>
      </c>
      <c r="I65" s="104" t="s">
        <v>294</v>
      </c>
      <c r="J65" s="162"/>
      <c r="K65" s="104" t="s">
        <v>474</v>
      </c>
      <c r="L65" s="104"/>
      <c r="M65" s="147" t="str">
        <f t="shared" si="0"/>
        <v xml:space="preserve">Draexlmaier Partes Automotrices, S.A.                       </v>
      </c>
      <c r="N65" s="162"/>
    </row>
    <row r="66" spans="1:14" x14ac:dyDescent="0.25">
      <c r="A66" s="64"/>
      <c r="B66" s="65"/>
      <c r="C66" s="65"/>
      <c r="D66" s="66"/>
      <c r="H66" s="56">
        <v>62</v>
      </c>
      <c r="I66" s="104" t="s">
        <v>295</v>
      </c>
      <c r="J66" s="162"/>
      <c r="K66" s="104" t="s">
        <v>475</v>
      </c>
      <c r="L66" s="104"/>
      <c r="M66" s="147" t="str">
        <f t="shared" si="0"/>
        <v xml:space="preserve">Drogueria Rocha                                             </v>
      </c>
      <c r="N66" s="162"/>
    </row>
    <row r="67" spans="1:14" x14ac:dyDescent="0.25">
      <c r="A67" s="64"/>
      <c r="B67" s="65"/>
      <c r="C67" s="65"/>
      <c r="D67" s="66"/>
      <c r="H67" s="56">
        <v>63</v>
      </c>
      <c r="I67" s="104" t="s">
        <v>296</v>
      </c>
      <c r="J67" s="162"/>
      <c r="K67" s="104" t="s">
        <v>433</v>
      </c>
      <c r="L67" s="104"/>
      <c r="M67" s="147" t="str">
        <f t="shared" si="0"/>
        <v>Ecocycle Nicaragua</v>
      </c>
      <c r="N67" s="162"/>
    </row>
    <row r="68" spans="1:14" x14ac:dyDescent="0.25">
      <c r="A68" s="64"/>
      <c r="B68" s="65"/>
      <c r="C68" s="65"/>
      <c r="D68" s="66"/>
      <c r="H68" s="56">
        <v>64</v>
      </c>
      <c r="I68" s="104" t="s">
        <v>297</v>
      </c>
      <c r="J68" s="162"/>
      <c r="K68" s="104" t="s">
        <v>476</v>
      </c>
      <c r="L68" s="104"/>
      <c r="M68" s="147" t="str">
        <f t="shared" si="0"/>
        <v xml:space="preserve">Electromecánica Especializada                              </v>
      </c>
      <c r="N68" s="162"/>
    </row>
    <row r="69" spans="1:14" ht="19.2" x14ac:dyDescent="0.25">
      <c r="A69" s="64"/>
      <c r="B69" s="65"/>
      <c r="C69" s="65"/>
      <c r="D69" s="66"/>
      <c r="H69" s="56">
        <v>65</v>
      </c>
      <c r="I69" s="104" t="s">
        <v>298</v>
      </c>
      <c r="J69" s="162"/>
      <c r="K69" s="104" t="s">
        <v>477</v>
      </c>
      <c r="L69" s="104"/>
      <c r="M69" s="147" t="str">
        <f t="shared" ref="M69:M132" si="2">IF(J69="",I69,I69&amp;" ("&amp;J69&amp;")")</f>
        <v xml:space="preserve">Empaques Santo Domingo, S.A.                                </v>
      </c>
      <c r="N69" s="162"/>
    </row>
    <row r="70" spans="1:14" x14ac:dyDescent="0.25">
      <c r="A70" s="64"/>
      <c r="B70" s="65"/>
      <c r="C70" s="65"/>
      <c r="D70" s="66"/>
      <c r="H70" s="56">
        <v>66</v>
      </c>
      <c r="I70" s="104" t="s">
        <v>299</v>
      </c>
      <c r="J70" s="162"/>
      <c r="K70" s="104" t="s">
        <v>478</v>
      </c>
      <c r="L70" s="104"/>
      <c r="M70" s="147" t="str">
        <f t="shared" si="2"/>
        <v xml:space="preserve">Empresa Energética C, LTD.                            </v>
      </c>
      <c r="N70" s="162"/>
    </row>
    <row r="71" spans="1:14" ht="19.2" x14ac:dyDescent="0.25">
      <c r="A71" s="64"/>
      <c r="B71" s="65"/>
      <c r="C71" s="65"/>
      <c r="D71" s="66"/>
      <c r="H71" s="56">
        <v>67</v>
      </c>
      <c r="I71" s="104" t="s">
        <v>300</v>
      </c>
      <c r="J71" s="162"/>
      <c r="K71" s="104" t="s">
        <v>479</v>
      </c>
      <c r="L71" s="104"/>
      <c r="M71" s="147" t="str">
        <f t="shared" si="2"/>
        <v>Enimport/ Prog. de Gestión de Calidad y Validación de Método</v>
      </c>
      <c r="N71" s="162"/>
    </row>
    <row r="72" spans="1:14" ht="19.2" x14ac:dyDescent="0.25">
      <c r="A72" s="64"/>
      <c r="B72" s="65"/>
      <c r="C72" s="65"/>
      <c r="D72" s="66"/>
      <c r="H72" s="56">
        <v>68</v>
      </c>
      <c r="I72" s="104" t="s">
        <v>301</v>
      </c>
      <c r="J72" s="162"/>
      <c r="K72" s="104" t="s">
        <v>480</v>
      </c>
      <c r="L72" s="104"/>
      <c r="M72" s="147" t="str">
        <f t="shared" si="2"/>
        <v xml:space="preserve">Enimport/ Prog. Fort.  los Lab. Centrales del IPSA          </v>
      </c>
      <c r="N72" s="162"/>
    </row>
    <row r="73" spans="1:14" ht="28.8" x14ac:dyDescent="0.25">
      <c r="A73" s="64"/>
      <c r="B73" s="65"/>
      <c r="C73" s="65"/>
      <c r="D73" s="66"/>
      <c r="H73" s="56">
        <v>69</v>
      </c>
      <c r="I73" s="104" t="s">
        <v>302</v>
      </c>
      <c r="J73" s="162"/>
      <c r="K73" s="104" t="s">
        <v>481</v>
      </c>
      <c r="L73" s="104"/>
      <c r="M73" s="147" t="str">
        <f t="shared" si="2"/>
        <v>Expoim-Rilu, S.A.</v>
      </c>
      <c r="N73" s="162"/>
    </row>
    <row r="74" spans="1:14" x14ac:dyDescent="0.25">
      <c r="A74" s="64"/>
      <c r="B74" s="65"/>
      <c r="C74" s="65"/>
      <c r="D74" s="66"/>
      <c r="H74" s="56">
        <v>70</v>
      </c>
      <c r="I74" s="104" t="s">
        <v>303</v>
      </c>
      <c r="J74" s="162"/>
      <c r="K74" s="104" t="s">
        <v>482</v>
      </c>
      <c r="L74" s="104"/>
      <c r="M74" s="147" t="str">
        <f t="shared" si="2"/>
        <v>Exportadora Panamericana Norte, S.A.</v>
      </c>
      <c r="N74" s="162"/>
    </row>
    <row r="75" spans="1:14" x14ac:dyDescent="0.25">
      <c r="A75" s="64"/>
      <c r="B75" s="65"/>
      <c r="C75" s="65"/>
      <c r="D75" s="66"/>
      <c r="H75" s="56">
        <v>71</v>
      </c>
      <c r="I75" s="104" t="s">
        <v>304</v>
      </c>
      <c r="J75" s="162"/>
      <c r="K75" s="104" t="s">
        <v>483</v>
      </c>
      <c r="L75" s="104"/>
      <c r="M75" s="147" t="str">
        <f t="shared" si="2"/>
        <v>Fara Coffee, S.A.</v>
      </c>
      <c r="N75" s="162"/>
    </row>
    <row r="76" spans="1:14" ht="19.2" x14ac:dyDescent="0.25">
      <c r="A76" s="64"/>
      <c r="B76" s="65"/>
      <c r="C76" s="65"/>
      <c r="D76" s="66"/>
      <c r="H76" s="56">
        <v>72</v>
      </c>
      <c r="I76" s="104" t="s">
        <v>305</v>
      </c>
      <c r="J76" s="162"/>
      <c r="K76" s="104" t="s">
        <v>484</v>
      </c>
      <c r="L76" s="104"/>
      <c r="M76" s="147" t="str">
        <f t="shared" si="2"/>
        <v>Finca Los Papales</v>
      </c>
      <c r="N76" s="162"/>
    </row>
    <row r="77" spans="1:14" x14ac:dyDescent="0.25">
      <c r="A77" s="64"/>
      <c r="B77" s="65"/>
      <c r="C77" s="65"/>
      <c r="D77" s="66"/>
      <c r="H77" s="56">
        <v>73</v>
      </c>
      <c r="I77" s="104" t="s">
        <v>306</v>
      </c>
      <c r="J77" s="162"/>
      <c r="K77" s="104" t="s">
        <v>433</v>
      </c>
      <c r="L77" s="104"/>
      <c r="M77" s="147" t="str">
        <f t="shared" si="2"/>
        <v xml:space="preserve">Futec Industrial                                            </v>
      </c>
      <c r="N77" s="162"/>
    </row>
    <row r="78" spans="1:14" x14ac:dyDescent="0.25">
      <c r="A78" s="64"/>
      <c r="B78" s="65"/>
      <c r="C78" s="65"/>
      <c r="D78" s="66"/>
      <c r="H78" s="56">
        <v>74</v>
      </c>
      <c r="I78" s="104" t="s">
        <v>307</v>
      </c>
      <c r="J78" s="162"/>
      <c r="K78" s="104" t="s">
        <v>485</v>
      </c>
      <c r="L78" s="104"/>
      <c r="M78" s="147" t="str">
        <f t="shared" si="2"/>
        <v>Genaro Medina</v>
      </c>
      <c r="N78" s="162"/>
    </row>
    <row r="79" spans="1:14" x14ac:dyDescent="0.25">
      <c r="A79" s="64"/>
      <c r="B79" s="65"/>
      <c r="C79" s="65"/>
      <c r="D79" s="66"/>
      <c r="H79" s="56">
        <v>75</v>
      </c>
      <c r="I79" s="104" t="s">
        <v>308</v>
      </c>
      <c r="J79" s="162"/>
      <c r="K79" s="104" t="s">
        <v>486</v>
      </c>
      <c r="L79" s="104"/>
      <c r="M79" s="147" t="str">
        <f t="shared" si="2"/>
        <v xml:space="preserve">General Coil, S.A.                                          </v>
      </c>
      <c r="N79" s="162"/>
    </row>
    <row r="80" spans="1:14" x14ac:dyDescent="0.25">
      <c r="H80" s="56">
        <v>76</v>
      </c>
      <c r="I80" s="104" t="s">
        <v>309</v>
      </c>
      <c r="J80" s="162"/>
      <c r="K80" s="104" t="s">
        <v>487</v>
      </c>
      <c r="L80" s="104"/>
      <c r="M80" s="147" t="str">
        <f t="shared" si="2"/>
        <v xml:space="preserve">Gildan Activewear San Marcos II, S.A.                      </v>
      </c>
      <c r="N80" s="162"/>
    </row>
    <row r="81" spans="8:14" ht="19.2" x14ac:dyDescent="0.25">
      <c r="H81" s="56">
        <v>77</v>
      </c>
      <c r="I81" s="104" t="s">
        <v>310</v>
      </c>
      <c r="J81" s="162"/>
      <c r="K81" s="104" t="s">
        <v>488</v>
      </c>
      <c r="L81" s="104"/>
      <c r="M81" s="147" t="str">
        <f t="shared" si="2"/>
        <v xml:space="preserve">Gildan Activewear Rivas II, S.A.                            </v>
      </c>
      <c r="N81" s="162"/>
    </row>
    <row r="82" spans="8:14" x14ac:dyDescent="0.25">
      <c r="H82" s="56">
        <v>78</v>
      </c>
      <c r="I82" s="104" t="s">
        <v>311</v>
      </c>
      <c r="J82" s="162"/>
      <c r="K82" s="104" t="s">
        <v>489</v>
      </c>
      <c r="L82" s="104"/>
      <c r="M82" s="147" t="str">
        <f t="shared" si="2"/>
        <v>Giovanni Granja Rivera</v>
      </c>
      <c r="N82" s="162"/>
    </row>
    <row r="83" spans="8:14" x14ac:dyDescent="0.25">
      <c r="H83" s="56">
        <v>79</v>
      </c>
      <c r="I83" s="104" t="s">
        <v>312</v>
      </c>
      <c r="J83" s="162"/>
      <c r="K83" s="104" t="s">
        <v>490</v>
      </c>
      <c r="L83" s="104"/>
      <c r="M83" s="147" t="str">
        <f t="shared" si="2"/>
        <v xml:space="preserve">Granja La Hammonia </v>
      </c>
      <c r="N83" s="162"/>
    </row>
    <row r="84" spans="8:14" x14ac:dyDescent="0.25">
      <c r="H84" s="56">
        <v>80</v>
      </c>
      <c r="I84" s="104" t="s">
        <v>313</v>
      </c>
      <c r="J84" s="162"/>
      <c r="K84" s="104" t="s">
        <v>491</v>
      </c>
      <c r="L84" s="104"/>
      <c r="M84" s="147" t="str">
        <f t="shared" si="2"/>
        <v>Grupo Industrial El Granjero</v>
      </c>
      <c r="N84" s="162"/>
    </row>
    <row r="85" spans="8:14" x14ac:dyDescent="0.25">
      <c r="H85" s="56">
        <v>81</v>
      </c>
      <c r="I85" s="104" t="s">
        <v>314</v>
      </c>
      <c r="J85" s="162"/>
      <c r="K85" s="104" t="s">
        <v>433</v>
      </c>
      <c r="L85" s="104"/>
      <c r="M85" s="147" t="str">
        <f t="shared" si="2"/>
        <v xml:space="preserve">Holcim Nicaragua, S.A                                       </v>
      </c>
      <c r="N85" s="162"/>
    </row>
    <row r="86" spans="8:14" x14ac:dyDescent="0.25">
      <c r="H86" s="56">
        <v>82</v>
      </c>
      <c r="I86" s="104" t="s">
        <v>315</v>
      </c>
      <c r="J86" s="162"/>
      <c r="K86" s="104" t="s">
        <v>485</v>
      </c>
      <c r="L86" s="104"/>
      <c r="M86" s="147" t="str">
        <f t="shared" si="2"/>
        <v>Hortycast</v>
      </c>
      <c r="N86" s="162"/>
    </row>
    <row r="87" spans="8:14" ht="19.2" x14ac:dyDescent="0.25">
      <c r="H87" s="56">
        <v>83</v>
      </c>
      <c r="I87" s="104" t="s">
        <v>316</v>
      </c>
      <c r="J87" s="162"/>
      <c r="K87" s="104" t="s">
        <v>492</v>
      </c>
      <c r="L87" s="104"/>
      <c r="M87" s="147" t="str">
        <f t="shared" si="2"/>
        <v>Impelsa</v>
      </c>
      <c r="N87" s="162"/>
    </row>
    <row r="88" spans="8:14" x14ac:dyDescent="0.25">
      <c r="H88" s="56">
        <v>84</v>
      </c>
      <c r="I88" s="104" t="s">
        <v>317</v>
      </c>
      <c r="J88" s="162"/>
      <c r="K88" s="104" t="s">
        <v>433</v>
      </c>
      <c r="L88" s="104"/>
      <c r="M88" s="147" t="str">
        <f t="shared" si="2"/>
        <v>Inconsa</v>
      </c>
      <c r="N88" s="162"/>
    </row>
    <row r="89" spans="8:14" ht="19.2" x14ac:dyDescent="0.25">
      <c r="H89" s="56">
        <v>85</v>
      </c>
      <c r="I89" s="104" t="s">
        <v>318</v>
      </c>
      <c r="J89" s="162"/>
      <c r="K89" s="104" t="s">
        <v>493</v>
      </c>
      <c r="L89" s="104"/>
      <c r="M89" s="147" t="str">
        <f t="shared" si="2"/>
        <v>Industria Ganadera de Oriente, S.A. (IGOSA) - Establecimiento número 6</v>
      </c>
      <c r="N89" s="162"/>
    </row>
    <row r="90" spans="8:14" ht="19.2" x14ac:dyDescent="0.25">
      <c r="H90" s="56">
        <v>86</v>
      </c>
      <c r="I90" s="104" t="s">
        <v>319</v>
      </c>
      <c r="J90" s="162"/>
      <c r="K90" s="104" t="s">
        <v>429</v>
      </c>
      <c r="L90" s="104"/>
      <c r="M90" s="147" t="str">
        <f t="shared" si="2"/>
        <v xml:space="preserve">Industría Nacional de Refrescos, S.A. (FEMSA)               </v>
      </c>
      <c r="N90" s="162"/>
    </row>
    <row r="91" spans="8:14" x14ac:dyDescent="0.25">
      <c r="H91" s="56">
        <v>87</v>
      </c>
      <c r="I91" s="104" t="s">
        <v>320</v>
      </c>
      <c r="J91" s="162"/>
      <c r="K91" s="104" t="s">
        <v>494</v>
      </c>
      <c r="L91" s="104"/>
      <c r="M91" s="147" t="str">
        <f t="shared" si="2"/>
        <v xml:space="preserve">Industrial Comercial San Martin, S.A.                       </v>
      </c>
      <c r="N91" s="162"/>
    </row>
    <row r="92" spans="8:14" x14ac:dyDescent="0.25">
      <c r="H92" s="56">
        <v>88</v>
      </c>
      <c r="I92" s="104" t="s">
        <v>321</v>
      </c>
      <c r="J92" s="162"/>
      <c r="K92" s="104" t="s">
        <v>495</v>
      </c>
      <c r="L92" s="104"/>
      <c r="M92" s="147" t="str">
        <f t="shared" si="2"/>
        <v xml:space="preserve">Industrias Cárnicas                                         </v>
      </c>
      <c r="N92" s="162"/>
    </row>
    <row r="93" spans="8:14" x14ac:dyDescent="0.25">
      <c r="H93" s="56">
        <v>89</v>
      </c>
      <c r="I93" s="104" t="s">
        <v>322</v>
      </c>
      <c r="J93" s="162"/>
      <c r="K93" s="104" t="s">
        <v>496</v>
      </c>
      <c r="L93" s="104"/>
      <c r="M93" s="147" t="str">
        <f t="shared" si="2"/>
        <v>Industrias Delmor, S.A.</v>
      </c>
      <c r="N93" s="162"/>
    </row>
    <row r="94" spans="8:14" ht="19.2" x14ac:dyDescent="0.25">
      <c r="H94" s="56">
        <v>90</v>
      </c>
      <c r="I94" s="104" t="s">
        <v>323</v>
      </c>
      <c r="J94" s="162"/>
      <c r="K94" s="104" t="s">
        <v>497</v>
      </c>
      <c r="L94" s="104"/>
      <c r="M94" s="147" t="str">
        <f t="shared" si="2"/>
        <v xml:space="preserve">Ingenieros Consultores Centroamericanos                     </v>
      </c>
      <c r="N94" s="162"/>
    </row>
    <row r="95" spans="8:14" ht="19.2" x14ac:dyDescent="0.25">
      <c r="H95" s="56">
        <v>91</v>
      </c>
      <c r="I95" s="104" t="s">
        <v>324</v>
      </c>
      <c r="J95" s="162"/>
      <c r="K95" s="104" t="s">
        <v>498</v>
      </c>
      <c r="L95" s="104"/>
      <c r="M95" s="147" t="str">
        <f t="shared" si="2"/>
        <v>Inmaconsa</v>
      </c>
      <c r="N95" s="162"/>
    </row>
    <row r="96" spans="8:14" x14ac:dyDescent="0.25">
      <c r="H96" s="56">
        <v>92</v>
      </c>
      <c r="I96" s="104" t="s">
        <v>325</v>
      </c>
      <c r="J96" s="162"/>
      <c r="K96" s="104" t="s">
        <v>499</v>
      </c>
      <c r="L96" s="104"/>
      <c r="M96" s="147" t="str">
        <f t="shared" si="2"/>
        <v>Insuma</v>
      </c>
      <c r="N96" s="162"/>
    </row>
    <row r="97" spans="8:14" x14ac:dyDescent="0.25">
      <c r="H97" s="56">
        <v>93</v>
      </c>
      <c r="I97" s="104" t="s">
        <v>326</v>
      </c>
      <c r="J97" s="162"/>
      <c r="K97" s="104" t="s">
        <v>500</v>
      </c>
      <c r="L97" s="104"/>
      <c r="M97" s="147" t="str">
        <f t="shared" si="2"/>
        <v>Insumos Disagro</v>
      </c>
      <c r="N97" s="162"/>
    </row>
    <row r="98" spans="8:14" ht="19.2" x14ac:dyDescent="0.25">
      <c r="H98" s="56">
        <v>94</v>
      </c>
      <c r="I98" s="104" t="s">
        <v>327</v>
      </c>
      <c r="J98" s="162"/>
      <c r="K98" s="104" t="s">
        <v>501</v>
      </c>
      <c r="L98" s="104"/>
      <c r="M98" s="147" t="str">
        <f t="shared" si="2"/>
        <v>Intek Nicaragua, S.A.</v>
      </c>
      <c r="N98" s="162"/>
    </row>
    <row r="99" spans="8:14" x14ac:dyDescent="0.25">
      <c r="H99" s="56">
        <v>95</v>
      </c>
      <c r="I99" s="104" t="s">
        <v>328</v>
      </c>
      <c r="J99" s="162"/>
      <c r="K99" s="104" t="s">
        <v>433</v>
      </c>
      <c r="L99" s="104"/>
      <c r="M99" s="147" t="str">
        <f t="shared" si="2"/>
        <v>Invercasa</v>
      </c>
      <c r="N99" s="162"/>
    </row>
    <row r="100" spans="8:14" x14ac:dyDescent="0.25">
      <c r="H100" s="56">
        <v>96</v>
      </c>
      <c r="I100" s="104" t="s">
        <v>329</v>
      </c>
      <c r="J100" s="162"/>
      <c r="K100" s="104" t="s">
        <v>433</v>
      </c>
      <c r="L100" s="104"/>
      <c r="M100" s="147" t="str">
        <f t="shared" si="2"/>
        <v xml:space="preserve">Inversiones en Concreto, S.A.                               </v>
      </c>
      <c r="N100" s="162"/>
    </row>
    <row r="101" spans="8:14" ht="19.2" x14ac:dyDescent="0.25">
      <c r="H101" s="56">
        <v>97</v>
      </c>
      <c r="I101" s="104" t="s">
        <v>330</v>
      </c>
      <c r="J101" s="162"/>
      <c r="K101" s="104" t="s">
        <v>502</v>
      </c>
      <c r="L101" s="104"/>
      <c r="M101" s="147" t="str">
        <f t="shared" si="2"/>
        <v xml:space="preserve">Iprocen, S.A.                                               </v>
      </c>
      <c r="N101" s="162"/>
    </row>
    <row r="102" spans="8:14" x14ac:dyDescent="0.25">
      <c r="H102" s="56">
        <v>98</v>
      </c>
      <c r="I102" s="104" t="s">
        <v>331</v>
      </c>
      <c r="J102" s="162"/>
      <c r="K102" s="104" t="s">
        <v>503</v>
      </c>
      <c r="L102" s="104"/>
      <c r="M102" s="147" t="str">
        <f t="shared" si="2"/>
        <v>IPSA - Veterinario</v>
      </c>
      <c r="N102" s="162"/>
    </row>
    <row r="103" spans="8:14" ht="19.2" x14ac:dyDescent="0.25">
      <c r="H103" s="56">
        <v>99</v>
      </c>
      <c r="I103" s="104" t="s">
        <v>332</v>
      </c>
      <c r="J103" s="162"/>
      <c r="K103" s="104" t="s">
        <v>504</v>
      </c>
      <c r="L103" s="104"/>
      <c r="M103" s="147" t="str">
        <f t="shared" si="2"/>
        <v>Julio César Montealegre</v>
      </c>
      <c r="N103" s="162"/>
    </row>
    <row r="104" spans="8:14" ht="19.2" x14ac:dyDescent="0.25">
      <c r="H104" s="56">
        <v>100</v>
      </c>
      <c r="I104" s="104" t="s">
        <v>333</v>
      </c>
      <c r="J104" s="162"/>
      <c r="K104" s="104" t="s">
        <v>505</v>
      </c>
      <c r="L104" s="104"/>
      <c r="M104" s="147" t="str">
        <f t="shared" si="2"/>
        <v xml:space="preserve">Juan López Matute                                         </v>
      </c>
      <c r="N104" s="162"/>
    </row>
    <row r="105" spans="8:14" ht="19.2" x14ac:dyDescent="0.25">
      <c r="H105" s="56">
        <v>101</v>
      </c>
      <c r="I105" s="104" t="s">
        <v>334</v>
      </c>
      <c r="J105" s="162"/>
      <c r="K105" s="104" t="s">
        <v>506</v>
      </c>
      <c r="L105" s="104"/>
      <c r="M105" s="147" t="str">
        <f t="shared" si="2"/>
        <v>Kentex, S.A.</v>
      </c>
      <c r="N105" s="162"/>
    </row>
    <row r="106" spans="8:14" ht="19.2" x14ac:dyDescent="0.25">
      <c r="H106" s="56">
        <v>102</v>
      </c>
      <c r="I106" s="104" t="s">
        <v>335</v>
      </c>
      <c r="J106" s="162"/>
      <c r="K106" s="104" t="s">
        <v>507</v>
      </c>
      <c r="L106" s="104"/>
      <c r="M106" s="147" t="str">
        <f t="shared" si="2"/>
        <v>KM Internacional</v>
      </c>
      <c r="N106" s="162"/>
    </row>
    <row r="107" spans="8:14" x14ac:dyDescent="0.25">
      <c r="H107" s="56">
        <v>103</v>
      </c>
      <c r="I107" s="104" t="s">
        <v>336</v>
      </c>
      <c r="J107" s="162"/>
      <c r="K107" s="104" t="s">
        <v>508</v>
      </c>
      <c r="L107" s="104"/>
      <c r="M107" s="147" t="str">
        <f t="shared" si="2"/>
        <v xml:space="preserve">Kola Shaler Industrial, S.A.                                </v>
      </c>
      <c r="N107" s="162"/>
    </row>
    <row r="108" spans="8:14" x14ac:dyDescent="0.25">
      <c r="H108" s="56">
        <v>104</v>
      </c>
      <c r="I108" s="104" t="s">
        <v>337</v>
      </c>
      <c r="J108" s="162"/>
      <c r="K108" s="104" t="s">
        <v>509</v>
      </c>
      <c r="L108" s="104"/>
      <c r="M108" s="147" t="str">
        <f t="shared" si="2"/>
        <v xml:space="preserve">Kufferath Nicaragua, S.A.                                   </v>
      </c>
      <c r="N108" s="162"/>
    </row>
    <row r="109" spans="8:14" x14ac:dyDescent="0.25">
      <c r="H109" s="56">
        <v>105</v>
      </c>
      <c r="I109" s="104" t="s">
        <v>338</v>
      </c>
      <c r="J109" s="162"/>
      <c r="K109" s="104" t="s">
        <v>510</v>
      </c>
      <c r="L109" s="104"/>
      <c r="M109" s="147" t="str">
        <f t="shared" si="2"/>
        <v>Laboratorios Ramos, S.A.</v>
      </c>
      <c r="N109" s="162"/>
    </row>
    <row r="110" spans="8:14" x14ac:dyDescent="0.25">
      <c r="H110" s="56">
        <v>106</v>
      </c>
      <c r="I110" s="104" t="s">
        <v>339</v>
      </c>
      <c r="J110" s="162"/>
      <c r="K110" s="104" t="s">
        <v>511</v>
      </c>
      <c r="L110" s="104"/>
      <c r="M110" s="147" t="str">
        <f t="shared" si="2"/>
        <v xml:space="preserve">Laboratorios Rarpe     </v>
      </c>
      <c r="N110" s="162"/>
    </row>
    <row r="111" spans="8:14" x14ac:dyDescent="0.25">
      <c r="H111" s="56">
        <v>107</v>
      </c>
      <c r="I111" s="104" t="s">
        <v>340</v>
      </c>
      <c r="J111" s="162"/>
      <c r="K111" s="104" t="s">
        <v>512</v>
      </c>
      <c r="L111" s="104"/>
      <c r="M111" s="147" t="str">
        <f t="shared" si="2"/>
        <v>Laboratorios Solka</v>
      </c>
      <c r="N111" s="162"/>
    </row>
    <row r="112" spans="8:14" ht="19.2" x14ac:dyDescent="0.25">
      <c r="H112" s="56">
        <v>108</v>
      </c>
      <c r="I112" s="104" t="s">
        <v>341</v>
      </c>
      <c r="J112" s="162"/>
      <c r="K112" s="104" t="s">
        <v>513</v>
      </c>
      <c r="L112" s="104"/>
      <c r="M112" s="147" t="str">
        <f t="shared" si="2"/>
        <v>Lacteos, S.A.</v>
      </c>
      <c r="N112" s="162"/>
    </row>
    <row r="113" spans="8:14" ht="19.2" x14ac:dyDescent="0.25">
      <c r="H113" s="56">
        <v>109</v>
      </c>
      <c r="I113" s="104" t="s">
        <v>342</v>
      </c>
      <c r="J113" s="162"/>
      <c r="K113" s="104" t="s">
        <v>514</v>
      </c>
      <c r="L113" s="104"/>
      <c r="M113" s="147" t="str">
        <f t="shared" si="2"/>
        <v>Langostinos de Centroamérica, S.A.</v>
      </c>
      <c r="N113" s="162"/>
    </row>
    <row r="114" spans="8:14" x14ac:dyDescent="0.25">
      <c r="H114" s="56">
        <v>110</v>
      </c>
      <c r="I114" s="104" t="s">
        <v>343</v>
      </c>
      <c r="J114" s="162"/>
      <c r="K114" s="104" t="s">
        <v>515</v>
      </c>
      <c r="L114" s="104"/>
      <c r="M114" s="147" t="str">
        <f t="shared" si="2"/>
        <v xml:space="preserve">Logistica Comercial                      </v>
      </c>
      <c r="N114" s="162"/>
    </row>
    <row r="115" spans="8:14" x14ac:dyDescent="0.25">
      <c r="H115" s="56">
        <v>111</v>
      </c>
      <c r="I115" s="104" t="s">
        <v>344</v>
      </c>
      <c r="J115" s="162"/>
      <c r="K115" s="104" t="s">
        <v>516</v>
      </c>
      <c r="L115" s="104"/>
      <c r="M115" s="147" t="str">
        <f t="shared" si="2"/>
        <v xml:space="preserve">Marbel Gutierrez Martinez                   </v>
      </c>
      <c r="N115" s="162"/>
    </row>
    <row r="116" spans="8:14" x14ac:dyDescent="0.25">
      <c r="H116" s="56">
        <v>112</v>
      </c>
      <c r="I116" s="104" t="s">
        <v>345</v>
      </c>
      <c r="J116" s="162"/>
      <c r="K116" s="104" t="s">
        <v>516</v>
      </c>
      <c r="L116" s="104"/>
      <c r="M116" s="147" t="str">
        <f t="shared" si="2"/>
        <v>Margumar</v>
      </c>
      <c r="N116" s="162"/>
    </row>
    <row r="117" spans="8:14" ht="28.8" x14ac:dyDescent="0.25">
      <c r="H117" s="56">
        <v>113</v>
      </c>
      <c r="I117" s="104" t="s">
        <v>346</v>
      </c>
      <c r="J117" s="162"/>
      <c r="K117" s="104" t="s">
        <v>517</v>
      </c>
      <c r="L117" s="104"/>
      <c r="M117" s="147" t="str">
        <f t="shared" si="2"/>
        <v>María Sánchez</v>
      </c>
      <c r="N117" s="162"/>
    </row>
    <row r="118" spans="8:14" ht="19.2" x14ac:dyDescent="0.25">
      <c r="H118" s="56">
        <v>114</v>
      </c>
      <c r="I118" s="104" t="s">
        <v>347</v>
      </c>
      <c r="J118" s="162"/>
      <c r="K118" s="104" t="s">
        <v>518</v>
      </c>
      <c r="L118" s="104"/>
      <c r="M118" s="147" t="str">
        <f t="shared" si="2"/>
        <v xml:space="preserve">Medisut, S.A.                                               </v>
      </c>
      <c r="N118" s="162"/>
    </row>
    <row r="119" spans="8:14" x14ac:dyDescent="0.25">
      <c r="H119" s="56">
        <v>115</v>
      </c>
      <c r="I119" s="104" t="s">
        <v>348</v>
      </c>
      <c r="J119" s="162"/>
      <c r="K119" s="104" t="s">
        <v>519</v>
      </c>
      <c r="L119" s="104"/>
      <c r="M119" s="147" t="str">
        <f t="shared" si="2"/>
        <v xml:space="preserve">Meedsa                                                      </v>
      </c>
      <c r="N119" s="162"/>
    </row>
    <row r="120" spans="8:14" x14ac:dyDescent="0.25">
      <c r="H120" s="56">
        <v>116</v>
      </c>
      <c r="I120" s="104" t="s">
        <v>349</v>
      </c>
      <c r="J120" s="162"/>
      <c r="K120" s="104" t="s">
        <v>433</v>
      </c>
      <c r="L120" s="104"/>
      <c r="M120" s="147" t="str">
        <f t="shared" si="2"/>
        <v>Metro Garment Nicaragua, S.A</v>
      </c>
      <c r="N120" s="162"/>
    </row>
    <row r="121" spans="8:14" ht="28.8" x14ac:dyDescent="0.25">
      <c r="H121" s="56">
        <v>117</v>
      </c>
      <c r="I121" s="104" t="s">
        <v>350</v>
      </c>
      <c r="J121" s="162"/>
      <c r="K121" s="104" t="s">
        <v>520</v>
      </c>
      <c r="L121" s="104"/>
      <c r="M121" s="147" t="str">
        <f t="shared" si="2"/>
        <v>MJ ApparelL, S.A.</v>
      </c>
      <c r="N121" s="162"/>
    </row>
    <row r="122" spans="8:14" ht="19.2" x14ac:dyDescent="0.25">
      <c r="H122" s="56">
        <v>118</v>
      </c>
      <c r="I122" s="104" t="s">
        <v>351</v>
      </c>
      <c r="J122" s="162"/>
      <c r="K122" s="104" t="s">
        <v>521</v>
      </c>
      <c r="L122" s="104"/>
      <c r="M122" s="147" t="str">
        <f t="shared" si="2"/>
        <v xml:space="preserve">Montacargas y Accesorios de Nicaragua, S.A.                 </v>
      </c>
      <c r="N122" s="162"/>
    </row>
    <row r="123" spans="8:14" x14ac:dyDescent="0.25">
      <c r="H123" s="56">
        <v>119</v>
      </c>
      <c r="I123" s="104" t="s">
        <v>352</v>
      </c>
      <c r="J123" s="162"/>
      <c r="K123" s="104" t="s">
        <v>522</v>
      </c>
      <c r="L123" s="104"/>
      <c r="M123" s="147" t="str">
        <f t="shared" si="2"/>
        <v>Mundo de Frutas</v>
      </c>
      <c r="N123" s="162"/>
    </row>
    <row r="124" spans="8:14" x14ac:dyDescent="0.25">
      <c r="H124" s="56">
        <v>120</v>
      </c>
      <c r="I124" s="104" t="s">
        <v>353</v>
      </c>
      <c r="J124" s="162"/>
      <c r="K124" s="104" t="s">
        <v>523</v>
      </c>
      <c r="L124" s="104"/>
      <c r="M124" s="147" t="str">
        <f t="shared" si="2"/>
        <v>My Fathers Cigars</v>
      </c>
      <c r="N124" s="162"/>
    </row>
    <row r="125" spans="8:14" x14ac:dyDescent="0.25">
      <c r="H125" s="56">
        <v>121</v>
      </c>
      <c r="I125" s="104" t="s">
        <v>354</v>
      </c>
      <c r="J125" s="162"/>
      <c r="K125" s="104" t="s">
        <v>524</v>
      </c>
      <c r="L125" s="104"/>
      <c r="M125" s="147" t="str">
        <f t="shared" si="2"/>
        <v xml:space="preserve">Navinic     </v>
      </c>
      <c r="N125" s="162"/>
    </row>
    <row r="126" spans="8:14" x14ac:dyDescent="0.25">
      <c r="H126" s="56">
        <v>122</v>
      </c>
      <c r="I126" s="104" t="s">
        <v>355</v>
      </c>
      <c r="J126" s="162"/>
      <c r="K126" s="104" t="s">
        <v>525</v>
      </c>
      <c r="L126" s="104"/>
      <c r="M126" s="147" t="str">
        <f t="shared" si="2"/>
        <v xml:space="preserve">Nestle de Nicaragua, S.A.                                      </v>
      </c>
      <c r="N126" s="162"/>
    </row>
    <row r="127" spans="8:14" x14ac:dyDescent="0.25">
      <c r="H127" s="56">
        <v>123</v>
      </c>
      <c r="I127" s="104" t="s">
        <v>356</v>
      </c>
      <c r="J127" s="162"/>
      <c r="K127" s="104" t="s">
        <v>526</v>
      </c>
      <c r="L127" s="104"/>
      <c r="M127" s="147" t="str">
        <f t="shared" si="2"/>
        <v>Next Level Apparel</v>
      </c>
      <c r="N127" s="162"/>
    </row>
    <row r="128" spans="8:14" x14ac:dyDescent="0.25">
      <c r="H128" s="56">
        <v>124</v>
      </c>
      <c r="I128" s="104" t="s">
        <v>357</v>
      </c>
      <c r="J128" s="162"/>
      <c r="K128" s="104" t="s">
        <v>527</v>
      </c>
      <c r="L128" s="104"/>
      <c r="M128" s="147" t="str">
        <f t="shared" si="2"/>
        <v>Nica Manos, S.A.</v>
      </c>
      <c r="N128" s="162"/>
    </row>
    <row r="129" spans="8:14" x14ac:dyDescent="0.25">
      <c r="H129" s="56">
        <v>125</v>
      </c>
      <c r="I129" s="104" t="s">
        <v>358</v>
      </c>
      <c r="J129" s="162"/>
      <c r="K129" s="104" t="s">
        <v>528</v>
      </c>
      <c r="L129" s="104"/>
      <c r="M129" s="147" t="str">
        <f t="shared" si="2"/>
        <v>Nicabanana</v>
      </c>
      <c r="N129" s="162"/>
    </row>
    <row r="130" spans="8:14" ht="28.8" x14ac:dyDescent="0.25">
      <c r="H130" s="56">
        <v>126</v>
      </c>
      <c r="I130" s="104" t="s">
        <v>359</v>
      </c>
      <c r="J130" s="162"/>
      <c r="K130" s="104" t="s">
        <v>529</v>
      </c>
      <c r="L130" s="104"/>
      <c r="M130" s="147" t="str">
        <f t="shared" si="2"/>
        <v>Nicamex, S.A.</v>
      </c>
      <c r="N130" s="162"/>
    </row>
    <row r="131" spans="8:14" x14ac:dyDescent="0.25">
      <c r="H131" s="56">
        <v>127</v>
      </c>
      <c r="I131" s="104" t="s">
        <v>360</v>
      </c>
      <c r="J131" s="162"/>
      <c r="K131" s="104" t="s">
        <v>530</v>
      </c>
      <c r="L131" s="104"/>
      <c r="M131" s="147" t="str">
        <f t="shared" si="2"/>
        <v>Nicaragua American Cigars S.A.</v>
      </c>
      <c r="N131" s="162"/>
    </row>
    <row r="132" spans="8:14" x14ac:dyDescent="0.25">
      <c r="H132" s="56">
        <v>128</v>
      </c>
      <c r="I132" s="104" t="s">
        <v>361</v>
      </c>
      <c r="J132" s="162"/>
      <c r="K132" s="104" t="s">
        <v>531</v>
      </c>
      <c r="L132" s="104"/>
      <c r="M132" s="147" t="str">
        <f t="shared" si="2"/>
        <v>Nicaragua Sugar State Limited</v>
      </c>
      <c r="N132" s="162"/>
    </row>
    <row r="133" spans="8:14" ht="19.2" x14ac:dyDescent="0.25">
      <c r="H133" s="56">
        <v>129</v>
      </c>
      <c r="I133" s="104" t="s">
        <v>362</v>
      </c>
      <c r="J133" s="162"/>
      <c r="K133" s="104" t="s">
        <v>532</v>
      </c>
      <c r="L133" s="104"/>
      <c r="M133" s="147" t="str">
        <f t="shared" ref="M133:M196" si="3">IF(J133="",I133,I133&amp;" ("&amp;J133&amp;")")</f>
        <v>Nicasolum</v>
      </c>
      <c r="N133" s="162"/>
    </row>
    <row r="134" spans="8:14" x14ac:dyDescent="0.25">
      <c r="H134" s="56">
        <v>130</v>
      </c>
      <c r="I134" s="104" t="s">
        <v>363</v>
      </c>
      <c r="J134" s="162"/>
      <c r="K134" s="104" t="s">
        <v>533</v>
      </c>
      <c r="L134" s="104"/>
      <c r="M134" s="147" t="str">
        <f t="shared" si="3"/>
        <v>Nicastarch Agro</v>
      </c>
      <c r="N134" s="162"/>
    </row>
    <row r="135" spans="8:14" x14ac:dyDescent="0.25">
      <c r="H135" s="56">
        <v>131</v>
      </c>
      <c r="I135" s="104" t="s">
        <v>364</v>
      </c>
      <c r="J135" s="162"/>
      <c r="K135" s="104" t="s">
        <v>534</v>
      </c>
      <c r="L135" s="104"/>
      <c r="M135" s="147" t="str">
        <f t="shared" si="3"/>
        <v xml:space="preserve">Novaterra                    </v>
      </c>
      <c r="N135" s="162"/>
    </row>
    <row r="136" spans="8:14" x14ac:dyDescent="0.25">
      <c r="H136" s="56">
        <v>132</v>
      </c>
      <c r="I136" s="104" t="s">
        <v>365</v>
      </c>
      <c r="J136" s="162"/>
      <c r="K136" s="104" t="s">
        <v>535</v>
      </c>
      <c r="L136" s="104"/>
      <c r="M136" s="147" t="str">
        <f t="shared" si="3"/>
        <v xml:space="preserve">Nova Honduras Zona Libre S.A.                             </v>
      </c>
      <c r="N136" s="162"/>
    </row>
    <row r="137" spans="8:14" x14ac:dyDescent="0.25">
      <c r="H137" s="56">
        <v>133</v>
      </c>
      <c r="I137" s="104" t="s">
        <v>366</v>
      </c>
      <c r="J137" s="162"/>
      <c r="K137" s="104" t="s">
        <v>536</v>
      </c>
      <c r="L137" s="104"/>
      <c r="M137" s="147" t="str">
        <f t="shared" si="3"/>
        <v xml:space="preserve">Nuevo Carnic, S.A.                                          </v>
      </c>
      <c r="N137" s="162"/>
    </row>
    <row r="138" spans="8:14" ht="19.2" x14ac:dyDescent="0.25">
      <c r="H138" s="56">
        <v>134</v>
      </c>
      <c r="I138" s="104" t="s">
        <v>367</v>
      </c>
      <c r="J138" s="162"/>
      <c r="K138" s="104" t="s">
        <v>537</v>
      </c>
      <c r="L138" s="104"/>
      <c r="M138" s="147" t="str">
        <f t="shared" si="3"/>
        <v>Oil Test Internacional de Nicaragua, S.A.</v>
      </c>
      <c r="N138" s="162"/>
    </row>
    <row r="139" spans="8:14" x14ac:dyDescent="0.25">
      <c r="H139" s="56">
        <v>135</v>
      </c>
      <c r="I139" s="104" t="s">
        <v>368</v>
      </c>
      <c r="J139" s="162"/>
      <c r="K139" s="104" t="s">
        <v>538</v>
      </c>
      <c r="L139" s="104"/>
      <c r="M139" s="147" t="str">
        <f t="shared" si="3"/>
        <v>Opportunity International Nicaragua</v>
      </c>
      <c r="N139" s="162"/>
    </row>
    <row r="140" spans="8:14" x14ac:dyDescent="0.25">
      <c r="H140" s="56">
        <v>136</v>
      </c>
      <c r="I140" s="104" t="s">
        <v>369</v>
      </c>
      <c r="J140" s="162"/>
      <c r="K140" s="104" t="s">
        <v>539</v>
      </c>
      <c r="L140" s="104"/>
      <c r="M140" s="147" t="str">
        <f t="shared" si="3"/>
        <v>Orgoma</v>
      </c>
      <c r="N140" s="162"/>
    </row>
    <row r="141" spans="8:14" x14ac:dyDescent="0.25">
      <c r="H141" s="56">
        <v>137</v>
      </c>
      <c r="I141" s="104" t="s">
        <v>370</v>
      </c>
      <c r="J141" s="162"/>
      <c r="K141" s="104" t="s">
        <v>540</v>
      </c>
      <c r="L141" s="104"/>
      <c r="M141" s="147" t="str">
        <f t="shared" si="3"/>
        <v xml:space="preserve">Panzyma Laboratories, S.A.                                  </v>
      </c>
      <c r="N141" s="162"/>
    </row>
    <row r="142" spans="8:14" x14ac:dyDescent="0.25">
      <c r="H142" s="56">
        <v>138</v>
      </c>
      <c r="I142" s="104" t="s">
        <v>371</v>
      </c>
      <c r="J142" s="162"/>
      <c r="K142" s="104" t="s">
        <v>429</v>
      </c>
      <c r="L142" s="104"/>
      <c r="M142" s="147" t="str">
        <f t="shared" si="3"/>
        <v xml:space="preserve">Parmalat Centroamerica, S.A.                                </v>
      </c>
      <c r="N142" s="162"/>
    </row>
    <row r="143" spans="8:14" x14ac:dyDescent="0.25">
      <c r="H143" s="56">
        <v>139</v>
      </c>
      <c r="I143" s="104" t="s">
        <v>372</v>
      </c>
      <c r="J143" s="162"/>
      <c r="K143" s="104" t="s">
        <v>433</v>
      </c>
      <c r="L143" s="104"/>
      <c r="M143" s="147" t="str">
        <f t="shared" si="3"/>
        <v>Pasenic, S.A. Managua</v>
      </c>
      <c r="N143" s="162"/>
    </row>
    <row r="144" spans="8:14" x14ac:dyDescent="0.25">
      <c r="H144" s="56">
        <v>140</v>
      </c>
      <c r="I144" s="104" t="s">
        <v>373</v>
      </c>
      <c r="J144" s="162"/>
      <c r="K144" s="104" t="s">
        <v>541</v>
      </c>
      <c r="L144" s="104"/>
      <c r="M144" s="147" t="str">
        <f t="shared" si="3"/>
        <v xml:space="preserve">Peninsula Maritima Corp., S.A.                              </v>
      </c>
      <c r="N144" s="162"/>
    </row>
    <row r="145" spans="8:14" ht="19.2" x14ac:dyDescent="0.25">
      <c r="H145" s="56">
        <v>141</v>
      </c>
      <c r="I145" s="104" t="s">
        <v>374</v>
      </c>
      <c r="J145" s="162"/>
      <c r="K145" s="104" t="s">
        <v>542</v>
      </c>
      <c r="L145" s="104"/>
      <c r="M145" s="147" t="str">
        <f t="shared" si="3"/>
        <v>Peralta Coffee</v>
      </c>
      <c r="N145" s="162"/>
    </row>
    <row r="146" spans="8:14" ht="19.2" x14ac:dyDescent="0.25">
      <c r="H146" s="56">
        <v>142</v>
      </c>
      <c r="I146" s="104" t="s">
        <v>375</v>
      </c>
      <c r="J146" s="162"/>
      <c r="K146" s="104" t="s">
        <v>543</v>
      </c>
      <c r="L146" s="104"/>
      <c r="M146" s="147" t="str">
        <f t="shared" si="3"/>
        <v>Petrogas</v>
      </c>
      <c r="N146" s="162"/>
    </row>
    <row r="147" spans="8:14" x14ac:dyDescent="0.25">
      <c r="H147" s="56">
        <v>143</v>
      </c>
      <c r="I147" s="104" t="s">
        <v>376</v>
      </c>
      <c r="J147" s="162"/>
      <c r="K147" s="104" t="s">
        <v>544</v>
      </c>
      <c r="L147" s="104"/>
      <c r="M147" s="147" t="str">
        <f t="shared" si="3"/>
        <v>Pinula, S.A.</v>
      </c>
      <c r="N147" s="162"/>
    </row>
    <row r="148" spans="8:14" x14ac:dyDescent="0.25">
      <c r="H148" s="56">
        <v>144</v>
      </c>
      <c r="I148" s="104" t="s">
        <v>377</v>
      </c>
      <c r="J148" s="162"/>
      <c r="K148" s="104" t="s">
        <v>545</v>
      </c>
      <c r="L148" s="104"/>
      <c r="M148" s="147" t="str">
        <f t="shared" si="3"/>
        <v xml:space="preserve">Polaris Energy Nicaragua, S.A.                              </v>
      </c>
      <c r="N148" s="162"/>
    </row>
    <row r="149" spans="8:14" x14ac:dyDescent="0.25">
      <c r="H149" s="56">
        <v>145</v>
      </c>
      <c r="I149" s="104" t="s">
        <v>378</v>
      </c>
      <c r="J149" s="162"/>
      <c r="K149" s="104" t="s">
        <v>546</v>
      </c>
      <c r="L149" s="104"/>
      <c r="M149" s="147" t="str">
        <f t="shared" si="3"/>
        <v xml:space="preserve">Precon Nicaragua, S.A.                                      </v>
      </c>
      <c r="N149" s="162"/>
    </row>
    <row r="150" spans="8:14" x14ac:dyDescent="0.25">
      <c r="H150" s="56">
        <v>146</v>
      </c>
      <c r="I150" s="104" t="s">
        <v>379</v>
      </c>
      <c r="J150" s="162"/>
      <c r="K150" s="104" t="s">
        <v>547</v>
      </c>
      <c r="L150" s="104"/>
      <c r="M150" s="147" t="str">
        <f t="shared" si="3"/>
        <v>Premet</v>
      </c>
      <c r="N150" s="162"/>
    </row>
    <row r="151" spans="8:14" x14ac:dyDescent="0.25">
      <c r="H151" s="56">
        <v>147</v>
      </c>
      <c r="I151" s="104" t="s">
        <v>380</v>
      </c>
      <c r="J151" s="162"/>
      <c r="K151" s="104" t="s">
        <v>509</v>
      </c>
      <c r="L151" s="104"/>
      <c r="M151" s="147" t="str">
        <f t="shared" si="3"/>
        <v xml:space="preserve">Productos del Aire Nicaragua, S.A.                       </v>
      </c>
      <c r="N151" s="162"/>
    </row>
    <row r="152" spans="8:14" x14ac:dyDescent="0.25">
      <c r="H152" s="56">
        <v>148</v>
      </c>
      <c r="I152" s="104" t="s">
        <v>381</v>
      </c>
      <c r="J152" s="162"/>
      <c r="K152" s="104" t="s">
        <v>548</v>
      </c>
      <c r="L152" s="104"/>
      <c r="M152" s="147" t="str">
        <f t="shared" si="3"/>
        <v xml:space="preserve">Protena, S.A. </v>
      </c>
      <c r="N152" s="162"/>
    </row>
    <row r="153" spans="8:14" x14ac:dyDescent="0.25">
      <c r="H153" s="56">
        <v>149</v>
      </c>
      <c r="I153" s="104" t="s">
        <v>382</v>
      </c>
      <c r="J153" s="162"/>
      <c r="K153" s="104" t="s">
        <v>433</v>
      </c>
      <c r="L153" s="104"/>
      <c r="M153" s="147" t="str">
        <f t="shared" si="3"/>
        <v>Provesa</v>
      </c>
      <c r="N153" s="162"/>
    </row>
    <row r="154" spans="8:14" ht="19.2" x14ac:dyDescent="0.25">
      <c r="H154" s="56">
        <v>150</v>
      </c>
      <c r="I154" s="104" t="s">
        <v>383</v>
      </c>
      <c r="J154" s="162"/>
      <c r="K154" s="104" t="s">
        <v>549</v>
      </c>
      <c r="L154" s="104"/>
      <c r="M154" s="147" t="str">
        <f t="shared" si="3"/>
        <v>Provisave/Prog. de Gestión de la Calidad y Validación de Métodos</v>
      </c>
      <c r="N154" s="162"/>
    </row>
    <row r="155" spans="8:14" ht="19.2" x14ac:dyDescent="0.25">
      <c r="H155" s="56">
        <v>151</v>
      </c>
      <c r="I155" s="104" t="s">
        <v>384</v>
      </c>
      <c r="J155" s="162"/>
      <c r="K155" s="104" t="s">
        <v>550</v>
      </c>
      <c r="L155" s="104"/>
      <c r="M155" s="147" t="str">
        <f t="shared" si="3"/>
        <v>Proyeco de Saneamiento del Lago de la Ciudad de Managua</v>
      </c>
      <c r="N155" s="162"/>
    </row>
    <row r="156" spans="8:14" x14ac:dyDescent="0.25">
      <c r="H156" s="56">
        <v>152</v>
      </c>
      <c r="I156" s="104" t="s">
        <v>385</v>
      </c>
      <c r="J156" s="162"/>
      <c r="K156" s="104" t="s">
        <v>551</v>
      </c>
      <c r="L156" s="104"/>
      <c r="M156" s="147" t="str">
        <f t="shared" si="3"/>
        <v xml:space="preserve">Proyectos y Automatización PYASA                            </v>
      </c>
      <c r="N156" s="162"/>
    </row>
    <row r="157" spans="8:14" x14ac:dyDescent="0.25">
      <c r="H157" s="56">
        <v>153</v>
      </c>
      <c r="I157" s="104" t="s">
        <v>386</v>
      </c>
      <c r="J157" s="162"/>
      <c r="K157" s="104" t="s">
        <v>552</v>
      </c>
      <c r="L157" s="104"/>
      <c r="M157" s="147" t="str">
        <f t="shared" si="3"/>
        <v>Puros de Estelí</v>
      </c>
      <c r="N157" s="162"/>
    </row>
    <row r="158" spans="8:14" x14ac:dyDescent="0.25">
      <c r="H158" s="56">
        <v>154</v>
      </c>
      <c r="I158" s="104" t="s">
        <v>387</v>
      </c>
      <c r="J158" s="162"/>
      <c r="K158" s="104" t="s">
        <v>433</v>
      </c>
      <c r="L158" s="104"/>
      <c r="M158" s="147" t="str">
        <f t="shared" si="3"/>
        <v>Rainbow Apparel Trading S,A</v>
      </c>
      <c r="N158" s="162"/>
    </row>
    <row r="159" spans="8:14" x14ac:dyDescent="0.25">
      <c r="H159" s="56">
        <v>155</v>
      </c>
      <c r="I159" s="104" t="s">
        <v>388</v>
      </c>
      <c r="J159" s="162"/>
      <c r="K159" s="104" t="s">
        <v>553</v>
      </c>
      <c r="L159" s="104"/>
      <c r="M159" s="147" t="str">
        <f t="shared" si="3"/>
        <v>Ramón Duriez González</v>
      </c>
      <c r="N159" s="162"/>
    </row>
    <row r="160" spans="8:14" x14ac:dyDescent="0.25">
      <c r="H160" s="56">
        <v>156</v>
      </c>
      <c r="I160" s="104" t="s">
        <v>389</v>
      </c>
      <c r="J160" s="162"/>
      <c r="K160" s="104" t="s">
        <v>554</v>
      </c>
      <c r="L160" s="104"/>
      <c r="M160" s="147" t="str">
        <f t="shared" si="3"/>
        <v>Ramón Nicoya</v>
      </c>
      <c r="N160" s="162"/>
    </row>
    <row r="161" spans="8:14" ht="19.2" x14ac:dyDescent="0.25">
      <c r="H161" s="56">
        <v>157</v>
      </c>
      <c r="I161" s="104" t="s">
        <v>390</v>
      </c>
      <c r="J161" s="162"/>
      <c r="K161" s="104" t="s">
        <v>461</v>
      </c>
      <c r="L161" s="104"/>
      <c r="M161" s="147" t="str">
        <f t="shared" si="3"/>
        <v>Rocedes, S.A.</v>
      </c>
      <c r="N161" s="162"/>
    </row>
    <row r="162" spans="8:14" x14ac:dyDescent="0.25">
      <c r="H162" s="56">
        <v>158</v>
      </c>
      <c r="I162" s="104" t="s">
        <v>391</v>
      </c>
      <c r="J162" s="162"/>
      <c r="K162" s="104" t="s">
        <v>433</v>
      </c>
      <c r="L162" s="104"/>
      <c r="M162" s="147" t="str">
        <f t="shared" si="3"/>
        <v>Roger Moreno</v>
      </c>
      <c r="N162" s="162"/>
    </row>
    <row r="163" spans="8:14" x14ac:dyDescent="0.25">
      <c r="H163" s="56">
        <v>159</v>
      </c>
      <c r="I163" s="104" t="s">
        <v>392</v>
      </c>
      <c r="J163" s="162"/>
      <c r="K163" s="104" t="s">
        <v>555</v>
      </c>
      <c r="L163" s="104"/>
      <c r="M163" s="147" t="str">
        <f t="shared" si="3"/>
        <v xml:space="preserve">Roo Hsing Co. Nicaragua, S.A.                               </v>
      </c>
      <c r="N163" s="162"/>
    </row>
    <row r="164" spans="8:14" x14ac:dyDescent="0.25">
      <c r="H164" s="56">
        <v>160</v>
      </c>
      <c r="I164" s="104" t="s">
        <v>393</v>
      </c>
      <c r="J164" s="162"/>
      <c r="K164" s="104" t="s">
        <v>556</v>
      </c>
      <c r="L164" s="104"/>
      <c r="M164" s="147" t="str">
        <f t="shared" si="3"/>
        <v>Royal Shrimp, S.A.</v>
      </c>
      <c r="N164" s="162"/>
    </row>
    <row r="165" spans="8:14" x14ac:dyDescent="0.25">
      <c r="H165" s="56">
        <v>161</v>
      </c>
      <c r="I165" s="104" t="s">
        <v>394</v>
      </c>
      <c r="J165" s="162"/>
      <c r="K165" s="104" t="s">
        <v>557</v>
      </c>
      <c r="L165" s="104"/>
      <c r="M165" s="147" t="str">
        <f t="shared" si="3"/>
        <v>Sae Technotex S.A.</v>
      </c>
      <c r="N165" s="162"/>
    </row>
    <row r="166" spans="8:14" x14ac:dyDescent="0.25">
      <c r="H166" s="56">
        <v>162</v>
      </c>
      <c r="I166" s="104" t="s">
        <v>395</v>
      </c>
      <c r="J166" s="162"/>
      <c r="K166" s="104" t="s">
        <v>556</v>
      </c>
      <c r="L166" s="104"/>
      <c r="M166" s="147" t="str">
        <f t="shared" si="3"/>
        <v>Sahlman Seafoods Nicaragua</v>
      </c>
      <c r="N166" s="162"/>
    </row>
    <row r="167" spans="8:14" x14ac:dyDescent="0.25">
      <c r="H167" s="56">
        <v>163</v>
      </c>
      <c r="I167" s="104" t="s">
        <v>396</v>
      </c>
      <c r="J167" s="162"/>
      <c r="K167" s="104" t="s">
        <v>556</v>
      </c>
      <c r="L167" s="104"/>
      <c r="M167" s="147" t="str">
        <f t="shared" si="3"/>
        <v>Seratex Nicaragua. S.A</v>
      </c>
      <c r="N167" s="162"/>
    </row>
    <row r="168" spans="8:14" x14ac:dyDescent="0.25">
      <c r="H168" s="56">
        <v>164</v>
      </c>
      <c r="I168" s="104" t="s">
        <v>397</v>
      </c>
      <c r="J168" s="162"/>
      <c r="K168" s="104" t="s">
        <v>433</v>
      </c>
      <c r="L168" s="104"/>
      <c r="M168" s="147" t="str">
        <f t="shared" si="3"/>
        <v xml:space="preserve">Servicios Técnicos de Básculas </v>
      </c>
      <c r="N168" s="162"/>
    </row>
    <row r="169" spans="8:14" x14ac:dyDescent="0.25">
      <c r="H169" s="56">
        <v>165</v>
      </c>
      <c r="I169" s="104" t="s">
        <v>398</v>
      </c>
      <c r="J169" s="162"/>
      <c r="K169" s="104" t="s">
        <v>558</v>
      </c>
      <c r="L169" s="104"/>
      <c r="M169" s="147" t="str">
        <f t="shared" si="3"/>
        <v>Simplementemadera</v>
      </c>
      <c r="N169" s="162"/>
    </row>
    <row r="170" spans="8:14" x14ac:dyDescent="0.25">
      <c r="H170" s="56">
        <v>166</v>
      </c>
      <c r="I170" s="104" t="s">
        <v>399</v>
      </c>
      <c r="J170" s="162"/>
      <c r="K170" s="104" t="s">
        <v>559</v>
      </c>
      <c r="L170" s="104"/>
      <c r="M170" s="147" t="str">
        <f t="shared" si="3"/>
        <v>Sovereign Logistics S.A.</v>
      </c>
      <c r="N170" s="162"/>
    </row>
    <row r="171" spans="8:14" ht="19.2" x14ac:dyDescent="0.25">
      <c r="H171" s="56">
        <v>167</v>
      </c>
      <c r="I171" s="104" t="s">
        <v>400</v>
      </c>
      <c r="J171" s="162"/>
      <c r="K171" s="104" t="s">
        <v>560</v>
      </c>
      <c r="L171" s="104"/>
      <c r="M171" s="147" t="str">
        <f t="shared" si="3"/>
        <v xml:space="preserve">Suministros Químicos Industriales, S.A.(SUQUISA)            </v>
      </c>
      <c r="N171" s="162"/>
    </row>
    <row r="172" spans="8:14" ht="19.2" x14ac:dyDescent="0.25">
      <c r="H172" s="56">
        <v>168</v>
      </c>
      <c r="I172" s="104" t="s">
        <v>401</v>
      </c>
      <c r="J172" s="162"/>
      <c r="K172" s="104" t="s">
        <v>561</v>
      </c>
      <c r="L172" s="104"/>
      <c r="M172" s="147" t="str">
        <f t="shared" si="3"/>
        <v>Tabacos Cubanica, S.A.</v>
      </c>
      <c r="N172" s="162"/>
    </row>
    <row r="173" spans="8:14" ht="19.2" x14ac:dyDescent="0.25">
      <c r="H173" s="56">
        <v>169</v>
      </c>
      <c r="I173" s="104" t="s">
        <v>402</v>
      </c>
      <c r="J173" s="162"/>
      <c r="K173" s="104" t="s">
        <v>562</v>
      </c>
      <c r="L173" s="104"/>
      <c r="M173" s="147" t="str">
        <f t="shared" si="3"/>
        <v>Tabacos del Sol</v>
      </c>
      <c r="N173" s="162"/>
    </row>
    <row r="174" spans="8:14" x14ac:dyDescent="0.25">
      <c r="H174" s="56">
        <v>170</v>
      </c>
      <c r="I174" s="104" t="s">
        <v>403</v>
      </c>
      <c r="J174" s="162"/>
      <c r="K174" s="104" t="s">
        <v>556</v>
      </c>
      <c r="L174" s="104"/>
      <c r="M174" s="147" t="str">
        <f t="shared" si="3"/>
        <v>Tecniprocesos de Nicaragua, S.A.</v>
      </c>
      <c r="N174" s="162"/>
    </row>
    <row r="175" spans="8:14" x14ac:dyDescent="0.25">
      <c r="H175" s="56">
        <v>171</v>
      </c>
      <c r="I175" s="104" t="s">
        <v>404</v>
      </c>
      <c r="J175" s="162"/>
      <c r="K175" s="104" t="s">
        <v>563</v>
      </c>
      <c r="L175" s="104"/>
      <c r="M175" s="147" t="str">
        <f t="shared" si="3"/>
        <v xml:space="preserve">Tecnodiagnóstica, S.A.                                      </v>
      </c>
      <c r="N175" s="162"/>
    </row>
    <row r="176" spans="8:14" x14ac:dyDescent="0.25">
      <c r="H176" s="56">
        <v>172</v>
      </c>
      <c r="I176" s="104" t="s">
        <v>405</v>
      </c>
      <c r="J176" s="162"/>
      <c r="K176" s="104" t="s">
        <v>564</v>
      </c>
      <c r="L176" s="104"/>
      <c r="M176" s="147" t="str">
        <f t="shared" si="3"/>
        <v>Tecshoes Latinoamérica</v>
      </c>
      <c r="N176" s="162"/>
    </row>
    <row r="177" spans="8:14" x14ac:dyDescent="0.25">
      <c r="H177" s="56">
        <v>173</v>
      </c>
      <c r="I177" s="104" t="s">
        <v>406</v>
      </c>
      <c r="J177" s="162"/>
      <c r="K177" s="104" t="s">
        <v>565</v>
      </c>
      <c r="L177" s="104"/>
      <c r="M177" s="147" t="str">
        <f t="shared" si="3"/>
        <v>Terraexport S.A. (Planta Matagalpa)</v>
      </c>
      <c r="N177" s="162"/>
    </row>
    <row r="178" spans="8:14" x14ac:dyDescent="0.25">
      <c r="H178" s="56">
        <v>174</v>
      </c>
      <c r="I178" s="104" t="s">
        <v>407</v>
      </c>
      <c r="J178" s="162"/>
      <c r="K178" s="104" t="s">
        <v>566</v>
      </c>
      <c r="L178" s="104"/>
      <c r="M178" s="147" t="str">
        <f t="shared" si="3"/>
        <v>Terraexport S.A. (Planta Nueva Guinea)</v>
      </c>
      <c r="N178" s="162"/>
    </row>
    <row r="179" spans="8:14" x14ac:dyDescent="0.25">
      <c r="H179" s="56">
        <v>175</v>
      </c>
      <c r="I179" s="104" t="s">
        <v>408</v>
      </c>
      <c r="J179" s="162"/>
      <c r="K179" s="104" t="s">
        <v>567</v>
      </c>
      <c r="L179" s="104"/>
      <c r="M179" s="147" t="str">
        <f t="shared" si="3"/>
        <v xml:space="preserve">Tical, S.A.                                                 </v>
      </c>
      <c r="N179" s="162"/>
    </row>
    <row r="180" spans="8:14" x14ac:dyDescent="0.25">
      <c r="H180" s="56">
        <v>176</v>
      </c>
      <c r="I180" s="104" t="s">
        <v>409</v>
      </c>
      <c r="J180" s="162"/>
      <c r="K180" s="104" t="s">
        <v>568</v>
      </c>
      <c r="L180" s="104"/>
      <c r="M180" s="147" t="str">
        <f t="shared" si="3"/>
        <v xml:space="preserve">Tipitapa Power Company                            </v>
      </c>
      <c r="N180" s="162"/>
    </row>
    <row r="181" spans="8:14" x14ac:dyDescent="0.25">
      <c r="H181" s="56">
        <v>177</v>
      </c>
      <c r="I181" s="104" t="s">
        <v>410</v>
      </c>
      <c r="J181" s="162"/>
      <c r="K181" s="104" t="s">
        <v>556</v>
      </c>
      <c r="L181" s="104"/>
      <c r="M181" s="147" t="str">
        <f t="shared" si="3"/>
        <v>Transimport, S.A.</v>
      </c>
      <c r="N181" s="162"/>
    </row>
    <row r="182" spans="8:14" ht="38.4" x14ac:dyDescent="0.25">
      <c r="H182" s="56">
        <v>178</v>
      </c>
      <c r="I182" s="104" t="s">
        <v>411</v>
      </c>
      <c r="J182" s="162"/>
      <c r="K182" s="104" t="s">
        <v>569</v>
      </c>
      <c r="L182" s="104"/>
      <c r="M182" s="147" t="str">
        <f t="shared" si="3"/>
        <v>Tropicana Fruit Farms Inc.</v>
      </c>
      <c r="N182" s="162"/>
    </row>
    <row r="183" spans="8:14" x14ac:dyDescent="0.25">
      <c r="H183" s="56">
        <v>179</v>
      </c>
      <c r="I183" s="104" t="s">
        <v>412</v>
      </c>
      <c r="J183" s="162"/>
      <c r="K183" s="104" t="s">
        <v>570</v>
      </c>
      <c r="L183" s="104"/>
      <c r="M183" s="147" t="str">
        <f t="shared" si="3"/>
        <v>Universal Leaf Nicaragua, S.A.</v>
      </c>
      <c r="N183" s="162"/>
    </row>
    <row r="184" spans="8:14" x14ac:dyDescent="0.25">
      <c r="H184" s="56">
        <v>180</v>
      </c>
      <c r="I184" s="104" t="s">
        <v>413</v>
      </c>
      <c r="J184" s="162"/>
      <c r="K184" s="104" t="s">
        <v>571</v>
      </c>
      <c r="L184" s="104"/>
      <c r="M184" s="147" t="str">
        <f t="shared" si="3"/>
        <v>Universidad Nacional de Ingeniería</v>
      </c>
      <c r="N184" s="162"/>
    </row>
    <row r="185" spans="8:14" x14ac:dyDescent="0.25">
      <c r="H185" s="56">
        <v>181</v>
      </c>
      <c r="I185" s="104" t="s">
        <v>414</v>
      </c>
      <c r="J185" s="162"/>
      <c r="K185" s="104" t="s">
        <v>572</v>
      </c>
      <c r="L185" s="104"/>
      <c r="M185" s="147" t="str">
        <f t="shared" si="3"/>
        <v>UNO</v>
      </c>
      <c r="N185" s="162"/>
    </row>
    <row r="186" spans="8:14" x14ac:dyDescent="0.25">
      <c r="H186" s="56">
        <v>182</v>
      </c>
      <c r="I186" s="104" t="s">
        <v>415</v>
      </c>
      <c r="J186" s="162"/>
      <c r="K186" s="104" t="s">
        <v>573</v>
      </c>
      <c r="L186" s="104"/>
      <c r="M186" s="147" t="str">
        <f t="shared" si="3"/>
        <v>Vegyfrut</v>
      </c>
      <c r="N186" s="162"/>
    </row>
    <row r="187" spans="8:14" x14ac:dyDescent="0.25">
      <c r="H187" s="56">
        <v>183</v>
      </c>
      <c r="I187" s="104" t="s">
        <v>416</v>
      </c>
      <c r="J187" s="162"/>
      <c r="K187" s="104" t="s">
        <v>574</v>
      </c>
      <c r="L187" s="104"/>
      <c r="M187" s="147" t="str">
        <f t="shared" si="3"/>
        <v xml:space="preserve">Yazaki de Nicaragua, S.A.                                   </v>
      </c>
      <c r="N187" s="162"/>
    </row>
    <row r="188" spans="8:14" x14ac:dyDescent="0.25">
      <c r="H188" s="56">
        <v>184</v>
      </c>
      <c r="I188" s="104" t="s">
        <v>417</v>
      </c>
      <c r="J188" s="162"/>
      <c r="K188" s="104" t="s">
        <v>575</v>
      </c>
      <c r="L188" s="104"/>
      <c r="M188" s="147" t="str">
        <f t="shared" si="3"/>
        <v xml:space="preserve">Zeas Apicola y Cia. LTDA.                                   </v>
      </c>
      <c r="N188" s="162"/>
    </row>
    <row r="189" spans="8:14" ht="19.2" x14ac:dyDescent="0.25">
      <c r="H189" s="56">
        <v>185</v>
      </c>
      <c r="I189" s="104" t="s">
        <v>418</v>
      </c>
      <c r="J189" s="162"/>
      <c r="K189" s="104" t="s">
        <v>576</v>
      </c>
      <c r="L189" s="104"/>
      <c r="M189" s="147" t="str">
        <f t="shared" si="3"/>
        <v>Labnicsa</v>
      </c>
      <c r="N189" s="162"/>
    </row>
    <row r="190" spans="8:14" ht="19.2" x14ac:dyDescent="0.25">
      <c r="H190" s="56">
        <v>186</v>
      </c>
      <c r="I190" s="104" t="s">
        <v>641</v>
      </c>
      <c r="J190" s="104" t="s">
        <v>642</v>
      </c>
      <c r="K190" s="104" t="s">
        <v>643</v>
      </c>
      <c r="L190" s="104" t="s">
        <v>639</v>
      </c>
      <c r="M190" s="147" t="str">
        <f t="shared" si="3"/>
        <v>Metrología Consultores de Nicaragua S.A. (METROCAL)</v>
      </c>
      <c r="N190" s="162"/>
    </row>
    <row r="191" spans="8:14" x14ac:dyDescent="0.25">
      <c r="H191" s="56">
        <v>187</v>
      </c>
      <c r="I191" s="104"/>
      <c r="J191" s="162"/>
      <c r="K191" s="104"/>
      <c r="L191" s="104"/>
      <c r="M191" s="147">
        <f t="shared" si="3"/>
        <v>0</v>
      </c>
      <c r="N191" s="162"/>
    </row>
    <row r="192" spans="8:14" x14ac:dyDescent="0.25">
      <c r="H192" s="56">
        <v>188</v>
      </c>
      <c r="I192" s="104"/>
      <c r="J192" s="162"/>
      <c r="K192" s="104"/>
      <c r="L192" s="104"/>
      <c r="M192" s="147">
        <f t="shared" si="3"/>
        <v>0</v>
      </c>
      <c r="N192" s="162"/>
    </row>
    <row r="193" spans="8:14" x14ac:dyDescent="0.25">
      <c r="H193" s="56">
        <v>189</v>
      </c>
      <c r="I193" s="104"/>
      <c r="J193" s="162"/>
      <c r="K193" s="104"/>
      <c r="L193" s="104"/>
      <c r="M193" s="147">
        <f t="shared" si="3"/>
        <v>0</v>
      </c>
      <c r="N193" s="162"/>
    </row>
    <row r="194" spans="8:14" x14ac:dyDescent="0.25">
      <c r="H194" s="56">
        <v>190</v>
      </c>
      <c r="I194" s="104"/>
      <c r="J194" s="162"/>
      <c r="K194" s="104"/>
      <c r="L194" s="104"/>
      <c r="M194" s="147">
        <f t="shared" si="3"/>
        <v>0</v>
      </c>
      <c r="N194" s="162"/>
    </row>
    <row r="195" spans="8:14" x14ac:dyDescent="0.25">
      <c r="H195" s="56">
        <v>191</v>
      </c>
      <c r="I195" s="104"/>
      <c r="J195" s="162"/>
      <c r="K195" s="104"/>
      <c r="L195" s="104"/>
      <c r="M195" s="147">
        <f t="shared" si="3"/>
        <v>0</v>
      </c>
      <c r="N195" s="162"/>
    </row>
    <row r="196" spans="8:14" x14ac:dyDescent="0.25">
      <c r="H196" s="56">
        <v>192</v>
      </c>
      <c r="I196" s="104"/>
      <c r="J196" s="162"/>
      <c r="K196" s="104"/>
      <c r="L196" s="104"/>
      <c r="M196" s="147">
        <f t="shared" si="3"/>
        <v>0</v>
      </c>
      <c r="N196" s="162"/>
    </row>
    <row r="197" spans="8:14" x14ac:dyDescent="0.25">
      <c r="H197" s="56">
        <v>193</v>
      </c>
      <c r="I197" s="104"/>
      <c r="J197" s="162"/>
      <c r="K197" s="104"/>
      <c r="L197" s="104"/>
      <c r="M197" s="147">
        <f t="shared" ref="M197:M246" si="4">IF(J197="",I197,I197&amp;" ("&amp;J197&amp;")")</f>
        <v>0</v>
      </c>
      <c r="N197" s="162"/>
    </row>
    <row r="198" spans="8:14" x14ac:dyDescent="0.25">
      <c r="H198" s="56">
        <v>194</v>
      </c>
      <c r="I198" s="104"/>
      <c r="J198" s="162"/>
      <c r="K198" s="104"/>
      <c r="L198" s="104"/>
      <c r="M198" s="147">
        <f t="shared" si="4"/>
        <v>0</v>
      </c>
      <c r="N198" s="162"/>
    </row>
    <row r="199" spans="8:14" x14ac:dyDescent="0.25">
      <c r="H199" s="56">
        <v>195</v>
      </c>
      <c r="I199" s="104"/>
      <c r="J199" s="162"/>
      <c r="K199" s="104"/>
      <c r="L199" s="104"/>
      <c r="M199" s="147">
        <f t="shared" si="4"/>
        <v>0</v>
      </c>
      <c r="N199" s="162"/>
    </row>
    <row r="200" spans="8:14" x14ac:dyDescent="0.25">
      <c r="H200" s="56">
        <v>196</v>
      </c>
      <c r="I200" s="104"/>
      <c r="J200" s="162"/>
      <c r="K200" s="104"/>
      <c r="L200" s="104"/>
      <c r="M200" s="147">
        <f t="shared" si="4"/>
        <v>0</v>
      </c>
      <c r="N200" s="162"/>
    </row>
    <row r="201" spans="8:14" x14ac:dyDescent="0.25">
      <c r="H201" s="56">
        <v>197</v>
      </c>
      <c r="I201" s="104"/>
      <c r="J201" s="162"/>
      <c r="K201" s="104"/>
      <c r="L201" s="104"/>
      <c r="M201" s="147">
        <f t="shared" si="4"/>
        <v>0</v>
      </c>
      <c r="N201" s="162"/>
    </row>
    <row r="202" spans="8:14" x14ac:dyDescent="0.25">
      <c r="H202" s="56">
        <v>198</v>
      </c>
      <c r="I202" s="104"/>
      <c r="J202" s="162"/>
      <c r="K202" s="104"/>
      <c r="L202" s="104"/>
      <c r="M202" s="147">
        <f t="shared" si="4"/>
        <v>0</v>
      </c>
      <c r="N202" s="162"/>
    </row>
    <row r="203" spans="8:14" x14ac:dyDescent="0.25">
      <c r="H203" s="56">
        <v>199</v>
      </c>
      <c r="I203" s="104"/>
      <c r="J203" s="162"/>
      <c r="K203" s="104"/>
      <c r="L203" s="104"/>
      <c r="M203" s="147">
        <f t="shared" si="4"/>
        <v>0</v>
      </c>
      <c r="N203" s="162"/>
    </row>
    <row r="204" spans="8:14" x14ac:dyDescent="0.25">
      <c r="H204" s="56">
        <v>200</v>
      </c>
      <c r="I204" s="104"/>
      <c r="J204" s="162"/>
      <c r="K204" s="104"/>
      <c r="L204" s="104"/>
      <c r="M204" s="147">
        <f t="shared" si="4"/>
        <v>0</v>
      </c>
      <c r="N204" s="162"/>
    </row>
    <row r="205" spans="8:14" x14ac:dyDescent="0.25">
      <c r="H205" s="56">
        <v>201</v>
      </c>
      <c r="I205" s="104"/>
      <c r="J205" s="162"/>
      <c r="K205" s="104"/>
      <c r="L205" s="104"/>
      <c r="M205" s="147">
        <f t="shared" si="4"/>
        <v>0</v>
      </c>
      <c r="N205" s="162"/>
    </row>
    <row r="206" spans="8:14" x14ac:dyDescent="0.25">
      <c r="H206" s="56">
        <v>202</v>
      </c>
      <c r="I206" s="104"/>
      <c r="J206" s="162"/>
      <c r="K206" s="104"/>
      <c r="L206" s="104"/>
      <c r="M206" s="147">
        <f t="shared" si="4"/>
        <v>0</v>
      </c>
      <c r="N206" s="162"/>
    </row>
    <row r="207" spans="8:14" x14ac:dyDescent="0.25">
      <c r="H207" s="56">
        <v>203</v>
      </c>
      <c r="I207" s="104"/>
      <c r="J207" s="162"/>
      <c r="K207" s="104"/>
      <c r="L207" s="104"/>
      <c r="M207" s="147">
        <f t="shared" si="4"/>
        <v>0</v>
      </c>
      <c r="N207" s="162"/>
    </row>
    <row r="208" spans="8:14" x14ac:dyDescent="0.25">
      <c r="H208" s="56">
        <v>204</v>
      </c>
      <c r="I208" s="104"/>
      <c r="J208" s="162"/>
      <c r="K208" s="104"/>
      <c r="L208" s="104"/>
      <c r="M208" s="147">
        <f t="shared" si="4"/>
        <v>0</v>
      </c>
      <c r="N208" s="162"/>
    </row>
    <row r="209" spans="8:14" x14ac:dyDescent="0.25">
      <c r="H209" s="56">
        <v>205</v>
      </c>
      <c r="I209" s="104"/>
      <c r="J209" s="162"/>
      <c r="K209" s="104"/>
      <c r="L209" s="104"/>
      <c r="M209" s="147">
        <f t="shared" si="4"/>
        <v>0</v>
      </c>
      <c r="N209" s="162"/>
    </row>
    <row r="210" spans="8:14" x14ac:dyDescent="0.25">
      <c r="H210" s="56">
        <v>206</v>
      </c>
      <c r="I210" s="104"/>
      <c r="J210" s="162"/>
      <c r="K210" s="104"/>
      <c r="L210" s="104"/>
      <c r="M210" s="147">
        <f t="shared" si="4"/>
        <v>0</v>
      </c>
      <c r="N210" s="162"/>
    </row>
    <row r="211" spans="8:14" x14ac:dyDescent="0.25">
      <c r="H211" s="56">
        <v>207</v>
      </c>
      <c r="I211" s="104"/>
      <c r="J211" s="162"/>
      <c r="K211" s="104"/>
      <c r="L211" s="104"/>
      <c r="M211" s="147">
        <f t="shared" si="4"/>
        <v>0</v>
      </c>
      <c r="N211" s="162"/>
    </row>
    <row r="212" spans="8:14" x14ac:dyDescent="0.25">
      <c r="H212" s="56">
        <v>208</v>
      </c>
      <c r="I212" s="104"/>
      <c r="J212" s="162"/>
      <c r="K212" s="104"/>
      <c r="L212" s="104"/>
      <c r="M212" s="147">
        <f t="shared" si="4"/>
        <v>0</v>
      </c>
      <c r="N212" s="162"/>
    </row>
    <row r="213" spans="8:14" x14ac:dyDescent="0.25">
      <c r="H213" s="56">
        <v>209</v>
      </c>
      <c r="I213" s="104"/>
      <c r="J213" s="162"/>
      <c r="K213" s="104"/>
      <c r="L213" s="104"/>
      <c r="M213" s="147">
        <f t="shared" si="4"/>
        <v>0</v>
      </c>
      <c r="N213" s="162"/>
    </row>
    <row r="214" spans="8:14" x14ac:dyDescent="0.25">
      <c r="H214" s="56">
        <v>210</v>
      </c>
      <c r="I214" s="104"/>
      <c r="J214" s="162"/>
      <c r="K214" s="104"/>
      <c r="L214" s="104"/>
      <c r="M214" s="147">
        <f t="shared" si="4"/>
        <v>0</v>
      </c>
      <c r="N214" s="162"/>
    </row>
    <row r="215" spans="8:14" x14ac:dyDescent="0.25">
      <c r="H215" s="56">
        <v>211</v>
      </c>
      <c r="I215" s="104"/>
      <c r="J215" s="162"/>
      <c r="K215" s="104"/>
      <c r="L215" s="104"/>
      <c r="M215" s="147">
        <f t="shared" si="4"/>
        <v>0</v>
      </c>
      <c r="N215" s="162"/>
    </row>
    <row r="216" spans="8:14" x14ac:dyDescent="0.25">
      <c r="H216" s="56">
        <v>212</v>
      </c>
      <c r="I216" s="104"/>
      <c r="J216" s="162"/>
      <c r="K216" s="104"/>
      <c r="L216" s="104"/>
      <c r="M216" s="147">
        <f t="shared" si="4"/>
        <v>0</v>
      </c>
      <c r="N216" s="162"/>
    </row>
    <row r="217" spans="8:14" x14ac:dyDescent="0.25">
      <c r="H217" s="56">
        <v>213</v>
      </c>
      <c r="I217" s="104"/>
      <c r="J217" s="162"/>
      <c r="K217" s="104"/>
      <c r="L217" s="104"/>
      <c r="M217" s="147">
        <f t="shared" si="4"/>
        <v>0</v>
      </c>
      <c r="N217" s="162"/>
    </row>
    <row r="218" spans="8:14" x14ac:dyDescent="0.25">
      <c r="H218" s="56">
        <v>214</v>
      </c>
      <c r="I218" s="104"/>
      <c r="J218" s="162"/>
      <c r="K218" s="104"/>
      <c r="L218" s="104"/>
      <c r="M218" s="147">
        <f t="shared" si="4"/>
        <v>0</v>
      </c>
      <c r="N218" s="162"/>
    </row>
    <row r="219" spans="8:14" x14ac:dyDescent="0.25">
      <c r="H219" s="56">
        <v>215</v>
      </c>
      <c r="I219" s="104"/>
      <c r="J219" s="162"/>
      <c r="K219" s="104"/>
      <c r="L219" s="104"/>
      <c r="M219" s="147">
        <f t="shared" si="4"/>
        <v>0</v>
      </c>
      <c r="N219" s="162"/>
    </row>
    <row r="220" spans="8:14" x14ac:dyDescent="0.25">
      <c r="H220" s="56">
        <v>216</v>
      </c>
      <c r="I220" s="104"/>
      <c r="J220" s="162"/>
      <c r="K220" s="104"/>
      <c r="L220" s="104"/>
      <c r="M220" s="147">
        <f t="shared" si="4"/>
        <v>0</v>
      </c>
      <c r="N220" s="162"/>
    </row>
    <row r="221" spans="8:14" x14ac:dyDescent="0.25">
      <c r="H221" s="56">
        <v>217</v>
      </c>
      <c r="I221" s="104"/>
      <c r="J221" s="162"/>
      <c r="K221" s="104"/>
      <c r="L221" s="104"/>
      <c r="M221" s="147">
        <f t="shared" si="4"/>
        <v>0</v>
      </c>
      <c r="N221" s="162"/>
    </row>
    <row r="222" spans="8:14" x14ac:dyDescent="0.25">
      <c r="H222" s="56">
        <v>218</v>
      </c>
      <c r="I222" s="104"/>
      <c r="J222" s="162"/>
      <c r="K222" s="104"/>
      <c r="L222" s="104"/>
      <c r="M222" s="147">
        <f t="shared" si="4"/>
        <v>0</v>
      </c>
      <c r="N222" s="162"/>
    </row>
    <row r="223" spans="8:14" x14ac:dyDescent="0.25">
      <c r="H223" s="56">
        <v>219</v>
      </c>
      <c r="I223" s="104"/>
      <c r="J223" s="162"/>
      <c r="K223" s="104"/>
      <c r="L223" s="104"/>
      <c r="M223" s="147">
        <f t="shared" si="4"/>
        <v>0</v>
      </c>
      <c r="N223" s="162"/>
    </row>
    <row r="224" spans="8:14" x14ac:dyDescent="0.25">
      <c r="H224" s="56">
        <v>220</v>
      </c>
      <c r="I224" s="104"/>
      <c r="J224" s="162"/>
      <c r="K224" s="104"/>
      <c r="L224" s="104"/>
      <c r="M224" s="147">
        <f t="shared" si="4"/>
        <v>0</v>
      </c>
      <c r="N224" s="162"/>
    </row>
    <row r="225" spans="8:14" x14ac:dyDescent="0.25">
      <c r="H225" s="56">
        <v>221</v>
      </c>
      <c r="I225" s="104"/>
      <c r="J225" s="162"/>
      <c r="K225" s="104"/>
      <c r="L225" s="104"/>
      <c r="M225" s="147">
        <f t="shared" si="4"/>
        <v>0</v>
      </c>
      <c r="N225" s="162"/>
    </row>
    <row r="226" spans="8:14" x14ac:dyDescent="0.25">
      <c r="H226" s="56">
        <v>222</v>
      </c>
      <c r="I226" s="104"/>
      <c r="J226" s="162"/>
      <c r="K226" s="104"/>
      <c r="L226" s="104"/>
      <c r="M226" s="147">
        <f t="shared" si="4"/>
        <v>0</v>
      </c>
      <c r="N226" s="162"/>
    </row>
    <row r="227" spans="8:14" x14ac:dyDescent="0.25">
      <c r="H227" s="56">
        <v>223</v>
      </c>
      <c r="I227" s="104"/>
      <c r="J227" s="162"/>
      <c r="K227" s="104"/>
      <c r="L227" s="104"/>
      <c r="M227" s="147">
        <f t="shared" si="4"/>
        <v>0</v>
      </c>
      <c r="N227" s="162"/>
    </row>
    <row r="228" spans="8:14" x14ac:dyDescent="0.25">
      <c r="H228" s="56">
        <v>224</v>
      </c>
      <c r="I228" s="104"/>
      <c r="J228" s="162"/>
      <c r="K228" s="104"/>
      <c r="L228" s="104"/>
      <c r="M228" s="147">
        <f t="shared" si="4"/>
        <v>0</v>
      </c>
      <c r="N228" s="162"/>
    </row>
    <row r="229" spans="8:14" x14ac:dyDescent="0.25">
      <c r="H229" s="56">
        <v>225</v>
      </c>
      <c r="I229" s="104"/>
      <c r="J229" s="162"/>
      <c r="K229" s="104"/>
      <c r="L229" s="104"/>
      <c r="M229" s="147">
        <f t="shared" si="4"/>
        <v>0</v>
      </c>
      <c r="N229" s="162"/>
    </row>
    <row r="230" spans="8:14" x14ac:dyDescent="0.25">
      <c r="H230" s="56">
        <v>226</v>
      </c>
      <c r="I230" s="104"/>
      <c r="J230" s="162"/>
      <c r="K230" s="104"/>
      <c r="L230" s="104"/>
      <c r="M230" s="147">
        <f t="shared" si="4"/>
        <v>0</v>
      </c>
      <c r="N230" s="162"/>
    </row>
    <row r="231" spans="8:14" x14ac:dyDescent="0.25">
      <c r="H231" s="56">
        <v>227</v>
      </c>
      <c r="I231" s="104"/>
      <c r="J231" s="162"/>
      <c r="K231" s="104"/>
      <c r="L231" s="104"/>
      <c r="M231" s="147">
        <f t="shared" si="4"/>
        <v>0</v>
      </c>
      <c r="N231" s="162"/>
    </row>
    <row r="232" spans="8:14" x14ac:dyDescent="0.25">
      <c r="H232" s="56">
        <v>228</v>
      </c>
      <c r="I232" s="104"/>
      <c r="J232" s="162"/>
      <c r="K232" s="104"/>
      <c r="L232" s="104"/>
      <c r="M232" s="147">
        <f t="shared" si="4"/>
        <v>0</v>
      </c>
      <c r="N232" s="162"/>
    </row>
    <row r="233" spans="8:14" x14ac:dyDescent="0.25">
      <c r="H233" s="56">
        <v>229</v>
      </c>
      <c r="I233" s="104"/>
      <c r="J233" s="162"/>
      <c r="K233" s="104"/>
      <c r="L233" s="104"/>
      <c r="M233" s="147">
        <f t="shared" si="4"/>
        <v>0</v>
      </c>
      <c r="N233" s="162"/>
    </row>
    <row r="234" spans="8:14" x14ac:dyDescent="0.25">
      <c r="H234" s="56">
        <v>230</v>
      </c>
      <c r="I234" s="104"/>
      <c r="J234" s="162"/>
      <c r="K234" s="104"/>
      <c r="L234" s="104"/>
      <c r="M234" s="147">
        <f t="shared" si="4"/>
        <v>0</v>
      </c>
      <c r="N234" s="162"/>
    </row>
    <row r="235" spans="8:14" x14ac:dyDescent="0.25">
      <c r="H235" s="56">
        <v>231</v>
      </c>
      <c r="I235" s="104"/>
      <c r="J235" s="162"/>
      <c r="K235" s="104"/>
      <c r="L235" s="104"/>
      <c r="M235" s="147">
        <f t="shared" si="4"/>
        <v>0</v>
      </c>
      <c r="N235" s="162"/>
    </row>
    <row r="236" spans="8:14" x14ac:dyDescent="0.25">
      <c r="H236" s="56">
        <v>232</v>
      </c>
      <c r="I236" s="104"/>
      <c r="J236" s="162"/>
      <c r="K236" s="104"/>
      <c r="L236" s="104"/>
      <c r="M236" s="147">
        <f t="shared" si="4"/>
        <v>0</v>
      </c>
      <c r="N236" s="162"/>
    </row>
    <row r="237" spans="8:14" x14ac:dyDescent="0.25">
      <c r="H237" s="56">
        <v>233</v>
      </c>
      <c r="I237" s="104"/>
      <c r="J237" s="162"/>
      <c r="K237" s="104"/>
      <c r="L237" s="104"/>
      <c r="M237" s="147">
        <f t="shared" si="4"/>
        <v>0</v>
      </c>
      <c r="N237" s="162"/>
    </row>
    <row r="238" spans="8:14" x14ac:dyDescent="0.25">
      <c r="H238" s="56">
        <v>234</v>
      </c>
      <c r="I238" s="104"/>
      <c r="J238" s="162"/>
      <c r="K238" s="104"/>
      <c r="L238" s="104"/>
      <c r="M238" s="147">
        <f t="shared" si="4"/>
        <v>0</v>
      </c>
      <c r="N238" s="162"/>
    </row>
    <row r="239" spans="8:14" x14ac:dyDescent="0.25">
      <c r="H239" s="56">
        <v>235</v>
      </c>
      <c r="I239" s="104"/>
      <c r="J239" s="162"/>
      <c r="K239" s="104"/>
      <c r="L239" s="104"/>
      <c r="M239" s="147">
        <f t="shared" si="4"/>
        <v>0</v>
      </c>
      <c r="N239" s="162"/>
    </row>
    <row r="240" spans="8:14" x14ac:dyDescent="0.25">
      <c r="H240" s="56">
        <v>236</v>
      </c>
      <c r="I240" s="104"/>
      <c r="J240" s="162"/>
      <c r="K240" s="104"/>
      <c r="L240" s="104"/>
      <c r="M240" s="147">
        <f t="shared" si="4"/>
        <v>0</v>
      </c>
      <c r="N240" s="162"/>
    </row>
    <row r="241" spans="8:14" x14ac:dyDescent="0.25">
      <c r="H241" s="56">
        <v>237</v>
      </c>
      <c r="I241" s="104"/>
      <c r="J241" s="162"/>
      <c r="K241" s="104"/>
      <c r="L241" s="104"/>
      <c r="M241" s="147">
        <f t="shared" si="4"/>
        <v>0</v>
      </c>
      <c r="N241" s="162"/>
    </row>
    <row r="242" spans="8:14" x14ac:dyDescent="0.25">
      <c r="H242" s="56">
        <v>238</v>
      </c>
      <c r="I242" s="104"/>
      <c r="J242" s="162"/>
      <c r="K242" s="104"/>
      <c r="L242" s="104"/>
      <c r="M242" s="147">
        <f t="shared" si="4"/>
        <v>0</v>
      </c>
      <c r="N242" s="162"/>
    </row>
    <row r="243" spans="8:14" x14ac:dyDescent="0.25">
      <c r="H243" s="56">
        <v>239</v>
      </c>
      <c r="I243" s="104"/>
      <c r="J243" s="162"/>
      <c r="K243" s="104"/>
      <c r="L243" s="104"/>
      <c r="M243" s="147">
        <f t="shared" si="4"/>
        <v>0</v>
      </c>
      <c r="N243" s="162"/>
    </row>
    <row r="244" spans="8:14" x14ac:dyDescent="0.25">
      <c r="H244" s="56">
        <v>240</v>
      </c>
      <c r="I244" s="104"/>
      <c r="J244" s="162"/>
      <c r="K244" s="104"/>
      <c r="L244" s="104"/>
      <c r="M244" s="147">
        <f t="shared" si="4"/>
        <v>0</v>
      </c>
      <c r="N244" s="162"/>
    </row>
    <row r="245" spans="8:14" x14ac:dyDescent="0.25">
      <c r="H245" s="56">
        <v>241</v>
      </c>
      <c r="I245" s="104"/>
      <c r="J245" s="162"/>
      <c r="K245" s="104"/>
      <c r="L245" s="104"/>
      <c r="M245" s="147">
        <f t="shared" si="4"/>
        <v>0</v>
      </c>
      <c r="N245" s="162"/>
    </row>
    <row r="246" spans="8:14" x14ac:dyDescent="0.25">
      <c r="H246" s="56">
        <v>242</v>
      </c>
      <c r="I246" s="104"/>
      <c r="J246" s="162"/>
      <c r="K246" s="104"/>
      <c r="L246" s="104"/>
      <c r="M246" s="147">
        <f t="shared" si="4"/>
        <v>0</v>
      </c>
      <c r="N246" s="162"/>
    </row>
  </sheetData>
  <sheetProtection algorithmName="SHA-512" hashValue="337y7FhPLbqwIwyVNV18T8sOR6y8KzKOhau201ga0QZ4AMk6LZmSkxDSKg1EL5Tm4WqgqG7dwO2aF+c7XIinOA==" saltValue="BezuKyohcl/42CZq64sPXQ==" spinCount="100000" sheet="1" formatCells="0"/>
  <sortState xmlns:xlrd2="http://schemas.microsoft.com/office/spreadsheetml/2017/richdata2" ref="I5:M18">
    <sortCondition ref="M5:M18"/>
  </sortState>
  <mergeCells count="4">
    <mergeCell ref="H2:N2"/>
    <mergeCell ref="A13:A14"/>
    <mergeCell ref="D13:D14"/>
    <mergeCell ref="A12:E12"/>
  </mergeCells>
  <phoneticPr fontId="26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7F8D-C857-4ECB-8B60-3217463B6434}">
  <sheetPr codeName="Sheet6"/>
  <dimension ref="A1:F34"/>
  <sheetViews>
    <sheetView workbookViewId="0">
      <selection activeCell="I13" sqref="I13"/>
    </sheetView>
  </sheetViews>
  <sheetFormatPr baseColWidth="10" defaultColWidth="8.88671875" defaultRowHeight="13.2" x14ac:dyDescent="0.25"/>
  <cols>
    <col min="1" max="1" width="18.33203125" bestFit="1" customWidth="1"/>
    <col min="2" max="2" width="9.6640625" customWidth="1"/>
    <col min="3" max="3" width="13" customWidth="1"/>
    <col min="6" max="6" width="9.6640625" customWidth="1"/>
  </cols>
  <sheetData>
    <row r="1" spans="1:6" x14ac:dyDescent="0.25">
      <c r="A1" s="77" t="s">
        <v>1504</v>
      </c>
      <c r="B1" s="77" t="s">
        <v>1505</v>
      </c>
      <c r="C1" s="77" t="s">
        <v>1506</v>
      </c>
      <c r="D1" s="77"/>
      <c r="E1" s="77" t="s">
        <v>1507</v>
      </c>
      <c r="F1" s="77" t="s">
        <v>1505</v>
      </c>
    </row>
    <row r="2" spans="1:6" x14ac:dyDescent="0.25">
      <c r="A2" t="s">
        <v>1508</v>
      </c>
      <c r="B2" t="s">
        <v>1509</v>
      </c>
      <c r="C2" t="s">
        <v>1510</v>
      </c>
      <c r="E2" t="s">
        <v>1511</v>
      </c>
      <c r="F2" t="s">
        <v>1509</v>
      </c>
    </row>
    <row r="3" spans="1:6" x14ac:dyDescent="0.25">
      <c r="A3" t="s">
        <v>1512</v>
      </c>
      <c r="B3" t="s">
        <v>1513</v>
      </c>
      <c r="C3" t="s">
        <v>1514</v>
      </c>
      <c r="E3" t="s">
        <v>1515</v>
      </c>
      <c r="F3" t="s">
        <v>1509</v>
      </c>
    </row>
    <row r="4" spans="1:6" x14ac:dyDescent="0.25">
      <c r="A4" t="s">
        <v>1516</v>
      </c>
      <c r="B4" t="s">
        <v>1517</v>
      </c>
      <c r="C4" t="s">
        <v>1514</v>
      </c>
      <c r="E4" t="s">
        <v>1533</v>
      </c>
      <c r="F4" t="s">
        <v>1509</v>
      </c>
    </row>
    <row r="5" spans="1:6" x14ac:dyDescent="0.25">
      <c r="A5" t="s">
        <v>1519</v>
      </c>
      <c r="B5" t="s">
        <v>1520</v>
      </c>
      <c r="C5" t="s">
        <v>1514</v>
      </c>
      <c r="E5" t="s">
        <v>1534</v>
      </c>
      <c r="F5" t="s">
        <v>1509</v>
      </c>
    </row>
    <row r="6" spans="1:6" x14ac:dyDescent="0.25">
      <c r="A6" t="s">
        <v>1522</v>
      </c>
      <c r="B6" t="s">
        <v>1523</v>
      </c>
      <c r="C6" t="s">
        <v>1524</v>
      </c>
      <c r="E6" t="s">
        <v>1518</v>
      </c>
      <c r="F6" t="s">
        <v>1509</v>
      </c>
    </row>
    <row r="7" spans="1:6" x14ac:dyDescent="0.25">
      <c r="A7" t="s">
        <v>1526</v>
      </c>
      <c r="B7" t="s">
        <v>1527</v>
      </c>
      <c r="C7" t="s">
        <v>1524</v>
      </c>
      <c r="E7" t="s">
        <v>1535</v>
      </c>
      <c r="F7" t="s">
        <v>1509</v>
      </c>
    </row>
    <row r="8" spans="1:6" x14ac:dyDescent="0.25">
      <c r="E8" t="s">
        <v>1536</v>
      </c>
      <c r="F8" t="s">
        <v>1509</v>
      </c>
    </row>
    <row r="9" spans="1:6" x14ac:dyDescent="0.25">
      <c r="E9" t="s">
        <v>1521</v>
      </c>
      <c r="F9" t="s">
        <v>1509</v>
      </c>
    </row>
    <row r="10" spans="1:6" x14ac:dyDescent="0.25">
      <c r="E10" t="s">
        <v>1525</v>
      </c>
      <c r="F10" t="s">
        <v>1509</v>
      </c>
    </row>
    <row r="11" spans="1:6" x14ac:dyDescent="0.25">
      <c r="E11" t="s">
        <v>1528</v>
      </c>
      <c r="F11" t="s">
        <v>1509</v>
      </c>
    </row>
    <row r="12" spans="1:6" x14ac:dyDescent="0.25">
      <c r="E12" t="s">
        <v>1529</v>
      </c>
      <c r="F12" t="s">
        <v>1509</v>
      </c>
    </row>
    <row r="13" spans="1:6" x14ac:dyDescent="0.25">
      <c r="E13" t="s">
        <v>1530</v>
      </c>
      <c r="F13" t="s">
        <v>1509</v>
      </c>
    </row>
    <row r="14" spans="1:6" x14ac:dyDescent="0.25">
      <c r="E14" t="s">
        <v>1531</v>
      </c>
      <c r="F14" t="s">
        <v>1509</v>
      </c>
    </row>
    <row r="15" spans="1:6" x14ac:dyDescent="0.25">
      <c r="E15" t="s">
        <v>1532</v>
      </c>
      <c r="F15" t="s">
        <v>1509</v>
      </c>
    </row>
    <row r="16" spans="1:6" x14ac:dyDescent="0.25">
      <c r="E16" s="454" t="s">
        <v>1521</v>
      </c>
      <c r="F16" s="452" t="s">
        <v>1513</v>
      </c>
    </row>
    <row r="17" spans="5:6" x14ac:dyDescent="0.25">
      <c r="E17" s="454" t="s">
        <v>1521</v>
      </c>
      <c r="F17" s="453" t="s">
        <v>1517</v>
      </c>
    </row>
    <row r="18" spans="5:6" x14ac:dyDescent="0.25">
      <c r="E18" s="454" t="s">
        <v>1521</v>
      </c>
      <c r="F18" s="452" t="s">
        <v>1520</v>
      </c>
    </row>
    <row r="19" spans="5:6" x14ac:dyDescent="0.25">
      <c r="E19" s="455" t="s">
        <v>1521</v>
      </c>
      <c r="F19" s="453" t="s">
        <v>1523</v>
      </c>
    </row>
    <row r="20" spans="5:6" x14ac:dyDescent="0.25">
      <c r="E20" s="454" t="s">
        <v>1511</v>
      </c>
      <c r="F20" s="452" t="s">
        <v>1523</v>
      </c>
    </row>
    <row r="21" spans="5:6" x14ac:dyDescent="0.25">
      <c r="E21" s="455" t="s">
        <v>1515</v>
      </c>
      <c r="F21" s="453" t="s">
        <v>1523</v>
      </c>
    </row>
    <row r="22" spans="5:6" x14ac:dyDescent="0.25">
      <c r="E22" t="s">
        <v>1521</v>
      </c>
      <c r="F22" s="453" t="s">
        <v>1523</v>
      </c>
    </row>
    <row r="23" spans="5:6" x14ac:dyDescent="0.25">
      <c r="E23" t="s">
        <v>1525</v>
      </c>
      <c r="F23" s="453" t="s">
        <v>1523</v>
      </c>
    </row>
    <row r="24" spans="5:6" x14ac:dyDescent="0.25">
      <c r="E24" t="s">
        <v>1528</v>
      </c>
      <c r="F24" s="453" t="s">
        <v>1523</v>
      </c>
    </row>
    <row r="25" spans="5:6" x14ac:dyDescent="0.25">
      <c r="E25" t="s">
        <v>1529</v>
      </c>
      <c r="F25" s="453" t="s">
        <v>1523</v>
      </c>
    </row>
    <row r="26" spans="5:6" x14ac:dyDescent="0.25">
      <c r="E26" t="s">
        <v>1530</v>
      </c>
      <c r="F26" s="453" t="s">
        <v>1523</v>
      </c>
    </row>
    <row r="29" spans="5:6" x14ac:dyDescent="0.25">
      <c r="E29" s="379"/>
      <c r="F29" s="379"/>
    </row>
    <row r="30" spans="5:6" x14ac:dyDescent="0.25">
      <c r="E30" s="379"/>
      <c r="F30" s="379"/>
    </row>
    <row r="31" spans="5:6" x14ac:dyDescent="0.25">
      <c r="E31" s="379"/>
      <c r="F31" s="379"/>
    </row>
    <row r="32" spans="5:6" x14ac:dyDescent="0.25">
      <c r="E32" s="379"/>
      <c r="F32" s="379"/>
    </row>
    <row r="33" spans="5:6" x14ac:dyDescent="0.25">
      <c r="E33" s="379"/>
      <c r="F33" s="379"/>
    </row>
    <row r="34" spans="5:6" x14ac:dyDescent="0.25">
      <c r="E34" s="379"/>
      <c r="F34" s="379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A185-6A71-4037-88B8-F0CEC0EAE0EB}">
  <sheetPr codeName="Sheet7"/>
  <dimension ref="A1"/>
  <sheetViews>
    <sheetView workbookViewId="0">
      <selection activeCell="G21" sqref="G21"/>
    </sheetView>
  </sheetViews>
  <sheetFormatPr baseColWidth="10" defaultColWidth="8.88671875" defaultRowHeight="13.2" x14ac:dyDescent="0.25"/>
  <cols>
    <col min="1" max="16384" width="8.88671875" style="45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C753-C430-4C9E-B596-3A5B3F6D7ADF}">
  <sheetPr codeName="Sheet1"/>
  <dimension ref="A7:O94"/>
  <sheetViews>
    <sheetView view="pageLayout" topLeftCell="A4" zoomScaleNormal="100" workbookViewId="0">
      <selection activeCell="A78" sqref="A78"/>
    </sheetView>
  </sheetViews>
  <sheetFormatPr baseColWidth="10" defaultColWidth="8.88671875" defaultRowHeight="10.199999999999999" x14ac:dyDescent="0.2"/>
  <cols>
    <col min="1" max="1" width="15.21875" style="429" customWidth="1"/>
    <col min="2" max="2" width="12.44140625" style="429" customWidth="1"/>
    <col min="3" max="3" width="14.109375" style="429" customWidth="1"/>
    <col min="4" max="4" width="11.6640625" style="429" customWidth="1"/>
    <col min="5" max="5" width="9.5546875" style="429" customWidth="1"/>
    <col min="6" max="7" width="6.6640625" style="429" customWidth="1"/>
    <col min="8" max="14" width="8.88671875" style="429"/>
    <col min="15" max="15" width="12.33203125" style="429" hidden="1" customWidth="1"/>
    <col min="16" max="16384" width="8.88671875" style="429"/>
  </cols>
  <sheetData>
    <row r="7" spans="1:15" x14ac:dyDescent="0.2">
      <c r="A7" s="467" t="s">
        <v>1486</v>
      </c>
      <c r="B7" s="467"/>
      <c r="C7" s="467"/>
      <c r="D7" s="467"/>
      <c r="E7" s="467"/>
      <c r="F7" s="467"/>
      <c r="G7" s="467"/>
      <c r="H7" s="467"/>
    </row>
    <row r="8" spans="1:15" x14ac:dyDescent="0.2">
      <c r="A8" s="430" t="s">
        <v>1376</v>
      </c>
      <c r="B8" s="471" t="s">
        <v>856</v>
      </c>
      <c r="C8" s="471"/>
      <c r="D8" s="431" t="s">
        <v>1377</v>
      </c>
      <c r="E8" s="432">
        <v>44962</v>
      </c>
    </row>
    <row r="9" spans="1:15" ht="20.399999999999999" x14ac:dyDescent="0.2">
      <c r="A9" s="430" t="s">
        <v>1378</v>
      </c>
      <c r="B9" s="471" t="s">
        <v>1362</v>
      </c>
      <c r="C9" s="471"/>
      <c r="D9" s="433" t="s">
        <v>1379</v>
      </c>
      <c r="E9" s="434" t="s">
        <v>1485</v>
      </c>
      <c r="O9" s="429" t="s">
        <v>600</v>
      </c>
    </row>
    <row r="10" spans="1:15" x14ac:dyDescent="0.2">
      <c r="A10" s="435"/>
      <c r="B10" s="435"/>
      <c r="O10" s="429" t="s">
        <v>823</v>
      </c>
    </row>
    <row r="11" spans="1:15" x14ac:dyDescent="0.2">
      <c r="A11" s="467" t="s">
        <v>1487</v>
      </c>
      <c r="B11" s="467"/>
      <c r="C11" s="467"/>
      <c r="D11" s="467"/>
      <c r="E11" s="467"/>
      <c r="F11" s="467"/>
      <c r="G11" s="467"/>
      <c r="H11" s="467"/>
      <c r="O11" s="429" t="s">
        <v>825</v>
      </c>
    </row>
    <row r="12" spans="1:15" x14ac:dyDescent="0.2">
      <c r="A12" s="430" t="s">
        <v>1380</v>
      </c>
      <c r="B12" s="465" t="s">
        <v>1483</v>
      </c>
      <c r="C12" s="465"/>
      <c r="D12" s="465"/>
      <c r="E12" s="465"/>
      <c r="F12" s="465"/>
      <c r="G12" s="465"/>
    </row>
    <row r="13" spans="1:15" x14ac:dyDescent="0.2">
      <c r="A13" s="436" t="s">
        <v>1488</v>
      </c>
      <c r="B13" s="490" t="s">
        <v>34</v>
      </c>
      <c r="C13" s="491"/>
      <c r="D13" s="430" t="s">
        <v>1381</v>
      </c>
      <c r="E13" s="465" t="s">
        <v>1484</v>
      </c>
      <c r="F13" s="465"/>
      <c r="G13" s="465"/>
    </row>
    <row r="14" spans="1:15" x14ac:dyDescent="0.2">
      <c r="A14" s="430" t="s">
        <v>1382</v>
      </c>
      <c r="B14" s="490">
        <v>59869956</v>
      </c>
      <c r="C14" s="491"/>
      <c r="D14" s="430" t="s">
        <v>591</v>
      </c>
      <c r="E14" s="465">
        <v>562263321</v>
      </c>
      <c r="F14" s="465"/>
      <c r="G14" s="465"/>
    </row>
    <row r="15" spans="1:15" x14ac:dyDescent="0.2">
      <c r="A15" s="430" t="s">
        <v>1489</v>
      </c>
      <c r="B15" s="490" t="s">
        <v>695</v>
      </c>
      <c r="C15" s="491"/>
      <c r="D15" s="431" t="s">
        <v>33</v>
      </c>
      <c r="E15" s="466" t="s">
        <v>433</v>
      </c>
      <c r="F15" s="466"/>
      <c r="G15" s="466"/>
    </row>
    <row r="16" spans="1:15" x14ac:dyDescent="0.2">
      <c r="A16" s="436" t="s">
        <v>77</v>
      </c>
      <c r="B16" s="490">
        <v>0.01</v>
      </c>
      <c r="C16" s="491"/>
      <c r="D16" s="431" t="s">
        <v>1383</v>
      </c>
      <c r="E16" s="431"/>
      <c r="F16" s="431" t="s">
        <v>1384</v>
      </c>
      <c r="G16" s="431"/>
    </row>
    <row r="17" spans="1:8" x14ac:dyDescent="0.2">
      <c r="A17" s="437"/>
      <c r="B17" s="437"/>
    </row>
    <row r="18" spans="1:8" x14ac:dyDescent="0.2">
      <c r="A18" s="467" t="s">
        <v>1490</v>
      </c>
      <c r="B18" s="467"/>
      <c r="C18" s="467"/>
      <c r="D18" s="467"/>
      <c r="E18" s="467"/>
      <c r="F18" s="467"/>
      <c r="G18" s="467"/>
      <c r="H18" s="467"/>
    </row>
    <row r="19" spans="1:8" ht="30.6" x14ac:dyDescent="0.2">
      <c r="B19" s="438" t="s">
        <v>1386</v>
      </c>
      <c r="C19" s="438" t="s">
        <v>1387</v>
      </c>
      <c r="D19" s="431" t="s">
        <v>1388</v>
      </c>
      <c r="E19" s="439" t="s">
        <v>1482</v>
      </c>
      <c r="F19" s="492" t="s">
        <v>1390</v>
      </c>
      <c r="G19" s="493"/>
    </row>
    <row r="20" spans="1:8" x14ac:dyDescent="0.2">
      <c r="A20" s="439" t="s">
        <v>1385</v>
      </c>
      <c r="B20" s="439">
        <v>22.3</v>
      </c>
      <c r="C20" s="439">
        <v>56.4</v>
      </c>
      <c r="D20" s="472" t="s">
        <v>825</v>
      </c>
      <c r="E20" s="472"/>
      <c r="F20" s="494"/>
      <c r="G20" s="495"/>
    </row>
    <row r="21" spans="1:8" x14ac:dyDescent="0.2">
      <c r="A21" s="439" t="s">
        <v>1389</v>
      </c>
      <c r="B21" s="439">
        <v>22.4</v>
      </c>
      <c r="C21" s="439">
        <v>59.6</v>
      </c>
      <c r="D21" s="472"/>
      <c r="E21" s="472"/>
      <c r="F21" s="496"/>
      <c r="G21" s="497"/>
    </row>
    <row r="22" spans="1:8" x14ac:dyDescent="0.2">
      <c r="A22" s="437"/>
      <c r="B22" s="437"/>
    </row>
    <row r="23" spans="1:8" x14ac:dyDescent="0.2">
      <c r="A23" s="467" t="s">
        <v>1491</v>
      </c>
      <c r="B23" s="467"/>
      <c r="C23" s="467"/>
      <c r="D23" s="467"/>
      <c r="E23" s="467"/>
      <c r="F23" s="467"/>
      <c r="G23" s="467"/>
      <c r="H23" s="467"/>
    </row>
    <row r="24" spans="1:8" x14ac:dyDescent="0.2">
      <c r="A24" s="431" t="s">
        <v>1391</v>
      </c>
      <c r="B24" s="431" t="s">
        <v>1391</v>
      </c>
    </row>
    <row r="25" spans="1:8" x14ac:dyDescent="0.2">
      <c r="A25" s="431" t="s">
        <v>1391</v>
      </c>
      <c r="B25" s="431" t="s">
        <v>1391</v>
      </c>
    </row>
    <row r="26" spans="1:8" x14ac:dyDescent="0.2">
      <c r="A26" s="437"/>
      <c r="B26" s="437"/>
    </row>
    <row r="27" spans="1:8" x14ac:dyDescent="0.2">
      <c r="A27" s="467" t="s">
        <v>1492</v>
      </c>
      <c r="B27" s="467"/>
      <c r="C27" s="467"/>
      <c r="D27" s="467"/>
      <c r="E27" s="467"/>
      <c r="F27" s="467"/>
      <c r="G27" s="467"/>
      <c r="H27" s="467"/>
    </row>
    <row r="28" spans="1:8" x14ac:dyDescent="0.2">
      <c r="A28" s="471"/>
      <c r="B28" s="471"/>
      <c r="C28" s="471"/>
      <c r="D28" s="471"/>
      <c r="E28" s="471"/>
      <c r="F28" s="471"/>
      <c r="G28" s="471"/>
    </row>
    <row r="29" spans="1:8" x14ac:dyDescent="0.2">
      <c r="A29" s="471"/>
      <c r="B29" s="471"/>
      <c r="C29" s="471"/>
      <c r="D29" s="471"/>
      <c r="E29" s="471"/>
      <c r="F29" s="471"/>
      <c r="G29" s="471"/>
    </row>
    <row r="30" spans="1:8" x14ac:dyDescent="0.2">
      <c r="A30" s="435"/>
      <c r="B30" s="435"/>
    </row>
    <row r="31" spans="1:8" ht="11.4" thickBot="1" x14ac:dyDescent="0.25">
      <c r="A31" s="467" t="s">
        <v>1493</v>
      </c>
      <c r="B31" s="467"/>
      <c r="C31" s="467"/>
      <c r="D31" s="467"/>
      <c r="E31" s="467"/>
      <c r="F31" s="467"/>
      <c r="G31" s="467"/>
    </row>
    <row r="32" spans="1:8" ht="23.4" customHeight="1" thickBot="1" x14ac:dyDescent="0.25">
      <c r="A32" s="461" t="s">
        <v>1392</v>
      </c>
      <c r="B32" s="462"/>
      <c r="C32" s="468" t="s">
        <v>1393</v>
      </c>
      <c r="D32" s="469"/>
      <c r="E32" s="469"/>
      <c r="F32" s="469"/>
      <c r="G32" s="470"/>
    </row>
    <row r="33" spans="1:8" ht="13.2" thickBot="1" x14ac:dyDescent="0.25">
      <c r="A33" s="463"/>
      <c r="B33" s="464"/>
      <c r="C33" s="440" t="s">
        <v>1494</v>
      </c>
      <c r="D33" s="440" t="s">
        <v>1495</v>
      </c>
      <c r="E33" s="440" t="s">
        <v>1496</v>
      </c>
      <c r="F33" s="440" t="s">
        <v>1497</v>
      </c>
      <c r="G33" s="440" t="s">
        <v>1498</v>
      </c>
    </row>
    <row r="34" spans="1:8" ht="10.8" thickBot="1" x14ac:dyDescent="0.25">
      <c r="A34" s="468">
        <v>0</v>
      </c>
      <c r="B34" s="470"/>
      <c r="C34" s="440">
        <v>0</v>
      </c>
      <c r="D34" s="440">
        <v>0</v>
      </c>
      <c r="E34" s="440">
        <v>0</v>
      </c>
      <c r="F34" s="440">
        <v>0</v>
      </c>
      <c r="G34" s="440">
        <v>0</v>
      </c>
    </row>
    <row r="35" spans="1:8" x14ac:dyDescent="0.2">
      <c r="A35" s="441"/>
      <c r="B35" s="441"/>
    </row>
    <row r="36" spans="1:8" ht="10.8" thickBot="1" x14ac:dyDescent="0.25">
      <c r="A36" s="467" t="s">
        <v>1499</v>
      </c>
      <c r="B36" s="467"/>
      <c r="C36" s="467"/>
      <c r="D36" s="467"/>
      <c r="E36" s="467"/>
      <c r="F36" s="467"/>
      <c r="G36" s="467"/>
      <c r="H36" s="428"/>
    </row>
    <row r="37" spans="1:8" ht="36.6" customHeight="1" thickBot="1" x14ac:dyDescent="0.25">
      <c r="A37" s="459" t="s">
        <v>60</v>
      </c>
      <c r="B37" s="461" t="s">
        <v>1394</v>
      </c>
      <c r="C37" s="462"/>
      <c r="D37" s="468" t="s">
        <v>1393</v>
      </c>
      <c r="E37" s="469"/>
      <c r="F37" s="469"/>
      <c r="G37" s="469"/>
      <c r="H37" s="470"/>
    </row>
    <row r="38" spans="1:8" ht="13.2" thickBot="1" x14ac:dyDescent="0.25">
      <c r="A38" s="460"/>
      <c r="B38" s="463"/>
      <c r="C38" s="464"/>
      <c r="D38" s="440" t="s">
        <v>1494</v>
      </c>
      <c r="E38" s="440" t="s">
        <v>1495</v>
      </c>
      <c r="F38" s="440" t="s">
        <v>1496</v>
      </c>
      <c r="G38" s="440" t="s">
        <v>1497</v>
      </c>
      <c r="H38" s="440" t="s">
        <v>1498</v>
      </c>
    </row>
    <row r="39" spans="1:8" ht="10.8" thickBot="1" x14ac:dyDescent="0.25">
      <c r="A39" s="459">
        <f>Resultados!C38</f>
        <v>0</v>
      </c>
      <c r="B39" s="461" t="s">
        <v>1395</v>
      </c>
      <c r="C39" s="462"/>
      <c r="D39" s="440"/>
      <c r="E39" s="440"/>
      <c r="F39" s="440"/>
      <c r="G39" s="440"/>
      <c r="H39" s="440"/>
    </row>
    <row r="40" spans="1:8" ht="10.8" thickBot="1" x14ac:dyDescent="0.25">
      <c r="A40" s="460"/>
      <c r="B40" s="463" t="s">
        <v>1396</v>
      </c>
      <c r="C40" s="464"/>
      <c r="D40" s="440"/>
      <c r="E40" s="440"/>
      <c r="F40" s="440"/>
      <c r="G40" s="440"/>
      <c r="H40" s="440"/>
    </row>
    <row r="41" spans="1:8" ht="10.8" thickBot="1" x14ac:dyDescent="0.25">
      <c r="A41" s="459">
        <f>Resultados!D38</f>
        <v>0</v>
      </c>
      <c r="B41" s="461" t="s">
        <v>1395</v>
      </c>
      <c r="C41" s="462"/>
      <c r="D41" s="440"/>
      <c r="E41" s="440"/>
      <c r="F41" s="440"/>
      <c r="G41" s="440"/>
      <c r="H41" s="440"/>
    </row>
    <row r="42" spans="1:8" ht="10.8" thickBot="1" x14ac:dyDescent="0.25">
      <c r="A42" s="460"/>
      <c r="B42" s="463" t="s">
        <v>1396</v>
      </c>
      <c r="C42" s="464"/>
      <c r="D42" s="440"/>
      <c r="E42" s="440"/>
      <c r="F42" s="440"/>
      <c r="G42" s="440"/>
      <c r="H42" s="440"/>
    </row>
    <row r="43" spans="1:8" ht="10.8" thickBot="1" x14ac:dyDescent="0.25">
      <c r="A43" s="459">
        <f>Resultados!E38</f>
        <v>0</v>
      </c>
      <c r="B43" s="461" t="s">
        <v>1395</v>
      </c>
      <c r="C43" s="462"/>
      <c r="D43" s="440"/>
      <c r="E43" s="440"/>
      <c r="F43" s="440"/>
      <c r="G43" s="440"/>
      <c r="H43" s="440"/>
    </row>
    <row r="44" spans="1:8" ht="10.8" thickBot="1" x14ac:dyDescent="0.25">
      <c r="A44" s="460"/>
      <c r="B44" s="463" t="s">
        <v>1396</v>
      </c>
      <c r="C44" s="464"/>
      <c r="D44" s="440"/>
      <c r="E44" s="440"/>
      <c r="F44" s="440"/>
      <c r="G44" s="440"/>
      <c r="H44" s="440"/>
    </row>
    <row r="45" spans="1:8" ht="10.8" thickBot="1" x14ac:dyDescent="0.25">
      <c r="A45" s="459">
        <f>Resultados!F38</f>
        <v>0</v>
      </c>
      <c r="B45" s="461" t="s">
        <v>1395</v>
      </c>
      <c r="C45" s="462"/>
      <c r="D45" s="440"/>
      <c r="E45" s="440"/>
      <c r="F45" s="440"/>
      <c r="G45" s="440"/>
      <c r="H45" s="440"/>
    </row>
    <row r="46" spans="1:8" ht="10.8" thickBot="1" x14ac:dyDescent="0.25">
      <c r="A46" s="460"/>
      <c r="B46" s="463" t="s">
        <v>1396</v>
      </c>
      <c r="C46" s="464"/>
      <c r="D46" s="440"/>
      <c r="E46" s="440"/>
      <c r="F46" s="440"/>
      <c r="G46" s="440"/>
      <c r="H46" s="440"/>
    </row>
    <row r="47" spans="1:8" ht="10.8" thickBot="1" x14ac:dyDescent="0.25">
      <c r="A47" s="459">
        <f>Resultados!G38</f>
        <v>0</v>
      </c>
      <c r="B47" s="461" t="s">
        <v>1395</v>
      </c>
      <c r="C47" s="462"/>
      <c r="D47" s="440"/>
      <c r="E47" s="440"/>
      <c r="F47" s="440"/>
      <c r="G47" s="440"/>
      <c r="H47" s="440"/>
    </row>
    <row r="48" spans="1:8" ht="10.8" thickBot="1" x14ac:dyDescent="0.25">
      <c r="A48" s="460"/>
      <c r="B48" s="463" t="s">
        <v>1396</v>
      </c>
      <c r="C48" s="464"/>
      <c r="D48" s="440"/>
      <c r="E48" s="440"/>
      <c r="F48" s="440"/>
      <c r="G48" s="440"/>
      <c r="H48" s="440"/>
    </row>
    <row r="49" spans="1:8" ht="10.8" thickBot="1" x14ac:dyDescent="0.25">
      <c r="A49" s="459">
        <f>Resultados!H38</f>
        <v>0</v>
      </c>
      <c r="B49" s="461" t="s">
        <v>1395</v>
      </c>
      <c r="C49" s="462"/>
      <c r="D49" s="440"/>
      <c r="E49" s="440"/>
      <c r="F49" s="440"/>
      <c r="G49" s="440"/>
      <c r="H49" s="440"/>
    </row>
    <row r="50" spans="1:8" ht="10.8" thickBot="1" x14ac:dyDescent="0.25">
      <c r="A50" s="460"/>
      <c r="B50" s="463" t="s">
        <v>1396</v>
      </c>
      <c r="C50" s="464"/>
      <c r="D50" s="440"/>
      <c r="E50" s="440"/>
      <c r="F50" s="440"/>
      <c r="G50" s="440"/>
      <c r="H50" s="440"/>
    </row>
    <row r="51" spans="1:8" x14ac:dyDescent="0.2">
      <c r="A51" s="435"/>
      <c r="B51" s="435"/>
    </row>
    <row r="52" spans="1:8" x14ac:dyDescent="0.2">
      <c r="A52" s="435"/>
      <c r="B52" s="435"/>
    </row>
    <row r="53" spans="1:8" ht="10.8" thickBot="1" x14ac:dyDescent="0.25">
      <c r="A53" s="467" t="s">
        <v>1500</v>
      </c>
      <c r="B53" s="467"/>
      <c r="C53" s="467"/>
      <c r="D53" s="467"/>
      <c r="E53" s="467"/>
      <c r="F53" s="467"/>
      <c r="G53" s="467"/>
      <c r="H53" s="428"/>
    </row>
    <row r="54" spans="1:8" ht="36.6" customHeight="1" thickBot="1" x14ac:dyDescent="0.25">
      <c r="A54" s="459" t="s">
        <v>60</v>
      </c>
      <c r="B54" s="461" t="s">
        <v>1397</v>
      </c>
      <c r="C54" s="462"/>
      <c r="D54" s="468" t="s">
        <v>1393</v>
      </c>
      <c r="E54" s="469"/>
      <c r="F54" s="469"/>
      <c r="G54" s="469"/>
      <c r="H54" s="470"/>
    </row>
    <row r="55" spans="1:8" ht="12.6" x14ac:dyDescent="0.2">
      <c r="A55" s="473"/>
      <c r="B55" s="474"/>
      <c r="C55" s="475"/>
      <c r="D55" s="442" t="s">
        <v>1494</v>
      </c>
      <c r="E55" s="442" t="s">
        <v>1495</v>
      </c>
      <c r="F55" s="442" t="s">
        <v>1496</v>
      </c>
      <c r="G55" s="442" t="s">
        <v>1497</v>
      </c>
      <c r="H55" s="442" t="s">
        <v>1498</v>
      </c>
    </row>
    <row r="56" spans="1:8" x14ac:dyDescent="0.2">
      <c r="A56" s="472" t="str">
        <f>Resultados!C58</f>
        <v>N/A</v>
      </c>
      <c r="B56" s="472" t="s">
        <v>1395</v>
      </c>
      <c r="C56" s="472"/>
      <c r="D56" s="431"/>
      <c r="E56" s="431"/>
      <c r="F56" s="431"/>
      <c r="G56" s="431"/>
      <c r="H56" s="431"/>
    </row>
    <row r="57" spans="1:8" x14ac:dyDescent="0.2">
      <c r="A57" s="472"/>
      <c r="B57" s="472" t="s">
        <v>1396</v>
      </c>
      <c r="C57" s="472"/>
      <c r="D57" s="431"/>
      <c r="E57" s="431"/>
      <c r="F57" s="431"/>
      <c r="G57" s="431"/>
      <c r="H57" s="431"/>
    </row>
    <row r="58" spans="1:8" x14ac:dyDescent="0.2">
      <c r="A58" s="443"/>
      <c r="B58" s="443"/>
      <c r="C58" s="443"/>
      <c r="D58" s="444"/>
      <c r="E58" s="444"/>
      <c r="F58" s="444"/>
      <c r="G58" s="444"/>
      <c r="H58" s="444"/>
    </row>
    <row r="59" spans="1:8" x14ac:dyDescent="0.2">
      <c r="A59" s="443"/>
      <c r="B59" s="443"/>
      <c r="C59" s="443"/>
      <c r="D59" s="444"/>
      <c r="E59" s="444"/>
      <c r="F59" s="444"/>
      <c r="G59" s="444"/>
      <c r="H59" s="444"/>
    </row>
    <row r="60" spans="1:8" x14ac:dyDescent="0.2">
      <c r="A60" s="443"/>
      <c r="B60" s="443"/>
      <c r="C60" s="443"/>
      <c r="D60" s="444"/>
      <c r="E60" s="444"/>
      <c r="F60" s="444"/>
      <c r="G60" s="444"/>
      <c r="H60" s="444"/>
    </row>
    <row r="61" spans="1:8" x14ac:dyDescent="0.2">
      <c r="A61" s="443"/>
      <c r="B61" s="443"/>
      <c r="C61" s="443"/>
      <c r="D61" s="444"/>
      <c r="E61" s="444"/>
      <c r="F61" s="444"/>
      <c r="G61" s="444"/>
      <c r="H61" s="444"/>
    </row>
    <row r="62" spans="1:8" x14ac:dyDescent="0.2">
      <c r="A62" s="443"/>
      <c r="B62" s="443"/>
      <c r="C62" s="443"/>
      <c r="D62" s="444"/>
      <c r="E62" s="444"/>
      <c r="F62" s="444"/>
      <c r="G62" s="444"/>
      <c r="H62" s="444"/>
    </row>
    <row r="63" spans="1:8" x14ac:dyDescent="0.2">
      <c r="A63" s="443"/>
      <c r="B63" s="443"/>
      <c r="C63" s="443"/>
      <c r="D63" s="444"/>
      <c r="E63" s="444"/>
      <c r="F63" s="444"/>
      <c r="G63" s="444"/>
      <c r="H63" s="444"/>
    </row>
    <row r="64" spans="1:8" x14ac:dyDescent="0.2">
      <c r="A64" s="443"/>
      <c r="B64" s="443"/>
      <c r="C64" s="443"/>
      <c r="D64" s="444"/>
      <c r="E64" s="444"/>
      <c r="F64" s="444"/>
      <c r="G64" s="444"/>
      <c r="H64" s="444"/>
    </row>
    <row r="65" spans="1:8" x14ac:dyDescent="0.2">
      <c r="A65" s="443"/>
      <c r="B65" s="443"/>
      <c r="C65" s="443"/>
      <c r="D65" s="444"/>
      <c r="E65" s="444"/>
      <c r="F65" s="444"/>
      <c r="G65" s="444"/>
      <c r="H65" s="444"/>
    </row>
    <row r="66" spans="1:8" x14ac:dyDescent="0.2">
      <c r="A66" s="443"/>
      <c r="B66" s="443"/>
      <c r="C66" s="443"/>
      <c r="D66" s="444"/>
      <c r="E66" s="444"/>
      <c r="F66" s="444"/>
      <c r="G66" s="444"/>
      <c r="H66" s="444"/>
    </row>
    <row r="67" spans="1:8" x14ac:dyDescent="0.2">
      <c r="A67" s="443"/>
      <c r="B67" s="443"/>
      <c r="C67" s="443"/>
      <c r="D67" s="444"/>
      <c r="E67" s="444"/>
      <c r="F67" s="444"/>
      <c r="G67" s="444"/>
      <c r="H67" s="444"/>
    </row>
    <row r="68" spans="1:8" x14ac:dyDescent="0.2">
      <c r="A68" s="435"/>
      <c r="B68" s="435"/>
    </row>
    <row r="69" spans="1:8" ht="10.8" thickBot="1" x14ac:dyDescent="0.25">
      <c r="A69" s="467" t="s">
        <v>1501</v>
      </c>
      <c r="B69" s="467"/>
      <c r="C69" s="467"/>
      <c r="D69" s="467"/>
      <c r="E69" s="467"/>
      <c r="F69" s="467"/>
      <c r="G69" s="467"/>
      <c r="H69" s="428"/>
    </row>
    <row r="70" spans="1:8" ht="49.8" customHeight="1" thickBot="1" x14ac:dyDescent="0.25">
      <c r="A70" s="484" t="s">
        <v>1398</v>
      </c>
      <c r="B70" s="485"/>
      <c r="C70" s="468" t="s">
        <v>1399</v>
      </c>
      <c r="D70" s="469"/>
      <c r="E70" s="469"/>
      <c r="F70" s="469"/>
      <c r="G70" s="470"/>
    </row>
    <row r="71" spans="1:8" ht="13.2" thickBot="1" x14ac:dyDescent="0.25">
      <c r="A71" s="486"/>
      <c r="B71" s="487"/>
      <c r="C71" s="440" t="s">
        <v>1494</v>
      </c>
      <c r="D71" s="440" t="s">
        <v>1495</v>
      </c>
      <c r="E71" s="440" t="s">
        <v>1496</v>
      </c>
      <c r="F71" s="440" t="s">
        <v>1497</v>
      </c>
      <c r="G71" s="440" t="s">
        <v>1498</v>
      </c>
    </row>
    <row r="72" spans="1:8" ht="10.8" thickBot="1" x14ac:dyDescent="0.25">
      <c r="A72" s="488">
        <f>Resultados!C82</f>
        <v>0</v>
      </c>
      <c r="B72" s="487"/>
      <c r="C72" s="445"/>
      <c r="D72" s="445"/>
      <c r="E72" s="445"/>
      <c r="F72" s="445"/>
      <c r="G72" s="445"/>
    </row>
    <row r="73" spans="1:8" ht="10.8" thickBot="1" x14ac:dyDescent="0.25">
      <c r="A73" s="488">
        <f>Resultados!D82</f>
        <v>0</v>
      </c>
      <c r="B73" s="487"/>
      <c r="C73" s="445"/>
      <c r="D73" s="445"/>
      <c r="E73" s="445"/>
      <c r="F73" s="445"/>
      <c r="G73" s="445"/>
    </row>
    <row r="74" spans="1:8" ht="10.8" thickBot="1" x14ac:dyDescent="0.25">
      <c r="A74" s="488">
        <f>Resultados!E82</f>
        <v>0</v>
      </c>
      <c r="B74" s="487"/>
      <c r="C74" s="445"/>
      <c r="D74" s="445"/>
      <c r="E74" s="445"/>
      <c r="F74" s="445"/>
      <c r="G74" s="445"/>
    </row>
    <row r="75" spans="1:8" ht="10.8" thickBot="1" x14ac:dyDescent="0.25">
      <c r="A75" s="488">
        <f>Resultados!F82</f>
        <v>0</v>
      </c>
      <c r="B75" s="487"/>
      <c r="C75" s="445"/>
      <c r="D75" s="445"/>
      <c r="E75" s="445"/>
      <c r="F75" s="445"/>
      <c r="G75" s="445"/>
    </row>
    <row r="76" spans="1:8" ht="10.8" thickBot="1" x14ac:dyDescent="0.25">
      <c r="A76" s="488">
        <f>Resultados!G82</f>
        <v>0</v>
      </c>
      <c r="B76" s="487"/>
      <c r="C76" s="445"/>
      <c r="D76" s="445"/>
      <c r="E76" s="445"/>
      <c r="F76" s="445"/>
      <c r="G76" s="445"/>
    </row>
    <row r="77" spans="1:8" ht="10.8" thickBot="1" x14ac:dyDescent="0.25">
      <c r="A77" s="488">
        <f>Resultados!H82</f>
        <v>0</v>
      </c>
      <c r="B77" s="487"/>
      <c r="C77" s="445"/>
      <c r="D77" s="445"/>
      <c r="E77" s="445"/>
      <c r="F77" s="445"/>
      <c r="G77" s="445"/>
    </row>
    <row r="78" spans="1:8" x14ac:dyDescent="0.2">
      <c r="A78" s="437"/>
      <c r="B78" s="437"/>
    </row>
    <row r="79" spans="1:8" x14ac:dyDescent="0.2">
      <c r="A79" s="437"/>
      <c r="B79" s="437"/>
    </row>
    <row r="80" spans="1:8" x14ac:dyDescent="0.2">
      <c r="A80" s="437"/>
      <c r="B80" s="437"/>
    </row>
    <row r="81" spans="1:7" ht="10.8" thickBot="1" x14ac:dyDescent="0.25">
      <c r="A81" s="476" t="s">
        <v>1502</v>
      </c>
      <c r="B81" s="476"/>
      <c r="D81" s="498" t="s">
        <v>1400</v>
      </c>
      <c r="E81" s="498"/>
    </row>
    <row r="82" spans="1:7" ht="10.8" thickBot="1" x14ac:dyDescent="0.25">
      <c r="A82" s="446" t="s">
        <v>1401</v>
      </c>
      <c r="B82" s="468"/>
      <c r="C82" s="470"/>
      <c r="D82" s="446" t="s">
        <v>1401</v>
      </c>
      <c r="E82" s="479"/>
      <c r="F82" s="480"/>
      <c r="G82" s="481"/>
    </row>
    <row r="83" spans="1:7" x14ac:dyDescent="0.2">
      <c r="A83" s="444"/>
      <c r="B83" s="443"/>
      <c r="C83" s="443"/>
      <c r="D83" s="444"/>
      <c r="E83" s="447"/>
      <c r="F83" s="447"/>
      <c r="G83" s="447"/>
    </row>
    <row r="84" spans="1:7" x14ac:dyDescent="0.2">
      <c r="A84" s="444"/>
      <c r="B84" s="443"/>
      <c r="C84" s="443"/>
      <c r="D84" s="444"/>
      <c r="E84" s="447"/>
      <c r="F84" s="447"/>
      <c r="G84" s="447"/>
    </row>
    <row r="85" spans="1:7" x14ac:dyDescent="0.2">
      <c r="A85" s="435"/>
      <c r="B85" s="435"/>
    </row>
    <row r="86" spans="1:7" ht="10.8" thickBot="1" x14ac:dyDescent="0.25">
      <c r="A86" s="476" t="s">
        <v>1503</v>
      </c>
      <c r="B86" s="476"/>
      <c r="C86" s="435" t="s">
        <v>1402</v>
      </c>
      <c r="E86" s="448" t="s">
        <v>1403</v>
      </c>
    </row>
    <row r="87" spans="1:7" ht="13.8" customHeight="1" thickBot="1" x14ac:dyDescent="0.25">
      <c r="A87" s="482" t="s">
        <v>1481</v>
      </c>
      <c r="B87" s="483"/>
      <c r="C87" s="477" t="s">
        <v>1401</v>
      </c>
      <c r="D87" s="478"/>
      <c r="E87" s="479"/>
      <c r="F87" s="480"/>
      <c r="G87" s="481"/>
    </row>
    <row r="88" spans="1:7" x14ac:dyDescent="0.2">
      <c r="A88" s="437"/>
      <c r="B88" s="437"/>
    </row>
    <row r="89" spans="1:7" x14ac:dyDescent="0.2">
      <c r="A89" s="437"/>
      <c r="B89" s="437"/>
    </row>
    <row r="90" spans="1:7" x14ac:dyDescent="0.2">
      <c r="A90" s="449"/>
      <c r="B90" s="450"/>
      <c r="C90" s="451"/>
      <c r="D90" s="451"/>
      <c r="E90" s="451"/>
      <c r="F90" s="451"/>
    </row>
    <row r="91" spans="1:7" x14ac:dyDescent="0.2">
      <c r="B91" s="450"/>
      <c r="C91" s="451"/>
      <c r="D91" s="451"/>
      <c r="E91" s="451"/>
      <c r="F91" s="451"/>
    </row>
    <row r="92" spans="1:7" ht="13.2" x14ac:dyDescent="0.2">
      <c r="B92" s="451"/>
      <c r="C92" s="489" t="s">
        <v>1404</v>
      </c>
      <c r="D92" s="489"/>
      <c r="E92" s="489"/>
      <c r="F92" s="451"/>
    </row>
    <row r="93" spans="1:7" x14ac:dyDescent="0.2">
      <c r="B93" s="451"/>
      <c r="C93" s="451"/>
      <c r="D93" s="451"/>
      <c r="E93" s="451"/>
      <c r="F93" s="451"/>
    </row>
    <row r="94" spans="1:7" x14ac:dyDescent="0.2">
      <c r="B94" s="451"/>
      <c r="C94" s="451"/>
      <c r="D94" s="451"/>
      <c r="E94" s="451"/>
      <c r="F94" s="451"/>
    </row>
  </sheetData>
  <mergeCells count="73">
    <mergeCell ref="C92:E92"/>
    <mergeCell ref="B12:G12"/>
    <mergeCell ref="B13:C13"/>
    <mergeCell ref="B14:C14"/>
    <mergeCell ref="B15:C15"/>
    <mergeCell ref="B16:C16"/>
    <mergeCell ref="F19:G19"/>
    <mergeCell ref="F20:G21"/>
    <mergeCell ref="A86:B86"/>
    <mergeCell ref="A36:G36"/>
    <mergeCell ref="A75:B75"/>
    <mergeCell ref="A76:B76"/>
    <mergeCell ref="A77:B77"/>
    <mergeCell ref="B82:C82"/>
    <mergeCell ref="D81:E81"/>
    <mergeCell ref="E82:G82"/>
    <mergeCell ref="C70:G70"/>
    <mergeCell ref="A81:B81"/>
    <mergeCell ref="C87:D87"/>
    <mergeCell ref="E87:G87"/>
    <mergeCell ref="A69:G69"/>
    <mergeCell ref="A87:B87"/>
    <mergeCell ref="A70:B70"/>
    <mergeCell ref="A71:B71"/>
    <mergeCell ref="A72:B72"/>
    <mergeCell ref="A73:B73"/>
    <mergeCell ref="A74:B74"/>
    <mergeCell ref="A56:A57"/>
    <mergeCell ref="B56:C56"/>
    <mergeCell ref="B57:C57"/>
    <mergeCell ref="A53:G53"/>
    <mergeCell ref="A54:A55"/>
    <mergeCell ref="D54:H54"/>
    <mergeCell ref="B54:C55"/>
    <mergeCell ref="A29:G29"/>
    <mergeCell ref="A37:A38"/>
    <mergeCell ref="D37:H37"/>
    <mergeCell ref="A39:A40"/>
    <mergeCell ref="B40:C40"/>
    <mergeCell ref="A11:H11"/>
    <mergeCell ref="A7:H7"/>
    <mergeCell ref="E20:E21"/>
    <mergeCell ref="B8:C8"/>
    <mergeCell ref="B9:C9"/>
    <mergeCell ref="D20:D21"/>
    <mergeCell ref="A43:A44"/>
    <mergeCell ref="A45:A46"/>
    <mergeCell ref="A47:A48"/>
    <mergeCell ref="A49:A50"/>
    <mergeCell ref="B46:C46"/>
    <mergeCell ref="B43:C43"/>
    <mergeCell ref="B44:C44"/>
    <mergeCell ref="B45:C45"/>
    <mergeCell ref="B47:C47"/>
    <mergeCell ref="B48:C48"/>
    <mergeCell ref="B49:C49"/>
    <mergeCell ref="B50:C50"/>
    <mergeCell ref="A41:A42"/>
    <mergeCell ref="B41:C41"/>
    <mergeCell ref="B42:C42"/>
    <mergeCell ref="E13:G13"/>
    <mergeCell ref="E14:G14"/>
    <mergeCell ref="E15:G15"/>
    <mergeCell ref="A18:H18"/>
    <mergeCell ref="C32:G32"/>
    <mergeCell ref="A31:G31"/>
    <mergeCell ref="A27:H27"/>
    <mergeCell ref="A23:H23"/>
    <mergeCell ref="A32:B33"/>
    <mergeCell ref="A34:B34"/>
    <mergeCell ref="B37:C38"/>
    <mergeCell ref="B39:C39"/>
    <mergeCell ref="A28:G28"/>
  </mergeCells>
  <phoneticPr fontId="26" type="noConversion"/>
  <dataValidations disablePrompts="1" count="1">
    <dataValidation type="list" allowBlank="1" showInputMessage="1" showErrorMessage="1" sqref="D20:D21" xr:uid="{639B1A62-72C3-443A-A4B0-B24F8238991C}">
      <formula1>$O$9:$O$11</formula1>
    </dataValidation>
  </dataValidations>
  <pageMargins left="0.7" right="0.7" top="0.75" bottom="0.75" header="0.3" footer="0.3"/>
  <pageSetup orientation="portrait" horizontalDpi="1200" verticalDpi="1200" r:id="rId1"/>
  <headerFooter>
    <oddHeader>&amp;C&amp;G</oddHeader>
    <oddFooter>&amp;L&amp;8Pág. &amp;P de &amp;N&amp;R&amp;8
versión 4 Aprobado en NI-MCPR-02 v7 fecha 2019-10-18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8247CC9-0A4B-440A-997D-9D2E0B27A87F}">
          <x14:formula1>
            <xm:f>'BD Clientes'!$B$6:$B$474</xm:f>
          </x14:formula1>
          <xm:sqref>B8:C8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A49"/>
  <sheetViews>
    <sheetView topLeftCell="A6" zoomScale="106" zoomScaleNormal="106" zoomScaleSheetLayoutView="100" workbookViewId="0">
      <selection activeCell="G16" sqref="G16:M16"/>
    </sheetView>
  </sheetViews>
  <sheetFormatPr baseColWidth="10" defaultColWidth="11.44140625" defaultRowHeight="13.2" x14ac:dyDescent="0.25"/>
  <cols>
    <col min="1" max="1" width="14.6640625" style="1" customWidth="1"/>
    <col min="2" max="2" width="5.88671875" style="1" customWidth="1"/>
    <col min="3" max="3" width="7.5546875" style="1" customWidth="1"/>
    <col min="4" max="4" width="4.88671875" style="1" customWidth="1"/>
    <col min="5" max="5" width="11.44140625" style="1" customWidth="1"/>
    <col min="6" max="6" width="6.44140625" style="1" customWidth="1"/>
    <col min="7" max="7" width="13.44140625" style="1" customWidth="1"/>
    <col min="8" max="8" width="12.109375" style="1" customWidth="1"/>
    <col min="9" max="9" width="13.109375" style="1" customWidth="1"/>
    <col min="10" max="10" width="4.33203125" style="1" customWidth="1"/>
    <col min="11" max="11" width="10.109375" style="1" customWidth="1"/>
    <col min="12" max="12" width="7.109375" style="1" customWidth="1"/>
    <col min="13" max="13" width="4.33203125" style="1" customWidth="1"/>
    <col min="14" max="14" width="14.33203125" style="1" customWidth="1"/>
    <col min="15" max="15" width="13.109375" style="1" customWidth="1"/>
    <col min="16" max="16" width="14.6640625" style="1" bestFit="1" customWidth="1"/>
    <col min="17" max="17" width="14.5546875" style="1" bestFit="1" customWidth="1"/>
    <col min="18" max="18" width="14" style="1" bestFit="1" customWidth="1"/>
    <col min="19" max="19" width="13.33203125" style="1" bestFit="1" customWidth="1"/>
    <col min="20" max="20" width="14.5546875" style="1" bestFit="1" customWidth="1"/>
    <col min="21" max="21" width="14" style="1" bestFit="1" customWidth="1"/>
    <col min="22" max="22" width="15.6640625" style="1" bestFit="1" customWidth="1"/>
    <col min="23" max="16384" width="11.44140625" style="1"/>
  </cols>
  <sheetData>
    <row r="1" spans="1:27" ht="18.75" customHeight="1" x14ac:dyDescent="0.5">
      <c r="A1" s="504" t="s">
        <v>78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</row>
    <row r="2" spans="1:27" ht="18.75" customHeigh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27" ht="9.75" customHeight="1" x14ac:dyDescent="0.25">
      <c r="A3" s="250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</row>
    <row r="4" spans="1:27" ht="15" customHeight="1" x14ac:dyDescent="0.25">
      <c r="A4" s="250"/>
      <c r="B4" s="501" t="s">
        <v>579</v>
      </c>
      <c r="C4" s="501"/>
      <c r="D4" s="501"/>
      <c r="E4" s="502"/>
      <c r="F4" s="510" t="str">
        <f>'NI-R01-MCIT-D-01'!A87</f>
        <v>NI-MC-D-1233-2023</v>
      </c>
      <c r="G4" s="511"/>
      <c r="H4" s="251"/>
      <c r="I4" s="251"/>
      <c r="J4" s="508" t="s">
        <v>578</v>
      </c>
      <c r="K4" s="509"/>
      <c r="L4" s="509"/>
      <c r="M4" s="500" t="str">
        <f>'NI-R01-MCIT-D-01'!E9</f>
        <v>NI-CS-0062-23</v>
      </c>
      <c r="N4" s="500"/>
      <c r="O4" s="252"/>
    </row>
    <row r="5" spans="1:27" ht="15" customHeight="1" x14ac:dyDescent="0.25">
      <c r="A5" s="250"/>
      <c r="B5" s="250"/>
      <c r="C5" s="250"/>
      <c r="D5" s="250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</row>
    <row r="6" spans="1:27" ht="15" customHeight="1" x14ac:dyDescent="0.25">
      <c r="A6" s="507" t="s">
        <v>63</v>
      </c>
      <c r="B6" s="507"/>
      <c r="C6" s="507"/>
      <c r="D6" s="539">
        <f>'NI-R01-MCIT-D-01'!E8</f>
        <v>44962</v>
      </c>
      <c r="E6" s="540"/>
      <c r="F6" s="253"/>
      <c r="G6" s="253"/>
      <c r="H6" s="251"/>
      <c r="I6" s="251"/>
      <c r="J6" s="376"/>
      <c r="K6" s="252"/>
      <c r="L6" s="252"/>
      <c r="M6" s="550"/>
      <c r="N6" s="550"/>
      <c r="O6" s="251"/>
    </row>
    <row r="7" spans="1:27" ht="15" customHeight="1" x14ac:dyDescent="0.25">
      <c r="A7" s="251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</row>
    <row r="8" spans="1:27" ht="15.75" customHeight="1" x14ac:dyDescent="0.25">
      <c r="A8" s="251"/>
      <c r="B8" s="251"/>
      <c r="C8" s="251"/>
      <c r="D8" s="251"/>
      <c r="E8" s="254" t="s">
        <v>64</v>
      </c>
      <c r="F8" s="251"/>
      <c r="G8" s="251"/>
      <c r="H8" s="251"/>
      <c r="I8" s="251"/>
      <c r="J8" s="509" t="s">
        <v>65</v>
      </c>
      <c r="K8" s="509"/>
      <c r="L8" s="509"/>
      <c r="M8" s="377"/>
      <c r="N8" s="377"/>
      <c r="O8" s="251"/>
    </row>
    <row r="9" spans="1:27" ht="15.75" customHeight="1" x14ac:dyDescent="0.25">
      <c r="A9" s="251"/>
      <c r="B9" s="251"/>
      <c r="C9" s="251"/>
      <c r="D9" s="251"/>
      <c r="E9" s="252"/>
      <c r="F9" s="251"/>
      <c r="G9" s="251"/>
      <c r="H9" s="251"/>
      <c r="I9" s="251"/>
      <c r="J9" s="252"/>
      <c r="K9" s="252"/>
      <c r="L9" s="252"/>
      <c r="M9" s="251"/>
      <c r="N9" s="251"/>
      <c r="O9" s="251"/>
    </row>
    <row r="10" spans="1:27" ht="15.75" customHeight="1" x14ac:dyDescent="0.25">
      <c r="A10" s="251"/>
      <c r="B10" s="251"/>
      <c r="C10" s="251"/>
      <c r="D10" s="251"/>
      <c r="E10" s="251"/>
      <c r="F10" s="255"/>
      <c r="G10" s="255"/>
      <c r="H10" s="255"/>
      <c r="I10" s="255"/>
      <c r="J10" s="251"/>
      <c r="K10" s="251"/>
      <c r="L10" s="251"/>
      <c r="M10" s="251"/>
      <c r="N10" s="251"/>
      <c r="O10" s="251"/>
      <c r="U10" s="499"/>
      <c r="V10" s="499"/>
      <c r="W10" s="499"/>
      <c r="X10" s="499"/>
      <c r="Y10" s="499"/>
      <c r="Z10" s="499"/>
      <c r="AA10" s="499"/>
    </row>
    <row r="11" spans="1:27" ht="15.75" customHeight="1" x14ac:dyDescent="0.25">
      <c r="A11" s="251"/>
      <c r="B11" s="251"/>
      <c r="C11" s="251"/>
      <c r="D11" s="541" t="s">
        <v>28</v>
      </c>
      <c r="E11" s="541"/>
      <c r="F11" s="256"/>
      <c r="G11" s="257"/>
      <c r="H11" s="257"/>
      <c r="I11" s="257"/>
      <c r="J11" s="251"/>
      <c r="K11" s="251"/>
      <c r="L11" s="251"/>
      <c r="M11" s="251"/>
      <c r="N11" s="251"/>
      <c r="O11" s="251"/>
    </row>
    <row r="12" spans="1:27" ht="15.75" customHeight="1" x14ac:dyDescent="0.25">
      <c r="A12" s="251"/>
      <c r="B12" s="251"/>
      <c r="C12" s="251"/>
      <c r="D12" s="251"/>
      <c r="E12" s="251"/>
      <c r="F12" s="251"/>
      <c r="G12" s="251"/>
      <c r="H12" s="257"/>
      <c r="I12" s="257"/>
      <c r="J12" s="251"/>
      <c r="K12" s="251"/>
      <c r="L12" s="251"/>
      <c r="M12" s="251"/>
      <c r="N12" s="251"/>
      <c r="O12" s="251"/>
    </row>
    <row r="13" spans="1:27" ht="15.75" hidden="1" customHeight="1" x14ac:dyDescent="0.25">
      <c r="A13" s="514"/>
      <c r="B13" s="514"/>
      <c r="C13" s="514"/>
      <c r="D13" s="514"/>
      <c r="E13" s="514"/>
      <c r="F13" s="258"/>
      <c r="G13" s="258"/>
      <c r="H13" s="255"/>
      <c r="I13" s="255"/>
      <c r="J13" s="251"/>
      <c r="K13" s="251"/>
      <c r="L13" s="251"/>
      <c r="M13" s="251"/>
      <c r="N13" s="251"/>
      <c r="O13" s="251"/>
    </row>
    <row r="14" spans="1:27" ht="15" hidden="1" customHeight="1" x14ac:dyDescent="0.25">
      <c r="A14" s="251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</row>
    <row r="15" spans="1:27" x14ac:dyDescent="0.25">
      <c r="A15" s="513" t="s">
        <v>66</v>
      </c>
      <c r="B15" s="513"/>
      <c r="C15" s="513"/>
      <c r="D15" s="513"/>
      <c r="E15" s="513"/>
      <c r="F15" s="513"/>
      <c r="G15" s="513"/>
      <c r="H15" s="513"/>
      <c r="I15" s="513"/>
      <c r="J15" s="513"/>
      <c r="K15" s="513"/>
      <c r="L15" s="513"/>
      <c r="M15" s="513"/>
      <c r="N15" s="513"/>
      <c r="O15" s="513"/>
    </row>
    <row r="16" spans="1:27" ht="18" customHeight="1" x14ac:dyDescent="0.25">
      <c r="A16" s="512" t="s">
        <v>637</v>
      </c>
      <c r="B16" s="512"/>
      <c r="C16" s="512"/>
      <c r="D16" s="512"/>
      <c r="E16" s="512"/>
      <c r="F16" s="512"/>
      <c r="G16" s="503" t="str">
        <f>'NI-R01-MCIT-D-01'!B8</f>
        <v>ACQUASU S.A. de CV</v>
      </c>
      <c r="H16" s="503"/>
      <c r="I16" s="503"/>
      <c r="J16" s="503"/>
      <c r="K16" s="503"/>
      <c r="L16" s="503"/>
      <c r="M16" s="503"/>
      <c r="N16" s="251"/>
      <c r="O16" s="251"/>
    </row>
    <row r="17" spans="1:15" x14ac:dyDescent="0.25">
      <c r="A17" s="512" t="s">
        <v>59</v>
      </c>
      <c r="B17" s="512"/>
      <c r="C17" s="512"/>
      <c r="D17" s="516" t="str">
        <f>VLOOKUP(G16,'BD Clientes'!B6:D371,2,FALSE)</f>
        <v>km 4,5 Carretera Norte</v>
      </c>
      <c r="E17" s="516"/>
      <c r="F17" s="516"/>
      <c r="G17" s="516"/>
      <c r="H17" s="516"/>
      <c r="I17" s="516"/>
      <c r="J17" s="516"/>
      <c r="K17" s="259"/>
      <c r="L17" s="259"/>
      <c r="M17" s="251"/>
      <c r="N17" s="251"/>
      <c r="O17" s="251"/>
    </row>
    <row r="18" spans="1:15" x14ac:dyDescent="0.25">
      <c r="A18" s="506" t="s">
        <v>689</v>
      </c>
      <c r="B18" s="506"/>
      <c r="C18" s="506"/>
      <c r="D18" s="515" t="str">
        <f>'NI-R01-MCIT-D-01'!B9</f>
        <v>Laboratorio #1 Metrocal</v>
      </c>
      <c r="E18" s="516"/>
      <c r="F18" s="516"/>
      <c r="G18" s="516"/>
      <c r="H18" s="516"/>
      <c r="I18" s="516"/>
      <c r="J18" s="516"/>
      <c r="K18" s="259"/>
      <c r="L18" s="259"/>
      <c r="M18" s="250"/>
      <c r="N18" s="250"/>
      <c r="O18" s="250"/>
    </row>
    <row r="19" spans="1:15" x14ac:dyDescent="0.25">
      <c r="A19" s="506"/>
      <c r="B19" s="506"/>
      <c r="C19" s="506"/>
      <c r="D19" s="260"/>
      <c r="E19" s="261"/>
      <c r="F19" s="261"/>
      <c r="G19" s="261"/>
      <c r="H19" s="250"/>
      <c r="I19" s="250"/>
      <c r="J19" s="250"/>
      <c r="K19" s="250"/>
      <c r="L19" s="250"/>
      <c r="M19" s="250"/>
      <c r="N19" s="250"/>
      <c r="O19" s="250"/>
    </row>
    <row r="20" spans="1:15" x14ac:dyDescent="0.25">
      <c r="A20" s="250"/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</row>
    <row r="21" spans="1:15" x14ac:dyDescent="0.25">
      <c r="A21" s="513" t="s">
        <v>145</v>
      </c>
      <c r="B21" s="513"/>
      <c r="C21" s="513"/>
      <c r="D21" s="513"/>
      <c r="E21" s="513"/>
      <c r="F21" s="513"/>
      <c r="G21" s="513"/>
      <c r="H21" s="513"/>
      <c r="I21" s="513"/>
      <c r="J21" s="513"/>
      <c r="K21" s="513"/>
      <c r="L21" s="513"/>
      <c r="M21" s="513"/>
      <c r="N21" s="513"/>
      <c r="O21" s="513"/>
    </row>
    <row r="22" spans="1:15" ht="15" customHeight="1" x14ac:dyDescent="0.25">
      <c r="A22" s="512" t="s">
        <v>148</v>
      </c>
      <c r="B22" s="512"/>
      <c r="C22" s="512"/>
      <c r="D22" s="512"/>
      <c r="E22" s="512"/>
      <c r="F22" s="527" t="str">
        <f>'NI-R01-MCIT-D-01'!B12</f>
        <v>Vernier Digital</v>
      </c>
      <c r="G22" s="527"/>
      <c r="H22" s="527"/>
      <c r="I22" s="527"/>
      <c r="J22" s="260"/>
      <c r="K22" s="260"/>
      <c r="L22" s="260"/>
      <c r="M22" s="260"/>
      <c r="N22" s="260"/>
      <c r="O22" s="260"/>
    </row>
    <row r="23" spans="1:15" ht="15" customHeight="1" x14ac:dyDescent="0.25">
      <c r="A23" s="260"/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</row>
    <row r="24" spans="1:15" ht="15" customHeight="1" x14ac:dyDescent="0.25">
      <c r="A24" s="512" t="s">
        <v>67</v>
      </c>
      <c r="B24" s="512"/>
      <c r="C24" s="512"/>
      <c r="D24" s="523" t="str">
        <f>'NI-R01-MCIT-D-01'!B13</f>
        <v>Mitutoyo</v>
      </c>
      <c r="E24" s="523"/>
      <c r="F24" s="523"/>
      <c r="G24" s="523"/>
      <c r="H24" s="523"/>
      <c r="I24" s="251"/>
      <c r="J24" s="250"/>
      <c r="K24" s="250"/>
      <c r="L24" s="250"/>
      <c r="M24" s="250"/>
      <c r="N24" s="250"/>
      <c r="O24" s="250"/>
    </row>
    <row r="25" spans="1:15" ht="15" hidden="1" customHeight="1" x14ac:dyDescent="0.25">
      <c r="A25" s="512" t="s">
        <v>58</v>
      </c>
      <c r="B25" s="512"/>
      <c r="C25" s="512"/>
      <c r="D25" s="549" t="s">
        <v>694</v>
      </c>
      <c r="E25" s="549"/>
      <c r="F25" s="549"/>
      <c r="G25" s="549"/>
      <c r="H25" s="549"/>
      <c r="I25" s="262"/>
      <c r="J25" s="250"/>
      <c r="K25" s="250"/>
      <c r="L25" s="250"/>
      <c r="M25" s="250"/>
      <c r="N25" s="250"/>
      <c r="O25" s="250"/>
    </row>
    <row r="26" spans="1:15" ht="15" customHeight="1" x14ac:dyDescent="0.25">
      <c r="A26" s="260"/>
      <c r="B26" s="260"/>
      <c r="C26" s="260"/>
      <c r="D26" s="260"/>
      <c r="E26" s="262"/>
      <c r="F26" s="262"/>
      <c r="G26" s="262"/>
      <c r="H26" s="262"/>
      <c r="I26" s="262"/>
      <c r="J26" s="250"/>
      <c r="K26" s="250"/>
      <c r="L26" s="250"/>
      <c r="M26" s="250"/>
      <c r="N26" s="250"/>
      <c r="O26" s="250"/>
    </row>
    <row r="27" spans="1:15" ht="15" customHeight="1" x14ac:dyDescent="0.25">
      <c r="A27" s="512" t="s">
        <v>43</v>
      </c>
      <c r="B27" s="512"/>
      <c r="C27" s="512"/>
      <c r="D27" s="538" t="str">
        <f>'NI-R01-MCIT-D-01'!E13</f>
        <v>Quantum Mike</v>
      </c>
      <c r="E27" s="538"/>
      <c r="F27" s="262"/>
      <c r="G27" s="250" t="s">
        <v>44</v>
      </c>
      <c r="H27" s="548">
        <f>'NI-R01-MCIT-D-01'!B14</f>
        <v>59869956</v>
      </c>
      <c r="I27" s="548"/>
      <c r="J27" s="251"/>
      <c r="K27" s="513" t="s">
        <v>645</v>
      </c>
      <c r="L27" s="513"/>
      <c r="M27" s="523">
        <f>'NI-R01-MCIT-D-01'!E14</f>
        <v>562263321</v>
      </c>
      <c r="N27" s="523"/>
      <c r="O27" s="250"/>
    </row>
    <row r="28" spans="1:15" ht="15" customHeight="1" x14ac:dyDescent="0.25">
      <c r="A28" s="263"/>
      <c r="B28" s="263"/>
      <c r="C28" s="263"/>
      <c r="D28" s="263"/>
      <c r="E28" s="264"/>
      <c r="F28" s="265"/>
      <c r="G28" s="265"/>
      <c r="H28" s="266"/>
      <c r="I28" s="266"/>
      <c r="J28" s="265"/>
      <c r="K28" s="265"/>
      <c r="L28" s="265"/>
      <c r="M28" s="267"/>
      <c r="N28" s="267"/>
      <c r="O28" s="250"/>
    </row>
    <row r="29" spans="1:15" ht="18" customHeight="1" x14ac:dyDescent="0.25">
      <c r="A29" s="545" t="s">
        <v>76</v>
      </c>
      <c r="B29" s="546"/>
      <c r="C29" s="546"/>
      <c r="D29" s="543">
        <v>150</v>
      </c>
      <c r="E29" s="543"/>
      <c r="F29" s="268" t="s">
        <v>45</v>
      </c>
      <c r="G29" s="251"/>
      <c r="H29" s="551" t="s">
        <v>678</v>
      </c>
      <c r="I29" s="551"/>
      <c r="J29" s="552"/>
      <c r="K29" s="552"/>
      <c r="L29" s="269"/>
      <c r="M29" s="548" t="str">
        <f>'NI-R01-MCIT-D-01'!B15</f>
        <v>0 mm a 150 mm</v>
      </c>
      <c r="N29" s="548"/>
      <c r="O29" s="251"/>
    </row>
    <row r="30" spans="1:15" ht="15.75" customHeight="1" x14ac:dyDescent="0.25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</row>
    <row r="31" spans="1:15" ht="15.75" customHeight="1" x14ac:dyDescent="0.25">
      <c r="A31" s="547" t="s">
        <v>46</v>
      </c>
      <c r="B31" s="544"/>
      <c r="C31" s="544"/>
      <c r="D31" s="543">
        <v>0.01</v>
      </c>
      <c r="E31" s="543"/>
      <c r="F31" s="268" t="s">
        <v>45</v>
      </c>
      <c r="G31" s="251"/>
      <c r="H31" s="544" t="s">
        <v>47</v>
      </c>
      <c r="I31" s="544"/>
      <c r="J31" s="543">
        <f>'NI-R01-MCIT-D-01'!B16</f>
        <v>0.01</v>
      </c>
      <c r="K31" s="543"/>
      <c r="L31" s="270" t="str">
        <f>+F31</f>
        <v>mm</v>
      </c>
      <c r="M31" s="251"/>
      <c r="N31" s="251"/>
      <c r="O31" s="251"/>
    </row>
    <row r="32" spans="1:15" ht="15.75" customHeight="1" x14ac:dyDescent="0.25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</row>
    <row r="33" spans="1:15" ht="15.75" hidden="1" customHeight="1" x14ac:dyDescent="0.25">
      <c r="A33" s="542" t="s">
        <v>179</v>
      </c>
      <c r="B33" s="542"/>
      <c r="C33" s="542"/>
      <c r="D33" s="542"/>
      <c r="E33" s="271">
        <v>1.15E-5</v>
      </c>
      <c r="F33" s="272" t="s">
        <v>176</v>
      </c>
      <c r="G33" s="259"/>
      <c r="H33" s="537" t="s">
        <v>180</v>
      </c>
      <c r="I33" s="537"/>
      <c r="J33" s="537"/>
      <c r="K33" s="537"/>
      <c r="L33" s="537"/>
      <c r="M33" s="537"/>
      <c r="N33" s="271">
        <f>0.1*E33</f>
        <v>1.15E-6</v>
      </c>
      <c r="O33" s="251" t="s">
        <v>176</v>
      </c>
    </row>
    <row r="34" spans="1:15" ht="15.75" customHeight="1" x14ac:dyDescent="0.25">
      <c r="A34" s="526"/>
      <c r="B34" s="526"/>
      <c r="C34" s="526"/>
      <c r="D34" s="526"/>
      <c r="E34" s="526"/>
      <c r="F34" s="257"/>
      <c r="G34" s="257"/>
      <c r="H34" s="273"/>
      <c r="I34" s="273"/>
      <c r="J34" s="251"/>
      <c r="K34" s="251"/>
      <c r="L34" s="251"/>
      <c r="M34" s="260"/>
      <c r="N34" s="260"/>
      <c r="O34" s="251"/>
    </row>
    <row r="35" spans="1:15" ht="15.75" customHeight="1" x14ac:dyDescent="0.25">
      <c r="A35" s="532" t="s">
        <v>81</v>
      </c>
      <c r="B35" s="532"/>
      <c r="C35" s="532"/>
      <c r="D35" s="532"/>
      <c r="E35" s="532"/>
      <c r="F35" s="532"/>
      <c r="G35" s="532"/>
      <c r="H35" s="532"/>
      <c r="I35" s="532"/>
      <c r="J35" s="532"/>
      <c r="K35" s="532"/>
      <c r="L35" s="532"/>
      <c r="M35" s="532"/>
      <c r="N35" s="532"/>
      <c r="O35" s="532"/>
    </row>
    <row r="36" spans="1:15" ht="15.75" hidden="1" customHeight="1" x14ac:dyDescent="0.25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</row>
    <row r="37" spans="1:15" ht="15.75" hidden="1" customHeight="1" x14ac:dyDescent="0.25">
      <c r="A37" s="269" t="s">
        <v>82</v>
      </c>
      <c r="B37" s="514" t="s">
        <v>144</v>
      </c>
      <c r="C37" s="514"/>
      <c r="D37" s="514"/>
      <c r="E37" s="514"/>
      <c r="F37" s="535" t="s">
        <v>179</v>
      </c>
      <c r="G37" s="535"/>
      <c r="H37" s="535"/>
      <c r="I37" s="271">
        <v>1.15E-5</v>
      </c>
      <c r="J37" s="251" t="s">
        <v>176</v>
      </c>
      <c r="K37" s="535" t="s">
        <v>181</v>
      </c>
      <c r="L37" s="535"/>
      <c r="M37" s="535"/>
      <c r="N37" s="535"/>
      <c r="O37" s="274">
        <f>0.1*I37</f>
        <v>1.15E-6</v>
      </c>
    </row>
    <row r="38" spans="1:15" ht="15.75" hidden="1" customHeight="1" x14ac:dyDescent="0.25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</row>
    <row r="39" spans="1:15" ht="15" hidden="1" customHeight="1" x14ac:dyDescent="0.25">
      <c r="A39" s="269" t="s">
        <v>48</v>
      </c>
      <c r="B39" s="527">
        <v>800474</v>
      </c>
      <c r="C39" s="527"/>
      <c r="D39" s="275"/>
      <c r="E39" s="251"/>
      <c r="F39" s="523" t="s">
        <v>62</v>
      </c>
      <c r="G39" s="523"/>
      <c r="H39" s="248" t="s">
        <v>644</v>
      </c>
      <c r="I39" s="267"/>
      <c r="J39" s="251"/>
      <c r="K39" s="519"/>
      <c r="L39" s="519"/>
      <c r="M39" s="514"/>
      <c r="N39" s="533"/>
      <c r="O39" s="514"/>
    </row>
    <row r="40" spans="1:15" ht="15" hidden="1" customHeight="1" x14ac:dyDescent="0.25">
      <c r="A40" s="265"/>
      <c r="B40" s="523"/>
      <c r="C40" s="523"/>
      <c r="D40" s="523"/>
      <c r="E40" s="523"/>
      <c r="F40" s="265"/>
      <c r="G40" s="265"/>
      <c r="H40" s="265"/>
      <c r="I40" s="265"/>
      <c r="J40" s="265"/>
      <c r="K40" s="265"/>
      <c r="L40" s="265"/>
      <c r="M40" s="501"/>
      <c r="N40" s="501"/>
      <c r="O40" s="501"/>
    </row>
    <row r="41" spans="1:15" ht="16.5" customHeight="1" x14ac:dyDescent="0.25">
      <c r="A41" s="260"/>
      <c r="B41" s="260"/>
      <c r="C41" s="260"/>
      <c r="D41" s="260"/>
      <c r="E41" s="251"/>
      <c r="F41" s="251"/>
      <c r="G41" s="251"/>
      <c r="H41" s="251"/>
      <c r="I41" s="260"/>
      <c r="J41" s="276"/>
      <c r="K41" s="276"/>
      <c r="L41" s="259"/>
      <c r="M41" s="251"/>
      <c r="N41" s="251"/>
      <c r="O41" s="260"/>
    </row>
    <row r="42" spans="1:15" x14ac:dyDescent="0.25">
      <c r="A42" s="529" t="s">
        <v>5</v>
      </c>
      <c r="B42" s="530"/>
      <c r="C42" s="530"/>
      <c r="D42" s="530"/>
      <c r="E42" s="530"/>
      <c r="F42" s="530"/>
      <c r="G42" s="531"/>
      <c r="H42" s="251"/>
      <c r="I42" s="277"/>
      <c r="J42" s="534" t="s">
        <v>77</v>
      </c>
      <c r="K42" s="534"/>
      <c r="L42" s="278"/>
      <c r="M42" s="250"/>
      <c r="N42" s="250"/>
      <c r="O42" s="250"/>
    </row>
    <row r="43" spans="1:15" ht="16.5" customHeight="1" x14ac:dyDescent="0.25">
      <c r="A43" s="279" t="s">
        <v>7</v>
      </c>
      <c r="B43" s="524" t="s">
        <v>50</v>
      </c>
      <c r="C43" s="525"/>
      <c r="D43" s="524" t="s">
        <v>49</v>
      </c>
      <c r="E43" s="525"/>
      <c r="F43" s="528" t="s">
        <v>57</v>
      </c>
      <c r="G43" s="528"/>
      <c r="H43" s="251"/>
      <c r="I43" s="536"/>
      <c r="J43" s="517">
        <v>0.1</v>
      </c>
      <c r="K43" s="517"/>
      <c r="L43" s="262" t="s">
        <v>175</v>
      </c>
      <c r="M43" s="260"/>
      <c r="N43" s="260"/>
      <c r="O43" s="260"/>
    </row>
    <row r="44" spans="1:15" ht="18" customHeight="1" x14ac:dyDescent="0.25">
      <c r="A44" s="280" t="s">
        <v>6</v>
      </c>
      <c r="B44" s="520">
        <f>'NI-R01-MCIT-D-01'!B20</f>
        <v>22.3</v>
      </c>
      <c r="C44" s="521"/>
      <c r="D44" s="520">
        <f>'NI-R01-MCIT-D-01'!B21</f>
        <v>22.4</v>
      </c>
      <c r="E44" s="521"/>
      <c r="F44" s="522" t="s">
        <v>68</v>
      </c>
      <c r="G44" s="522"/>
      <c r="H44" s="251"/>
      <c r="I44" s="536"/>
      <c r="J44" s="517">
        <v>0.1</v>
      </c>
      <c r="K44" s="517"/>
      <c r="L44" s="262" t="s">
        <v>606</v>
      </c>
      <c r="M44" s="260"/>
      <c r="N44" s="260"/>
      <c r="O44" s="260"/>
    </row>
    <row r="45" spans="1:15" ht="18" customHeight="1" x14ac:dyDescent="0.25">
      <c r="A45" s="280" t="s">
        <v>8</v>
      </c>
      <c r="B45" s="520">
        <f>'NI-R01-MCIT-D-01'!C20</f>
        <v>56.4</v>
      </c>
      <c r="C45" s="521"/>
      <c r="D45" s="520">
        <f>'NI-R01-MCIT-D-01'!C21</f>
        <v>59.6</v>
      </c>
      <c r="E45" s="521"/>
      <c r="F45" s="522" t="s">
        <v>9</v>
      </c>
      <c r="G45" s="522"/>
      <c r="H45" s="251"/>
      <c r="I45" s="536"/>
      <c r="J45" s="518"/>
      <c r="K45" s="518"/>
      <c r="L45" s="262"/>
      <c r="M45" s="260"/>
      <c r="N45" s="260"/>
      <c r="O45" s="260"/>
    </row>
    <row r="46" spans="1:15" ht="18" customHeight="1" x14ac:dyDescent="0.25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</row>
    <row r="47" spans="1:15" x14ac:dyDescent="0.25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</row>
    <row r="49" spans="1:4" x14ac:dyDescent="0.25">
      <c r="A49" s="2"/>
      <c r="B49" s="2"/>
      <c r="C49" s="2"/>
      <c r="D49" s="2"/>
    </row>
  </sheetData>
  <sheetProtection formatCells="0"/>
  <mergeCells count="69">
    <mergeCell ref="H29:I29"/>
    <mergeCell ref="J29:K29"/>
    <mergeCell ref="M27:N27"/>
    <mergeCell ref="A21:O21"/>
    <mergeCell ref="A22:E22"/>
    <mergeCell ref="F22:I22"/>
    <mergeCell ref="A27:C27"/>
    <mergeCell ref="A24:C24"/>
    <mergeCell ref="A25:C25"/>
    <mergeCell ref="K27:L27"/>
    <mergeCell ref="H27:I27"/>
    <mergeCell ref="D24:H24"/>
    <mergeCell ref="H33:M33"/>
    <mergeCell ref="D27:E27"/>
    <mergeCell ref="D6:E6"/>
    <mergeCell ref="D11:E11"/>
    <mergeCell ref="A33:D33"/>
    <mergeCell ref="D31:E31"/>
    <mergeCell ref="D29:E29"/>
    <mergeCell ref="A19:C19"/>
    <mergeCell ref="D17:J17"/>
    <mergeCell ref="H31:I31"/>
    <mergeCell ref="J31:K31"/>
    <mergeCell ref="A29:C29"/>
    <mergeCell ref="A31:C31"/>
    <mergeCell ref="M29:N29"/>
    <mergeCell ref="D25:H25"/>
    <mergeCell ref="M6:N6"/>
    <mergeCell ref="A34:E34"/>
    <mergeCell ref="B39:C39"/>
    <mergeCell ref="F43:G43"/>
    <mergeCell ref="A42:G42"/>
    <mergeCell ref="A35:O35"/>
    <mergeCell ref="M39:O39"/>
    <mergeCell ref="D43:E43"/>
    <mergeCell ref="J42:K42"/>
    <mergeCell ref="K37:N37"/>
    <mergeCell ref="B40:E40"/>
    <mergeCell ref="M40:O40"/>
    <mergeCell ref="I43:I45"/>
    <mergeCell ref="D44:E44"/>
    <mergeCell ref="D45:E45"/>
    <mergeCell ref="F37:H37"/>
    <mergeCell ref="J43:K43"/>
    <mergeCell ref="J44:K44"/>
    <mergeCell ref="J45:K45"/>
    <mergeCell ref="K39:L39"/>
    <mergeCell ref="B37:E37"/>
    <mergeCell ref="B45:C45"/>
    <mergeCell ref="F45:G45"/>
    <mergeCell ref="B44:C44"/>
    <mergeCell ref="F44:G44"/>
    <mergeCell ref="F39:G39"/>
    <mergeCell ref="B43:C43"/>
    <mergeCell ref="A18:C18"/>
    <mergeCell ref="A6:C6"/>
    <mergeCell ref="J4:L4"/>
    <mergeCell ref="J8:L8"/>
    <mergeCell ref="F4:G4"/>
    <mergeCell ref="A17:C17"/>
    <mergeCell ref="A15:O15"/>
    <mergeCell ref="A13:E13"/>
    <mergeCell ref="A16:F16"/>
    <mergeCell ref="D18:J18"/>
    <mergeCell ref="U10:AA10"/>
    <mergeCell ref="M4:N4"/>
    <mergeCell ref="B4:E4"/>
    <mergeCell ref="G16:M16"/>
    <mergeCell ref="A1:O1"/>
  </mergeCells>
  <phoneticPr fontId="0" type="noConversion"/>
  <pageMargins left="0.44" right="0.34" top="0.25" bottom="0.22" header="0" footer="0"/>
  <pageSetup scale="7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1" r:id="rId4" name="Drop Down 11">
              <controlPr defaultSize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845820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5" name="Drop Down 12">
              <controlPr defaultSize="0" autoLine="0" autoPict="0">
                <anchor moveWithCells="1">
                  <from>
                    <xdr:col>12</xdr:col>
                    <xdr:colOff>7620</xdr:colOff>
                    <xdr:row>7</xdr:row>
                    <xdr:rowOff>0</xdr:rowOff>
                  </from>
                  <to>
                    <xdr:col>14</xdr:col>
                    <xdr:colOff>45720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6" name="Drop Down 121">
              <controlPr defaultSize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845820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AF120"/>
  <sheetViews>
    <sheetView topLeftCell="A52" zoomScale="70" zoomScaleNormal="70" workbookViewId="0">
      <selection activeCell="M40" sqref="M40"/>
    </sheetView>
  </sheetViews>
  <sheetFormatPr baseColWidth="10" defaultColWidth="11.44140625" defaultRowHeight="13.2" x14ac:dyDescent="0.25"/>
  <cols>
    <col min="1" max="1" width="8.6640625" style="61" customWidth="1"/>
    <col min="2" max="2" width="12.6640625" style="61" customWidth="1"/>
    <col min="3" max="4" width="16.33203125" style="61" bestFit="1" customWidth="1"/>
    <col min="5" max="11" width="11.6640625" style="61" customWidth="1"/>
    <col min="12" max="13" width="14.5546875" style="61" bestFit="1" customWidth="1"/>
    <col min="14" max="14" width="5.6640625" style="61" customWidth="1"/>
    <col min="15" max="15" width="12.44140625" style="61" customWidth="1"/>
    <col min="16" max="16" width="8.5546875" style="61" customWidth="1"/>
    <col min="17" max="17" width="12.33203125" style="61" customWidth="1"/>
    <col min="18" max="18" width="12" style="61" customWidth="1"/>
    <col min="19" max="19" width="11.6640625" style="61" customWidth="1"/>
    <col min="20" max="20" width="13.109375" style="61" bestFit="1" customWidth="1"/>
    <col min="21" max="21" width="9.88671875" style="61" customWidth="1"/>
    <col min="22" max="22" width="12.33203125" style="61" customWidth="1"/>
    <col min="23" max="23" width="10.6640625" style="61" bestFit="1" customWidth="1"/>
    <col min="24" max="24" width="9.6640625" style="61" customWidth="1"/>
    <col min="25" max="25" width="13.6640625" style="61" customWidth="1"/>
    <col min="26" max="26" width="11.44140625" style="61"/>
    <col min="27" max="27" width="16.44140625" style="61" customWidth="1"/>
    <col min="28" max="28" width="14.88671875" style="61" customWidth="1"/>
    <col min="29" max="29" width="21.109375" style="61" customWidth="1"/>
    <col min="30" max="30" width="11.44140625" style="61"/>
    <col min="31" max="31" width="22.33203125" style="61" customWidth="1"/>
    <col min="32" max="16384" width="11.44140625" style="61"/>
  </cols>
  <sheetData>
    <row r="1" spans="1:25" ht="15.6" x14ac:dyDescent="0.25">
      <c r="A1" s="585"/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585"/>
    </row>
    <row r="2" spans="1:25" ht="15.6" x14ac:dyDescent="0.25">
      <c r="A2" s="585"/>
      <c r="B2" s="585"/>
      <c r="C2" s="585"/>
      <c r="D2" s="585"/>
      <c r="E2" s="585"/>
      <c r="F2" s="585"/>
      <c r="G2" s="585"/>
      <c r="H2" s="585"/>
      <c r="I2" s="585"/>
      <c r="J2" s="585"/>
      <c r="K2" s="585"/>
      <c r="L2" s="585"/>
      <c r="Q2" s="7"/>
    </row>
    <row r="3" spans="1:25" ht="15.6" x14ac:dyDescent="0.25">
      <c r="A3" s="585"/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</row>
    <row r="6" spans="1:25" x14ac:dyDescent="0.25">
      <c r="A6" s="571" t="s">
        <v>137</v>
      </c>
      <c r="B6" s="571"/>
      <c r="C6" s="571"/>
      <c r="D6" s="571"/>
      <c r="E6" s="571"/>
      <c r="F6" s="571"/>
      <c r="G6" s="571"/>
      <c r="H6" s="571"/>
      <c r="I6" s="571"/>
      <c r="J6" s="571"/>
      <c r="K6" s="149"/>
      <c r="L6" s="149"/>
    </row>
    <row r="7" spans="1:25" ht="13.8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149"/>
      <c r="L7" s="149"/>
    </row>
    <row r="8" spans="1:25" ht="13.5" customHeight="1" thickTop="1" x14ac:dyDescent="0.25">
      <c r="A8" s="591" t="s">
        <v>32</v>
      </c>
      <c r="B8" s="597" t="s">
        <v>141</v>
      </c>
      <c r="C8" s="597"/>
      <c r="D8" s="597"/>
      <c r="E8" s="597"/>
      <c r="F8" s="597"/>
      <c r="G8" s="9" t="s">
        <v>138</v>
      </c>
      <c r="H8" s="9" t="s">
        <v>139</v>
      </c>
      <c r="I8" s="593" t="s">
        <v>140</v>
      </c>
      <c r="J8" s="594"/>
      <c r="K8" s="149"/>
      <c r="L8" s="149"/>
      <c r="N8" s="600"/>
      <c r="O8" s="600"/>
      <c r="P8" s="600"/>
      <c r="Q8" s="600"/>
      <c r="R8" s="621"/>
      <c r="S8" s="598"/>
    </row>
    <row r="9" spans="1:25" ht="15.6" x14ac:dyDescent="0.25">
      <c r="A9" s="592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20</v>
      </c>
      <c r="H9" s="11" t="s">
        <v>21</v>
      </c>
      <c r="I9" s="595"/>
      <c r="J9" s="596"/>
      <c r="K9" s="149"/>
      <c r="L9" s="149"/>
      <c r="N9" s="600"/>
      <c r="O9" s="600"/>
      <c r="P9" s="600"/>
      <c r="Q9" s="600"/>
      <c r="R9" s="621"/>
      <c r="S9" s="599"/>
    </row>
    <row r="10" spans="1:25" ht="27" customHeight="1" thickBot="1" x14ac:dyDescent="0.3">
      <c r="A10" s="154" t="s">
        <v>45</v>
      </c>
      <c r="B10" s="12" t="s">
        <v>75</v>
      </c>
      <c r="C10" s="12" t="s">
        <v>75</v>
      </c>
      <c r="D10" s="12" t="s">
        <v>75</v>
      </c>
      <c r="E10" s="12" t="s">
        <v>75</v>
      </c>
      <c r="F10" s="12" t="s">
        <v>75</v>
      </c>
      <c r="G10" s="12" t="s">
        <v>75</v>
      </c>
      <c r="H10" s="12" t="s">
        <v>75</v>
      </c>
      <c r="I10" s="589" t="s">
        <v>36</v>
      </c>
      <c r="J10" s="590"/>
      <c r="K10" s="149"/>
      <c r="L10" s="149"/>
      <c r="N10" s="600"/>
      <c r="O10" s="600"/>
      <c r="P10" s="600"/>
      <c r="Q10" s="600"/>
      <c r="R10" s="151"/>
      <c r="S10" s="150"/>
    </row>
    <row r="11" spans="1:25" ht="27" customHeight="1" thickTop="1" thickBot="1" x14ac:dyDescent="0.3">
      <c r="A11" s="13">
        <v>0</v>
      </c>
      <c r="B11" s="169">
        <f>'NI-R01-MCIT-D-01'!C34</f>
        <v>0</v>
      </c>
      <c r="C11" s="169">
        <f>'NI-R01-MCIT-D-01'!D34</f>
        <v>0</v>
      </c>
      <c r="D11" s="169">
        <f>'NI-R01-MCIT-D-01'!E34</f>
        <v>0</v>
      </c>
      <c r="E11" s="169">
        <f>'NI-R01-MCIT-D-01'!F34</f>
        <v>0</v>
      </c>
      <c r="F11" s="169">
        <f>'NI-R01-MCIT-D-01'!G34</f>
        <v>0</v>
      </c>
      <c r="G11" s="152">
        <f>AVERAGE(B11:F11)</f>
        <v>0</v>
      </c>
      <c r="H11" s="152">
        <f>STDEV(B11:F11)</f>
        <v>0</v>
      </c>
      <c r="I11" s="587">
        <f>(H11/SQRT(5))*1000</f>
        <v>0</v>
      </c>
      <c r="J11" s="588"/>
      <c r="K11" s="149"/>
      <c r="L11" s="149"/>
      <c r="N11" s="600"/>
      <c r="O11" s="600"/>
      <c r="P11" s="600"/>
      <c r="Q11" s="600"/>
      <c r="S11" s="150"/>
    </row>
    <row r="12" spans="1:25" ht="13.8" thickTop="1" x14ac:dyDescent="0.25">
      <c r="A12" s="149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</row>
    <row r="13" spans="1:25" x14ac:dyDescent="0.25">
      <c r="A13" s="149"/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</row>
    <row r="14" spans="1:25" x14ac:dyDescent="0.25">
      <c r="A14" s="149"/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</row>
    <row r="15" spans="1:25" x14ac:dyDescent="0.25">
      <c r="A15" s="14"/>
      <c r="B15" s="571" t="s">
        <v>101</v>
      </c>
      <c r="C15" s="571"/>
      <c r="D15" s="571"/>
      <c r="E15" s="571"/>
      <c r="F15" s="571"/>
      <c r="G15" s="571"/>
      <c r="H15" s="571"/>
      <c r="I15" s="571"/>
      <c r="J15" s="571"/>
      <c r="K15" s="571"/>
      <c r="L15" s="571"/>
      <c r="N15" s="586" t="s">
        <v>143</v>
      </c>
      <c r="O15" s="586"/>
      <c r="P15" s="586"/>
      <c r="Q15" s="586"/>
      <c r="R15" s="586"/>
      <c r="S15" s="586"/>
      <c r="T15" s="586"/>
      <c r="U15" s="586"/>
      <c r="V15" s="586"/>
      <c r="W15" s="586"/>
      <c r="X15" s="586"/>
      <c r="Y15" s="586"/>
    </row>
    <row r="16" spans="1:25" ht="13.8" thickBot="1" x14ac:dyDescent="0.3"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30" ht="13.5" customHeight="1" thickTop="1" x14ac:dyDescent="0.25">
      <c r="A17" s="640" t="s">
        <v>60</v>
      </c>
      <c r="B17" s="643" t="s">
        <v>85</v>
      </c>
      <c r="C17" s="643"/>
      <c r="D17" s="643"/>
      <c r="E17" s="643"/>
      <c r="F17" s="643" t="s">
        <v>86</v>
      </c>
      <c r="G17" s="643"/>
      <c r="H17" s="643"/>
      <c r="I17" s="643"/>
      <c r="J17" s="643"/>
      <c r="K17" s="643"/>
      <c r="L17" s="645"/>
      <c r="N17" s="618" t="s">
        <v>60</v>
      </c>
      <c r="O17" s="622" t="s">
        <v>142</v>
      </c>
      <c r="P17" s="579" t="s">
        <v>30</v>
      </c>
      <c r="Q17" s="580"/>
      <c r="R17" s="580"/>
      <c r="S17" s="580"/>
      <c r="T17" s="580"/>
      <c r="U17" s="580"/>
      <c r="V17" s="580"/>
      <c r="W17" s="580"/>
      <c r="X17" s="580"/>
      <c r="Y17" s="580"/>
      <c r="Z17" s="581"/>
      <c r="AA17" s="566" t="s">
        <v>61</v>
      </c>
    </row>
    <row r="18" spans="1:30" x14ac:dyDescent="0.25">
      <c r="A18" s="641"/>
      <c r="B18" s="644"/>
      <c r="C18" s="644"/>
      <c r="D18" s="644"/>
      <c r="E18" s="644"/>
      <c r="F18" s="644" t="s">
        <v>12</v>
      </c>
      <c r="G18" s="644"/>
      <c r="H18" s="644"/>
      <c r="I18" s="644"/>
      <c r="J18" s="644"/>
      <c r="K18" s="110" t="s">
        <v>13</v>
      </c>
      <c r="L18" s="112" t="s">
        <v>87</v>
      </c>
      <c r="N18" s="619"/>
      <c r="O18" s="623"/>
      <c r="P18" s="582"/>
      <c r="Q18" s="583"/>
      <c r="R18" s="583"/>
      <c r="S18" s="583"/>
      <c r="T18" s="583"/>
      <c r="U18" s="583"/>
      <c r="V18" s="583"/>
      <c r="W18" s="583"/>
      <c r="X18" s="583"/>
      <c r="Y18" s="583"/>
      <c r="Z18" s="584"/>
      <c r="AA18" s="567"/>
    </row>
    <row r="19" spans="1:30" ht="17.25" customHeight="1" x14ac:dyDescent="0.25">
      <c r="A19" s="641"/>
      <c r="B19" s="110" t="s">
        <v>16</v>
      </c>
      <c r="C19" s="110" t="s">
        <v>88</v>
      </c>
      <c r="D19" s="110" t="s">
        <v>690</v>
      </c>
      <c r="E19" s="111" t="s">
        <v>17</v>
      </c>
      <c r="F19" s="110" t="s">
        <v>18</v>
      </c>
      <c r="G19" s="110" t="s">
        <v>19</v>
      </c>
      <c r="H19" s="110" t="s">
        <v>128</v>
      </c>
      <c r="I19" s="110" t="s">
        <v>129</v>
      </c>
      <c r="J19" s="110" t="s">
        <v>130</v>
      </c>
      <c r="K19" s="118" t="s">
        <v>20</v>
      </c>
      <c r="L19" s="119" t="s">
        <v>132</v>
      </c>
      <c r="N19" s="619"/>
      <c r="O19" s="623"/>
      <c r="P19" s="287" t="s">
        <v>646</v>
      </c>
      <c r="Q19" s="337" t="s">
        <v>647</v>
      </c>
      <c r="R19" s="81" t="s">
        <v>648</v>
      </c>
      <c r="S19" s="149" t="s">
        <v>649</v>
      </c>
      <c r="T19" s="337" t="s">
        <v>650</v>
      </c>
      <c r="U19" s="81" t="s">
        <v>609</v>
      </c>
      <c r="V19" s="555" t="s">
        <v>153</v>
      </c>
      <c r="W19" s="313" t="s">
        <v>174</v>
      </c>
      <c r="X19" s="313" t="s">
        <v>77</v>
      </c>
      <c r="Y19" s="577" t="s">
        <v>163</v>
      </c>
      <c r="Z19" s="338" t="s">
        <v>189</v>
      </c>
      <c r="AA19" s="242" t="s">
        <v>31</v>
      </c>
    </row>
    <row r="20" spans="1:30" ht="15" thickBot="1" x14ac:dyDescent="0.3">
      <c r="A20" s="642"/>
      <c r="B20" s="114" t="s">
        <v>75</v>
      </c>
      <c r="C20" s="114" t="s">
        <v>75</v>
      </c>
      <c r="D20" s="114" t="s">
        <v>75</v>
      </c>
      <c r="E20" s="115" t="s">
        <v>75</v>
      </c>
      <c r="F20" s="118" t="s">
        <v>75</v>
      </c>
      <c r="G20" s="118" t="s">
        <v>75</v>
      </c>
      <c r="H20" s="118" t="s">
        <v>75</v>
      </c>
      <c r="I20" s="118" t="s">
        <v>75</v>
      </c>
      <c r="J20" s="118" t="s">
        <v>75</v>
      </c>
      <c r="K20" s="116" t="s">
        <v>75</v>
      </c>
      <c r="L20" s="117" t="s">
        <v>127</v>
      </c>
      <c r="N20" s="620"/>
      <c r="O20" s="26" t="s">
        <v>75</v>
      </c>
      <c r="P20" s="176" t="s">
        <v>24</v>
      </c>
      <c r="Q20" s="182" t="s">
        <v>586</v>
      </c>
      <c r="R20" s="182" t="s">
        <v>607</v>
      </c>
      <c r="S20" s="180" t="s">
        <v>24</v>
      </c>
      <c r="T20" s="182" t="s">
        <v>586</v>
      </c>
      <c r="U20" s="182" t="s">
        <v>607</v>
      </c>
      <c r="V20" s="556"/>
      <c r="W20" s="27" t="s">
        <v>24</v>
      </c>
      <c r="X20" s="27" t="s">
        <v>24</v>
      </c>
      <c r="Y20" s="578"/>
      <c r="Z20" s="26" t="s">
        <v>24</v>
      </c>
      <c r="AA20" s="28" t="s">
        <v>24</v>
      </c>
    </row>
    <row r="21" spans="1:30" ht="14.4" thickTop="1" thickBot="1" x14ac:dyDescent="0.3">
      <c r="A21" s="29">
        <v>1</v>
      </c>
      <c r="B21" s="30" t="s">
        <v>94</v>
      </c>
      <c r="C21" s="646">
        <f>'Datos Patrones'!N7</f>
        <v>0</v>
      </c>
      <c r="D21" s="647">
        <f>'Datos Patrones'!N7+'Datos Patrones'!N8/1000</f>
        <v>0</v>
      </c>
      <c r="E21" s="649">
        <f>'Datos Patrones'!N9/1000*2</f>
        <v>0</v>
      </c>
      <c r="F21" s="427">
        <f>'NI-R01-MCIT-D-01'!D39</f>
        <v>0</v>
      </c>
      <c r="G21" s="427">
        <f>'NI-R01-MCIT-D-01'!E39</f>
        <v>0</v>
      </c>
      <c r="H21" s="427">
        <f>'NI-R01-MCIT-D-01'!F39</f>
        <v>0</v>
      </c>
      <c r="I21" s="427">
        <f>'NI-R01-MCIT-D-01'!G39</f>
        <v>0</v>
      </c>
      <c r="J21" s="427">
        <f>'NI-R01-MCIT-D-01'!H39</f>
        <v>0</v>
      </c>
      <c r="K21" s="156">
        <f>AVERAGE(F21:J21)</f>
        <v>0</v>
      </c>
      <c r="L21" s="650">
        <f>(MAX(K21,K22)-MIN(K21,K22))*1000</f>
        <v>0</v>
      </c>
      <c r="N21" s="31">
        <v>0</v>
      </c>
      <c r="O21" s="32">
        <f>+A11</f>
        <v>0</v>
      </c>
      <c r="P21" s="177">
        <f>I11</f>
        <v>0</v>
      </c>
      <c r="Q21" s="282">
        <f>Identificaciones!$N$33/SQRT(3)</f>
        <v>6.6395280956806967E-7</v>
      </c>
      <c r="R21" s="178">
        <f t="shared" ref="R21:R27" si="0">$P$54</f>
        <v>1.4297550792589164</v>
      </c>
      <c r="S21" s="34">
        <v>0</v>
      </c>
      <c r="T21" s="288">
        <f>Identificaciones!O37/SQRT(3)</f>
        <v>6.6395280956806967E-7</v>
      </c>
      <c r="U21" s="34">
        <f t="shared" ref="U21:U27" si="1">R21</f>
        <v>1.4297550792589164</v>
      </c>
      <c r="V21" s="34">
        <v>0</v>
      </c>
      <c r="W21" s="33">
        <v>0</v>
      </c>
      <c r="X21" s="34">
        <f>(Identificaciones!$J$31/SQRT(12))*1000</f>
        <v>2.8867513459481291</v>
      </c>
      <c r="Y21" s="286">
        <f>('Error Abbe'!$G$5/SQRT(12))*1000</f>
        <v>2.8867512390314194</v>
      </c>
      <c r="Z21" s="35">
        <f t="shared" ref="Z21:Z27" si="2">SQRT((P21*P33)^2+(Q21*Q33)^2+(R21*R33)^2+(S21*S33)^2+(T21*T33)^2+(U21*U33)^2+(V21*V33)^2+(W21*W33)^2+(X21*X33)^2+(Y21*Y33)^2)</f>
        <v>4.0824828290371009</v>
      </c>
      <c r="AA21" s="36">
        <f>Z21*'Grados Efectivos de Libertad'!G15</f>
        <v>8.1649656580742018</v>
      </c>
      <c r="AB21" s="246"/>
      <c r="AD21" s="88"/>
    </row>
    <row r="22" spans="1:30" ht="14.4" thickTop="1" thickBot="1" x14ac:dyDescent="0.3">
      <c r="A22" s="37">
        <v>2</v>
      </c>
      <c r="B22" s="38" t="s">
        <v>95</v>
      </c>
      <c r="C22" s="624"/>
      <c r="D22" s="648">
        <v>5.0000229999999997</v>
      </c>
      <c r="E22" s="603"/>
      <c r="F22" s="427">
        <f>'NI-R01-MCIT-D-01'!D40</f>
        <v>0</v>
      </c>
      <c r="G22" s="427">
        <f>'NI-R01-MCIT-D-01'!E40</f>
        <v>0</v>
      </c>
      <c r="H22" s="427">
        <f>'NI-R01-MCIT-D-01'!F40</f>
        <v>0</v>
      </c>
      <c r="I22" s="427">
        <f>'NI-R01-MCIT-D-01'!G40</f>
        <v>0</v>
      </c>
      <c r="J22" s="427">
        <f>'NI-R01-MCIT-D-01'!H40</f>
        <v>0</v>
      </c>
      <c r="K22" s="153">
        <f>AVERAGE(F22:J22)</f>
        <v>0</v>
      </c>
      <c r="L22" s="604"/>
      <c r="N22" s="31">
        <v>1</v>
      </c>
      <c r="O22" s="39">
        <f t="shared" ref="O22:O27" si="3">+B69</f>
        <v>0</v>
      </c>
      <c r="P22" s="177">
        <f t="shared" ref="P22:P27" si="4">M69</f>
        <v>0</v>
      </c>
      <c r="Q22" s="282">
        <f>Identificaciones!$N$33/SQRT(3)</f>
        <v>6.6395280956806967E-7</v>
      </c>
      <c r="R22" s="178">
        <f t="shared" si="0"/>
        <v>1.4297550792589164</v>
      </c>
      <c r="S22" s="285">
        <f t="shared" ref="S22:S27" si="5">D69</f>
        <v>0</v>
      </c>
      <c r="T22" s="288">
        <f>Identificaciones!O37/SQRT(3)</f>
        <v>6.6395280956806967E-7</v>
      </c>
      <c r="U22" s="34">
        <f t="shared" si="1"/>
        <v>1.4297550792589164</v>
      </c>
      <c r="V22" s="40">
        <f>SQRT(('Datos Patrones'!Y7-1)*(0.00005/SQRT(3))^2)*1000</f>
        <v>4.0824829046386304E-2</v>
      </c>
      <c r="W22" s="289">
        <f>(MAX($L$21:$L$22)/SQRT(12))</f>
        <v>0</v>
      </c>
      <c r="X22" s="34">
        <f>(Identificaciones!$J$31/SQRT(12))*1000</f>
        <v>2.8867513459481291</v>
      </c>
      <c r="Y22" s="286">
        <f>('Error Abbe'!$G$5/SQRT(12))*1000</f>
        <v>2.8867512390314194</v>
      </c>
      <c r="Z22" s="35">
        <f t="shared" si="2"/>
        <v>4.0826869480832642</v>
      </c>
      <c r="AA22" s="41">
        <f>Z22*'Grados Efectivos de Libertad'!G31</f>
        <v>8.1653738961665283</v>
      </c>
      <c r="AB22" s="246"/>
      <c r="AD22" s="88"/>
    </row>
    <row r="23" spans="1:30" ht="14.4" thickTop="1" thickBot="1" x14ac:dyDescent="0.3">
      <c r="A23" s="37">
        <v>1</v>
      </c>
      <c r="B23" s="38" t="s">
        <v>94</v>
      </c>
      <c r="C23" s="601">
        <f>'Datos Patrones'!N14</f>
        <v>0</v>
      </c>
      <c r="D23" s="603">
        <f>'Datos Patrones'!N14+'Datos Patrones'!N15/1000</f>
        <v>0</v>
      </c>
      <c r="E23" s="603">
        <f>'Datos Patrones'!N16/1000*2</f>
        <v>0</v>
      </c>
      <c r="F23" s="427">
        <f>'NI-R01-MCIT-D-01'!D41</f>
        <v>0</v>
      </c>
      <c r="G23" s="427">
        <f>'NI-R01-MCIT-D-01'!E41</f>
        <v>0</v>
      </c>
      <c r="H23" s="427">
        <f>'NI-R01-MCIT-D-01'!F41</f>
        <v>0</v>
      </c>
      <c r="I23" s="427">
        <f>'NI-R01-MCIT-D-01'!G41</f>
        <v>0</v>
      </c>
      <c r="J23" s="427">
        <f>'NI-R01-MCIT-D-01'!H41</f>
        <v>0</v>
      </c>
      <c r="K23" s="153">
        <f t="shared" ref="K23:K28" si="6">AVERAGE(F23:J23)</f>
        <v>0</v>
      </c>
      <c r="L23" s="604">
        <f>(MAX(K23,K24)-MIN(K23,K24))*1000</f>
        <v>0</v>
      </c>
      <c r="N23" s="31">
        <v>2</v>
      </c>
      <c r="O23" s="42">
        <f t="shared" si="3"/>
        <v>0</v>
      </c>
      <c r="P23" s="177">
        <f t="shared" si="4"/>
        <v>0</v>
      </c>
      <c r="Q23" s="282">
        <f>Identificaciones!$N$33/SQRT(3)</f>
        <v>6.6395280956806967E-7</v>
      </c>
      <c r="R23" s="178">
        <f t="shared" si="0"/>
        <v>1.4297550792589164</v>
      </c>
      <c r="S23" s="285">
        <f t="shared" si="5"/>
        <v>0</v>
      </c>
      <c r="T23" s="288">
        <f>Identificaciones!O37/SQRT(3)</f>
        <v>6.6395280956806967E-7</v>
      </c>
      <c r="U23" s="34">
        <f t="shared" si="1"/>
        <v>1.4297550792589164</v>
      </c>
      <c r="V23" s="35">
        <f>SQRT(('Datos Patrones'!Y15-1)*(0.00005/SQRT(3))^2)*1000</f>
        <v>4.0824829046386304E-2</v>
      </c>
      <c r="W23" s="289">
        <f>(MAX($L$23:$L$24)/SQRT(12))</f>
        <v>0</v>
      </c>
      <c r="X23" s="34">
        <f>(Identificaciones!$J$31/SQRT(12))*1000</f>
        <v>2.8867513459481291</v>
      </c>
      <c r="Y23" s="286">
        <f>('Error Abbe'!$G$5/SQRT(12))*1000</f>
        <v>2.8867512390314194</v>
      </c>
      <c r="Z23" s="35">
        <f t="shared" si="2"/>
        <v>4.0826869480832642</v>
      </c>
      <c r="AA23" s="41">
        <f>Z23*'Grados Efectivos de Libertad'!G47</f>
        <v>8.1653738961665283</v>
      </c>
      <c r="AB23" s="247"/>
      <c r="AD23" s="88"/>
    </row>
    <row r="24" spans="1:30" ht="14.4" thickTop="1" thickBot="1" x14ac:dyDescent="0.3">
      <c r="A24" s="37">
        <v>2</v>
      </c>
      <c r="B24" s="38" t="s">
        <v>95</v>
      </c>
      <c r="C24" s="624"/>
      <c r="D24" s="603">
        <v>6.0000229999999997</v>
      </c>
      <c r="E24" s="603"/>
      <c r="F24" s="427">
        <f>'NI-R01-MCIT-D-01'!D42</f>
        <v>0</v>
      </c>
      <c r="G24" s="427">
        <f>'NI-R01-MCIT-D-01'!E42</f>
        <v>0</v>
      </c>
      <c r="H24" s="427">
        <f>'NI-R01-MCIT-D-01'!F42</f>
        <v>0</v>
      </c>
      <c r="I24" s="427">
        <f>'NI-R01-MCIT-D-01'!G42</f>
        <v>0</v>
      </c>
      <c r="J24" s="427">
        <f>'NI-R01-MCIT-D-01'!H42</f>
        <v>0</v>
      </c>
      <c r="K24" s="153">
        <f t="shared" si="6"/>
        <v>0</v>
      </c>
      <c r="L24" s="604"/>
      <c r="N24" s="31">
        <v>3</v>
      </c>
      <c r="O24" s="42">
        <f t="shared" si="3"/>
        <v>0</v>
      </c>
      <c r="P24" s="177">
        <f t="shared" si="4"/>
        <v>0</v>
      </c>
      <c r="Q24" s="282">
        <f>Identificaciones!$N$33/SQRT(3)</f>
        <v>6.6395280956806967E-7</v>
      </c>
      <c r="R24" s="178">
        <f t="shared" si="0"/>
        <v>1.4297550792589164</v>
      </c>
      <c r="S24" s="285">
        <f t="shared" si="5"/>
        <v>0</v>
      </c>
      <c r="T24" s="288">
        <f>Identificaciones!O37/SQRT(3)</f>
        <v>6.6395280956806967E-7</v>
      </c>
      <c r="U24" s="34">
        <f t="shared" si="1"/>
        <v>1.4297550792589164</v>
      </c>
      <c r="V24" s="35">
        <f>SQRT(('Datos Patrones'!Y23-1)*(0.00005/SQRT(3))^2)*1000</f>
        <v>4.0824829046386304E-2</v>
      </c>
      <c r="W24" s="289">
        <f>(MAX($L$24:$L$25)/SQRT(12))</f>
        <v>0</v>
      </c>
      <c r="X24" s="34">
        <f>(Identificaciones!$J$31/SQRT(12))*1000</f>
        <v>2.8867513459481291</v>
      </c>
      <c r="Y24" s="286">
        <f>('Error Abbe'!$G$5/SQRT(12))*1000</f>
        <v>2.8867512390314194</v>
      </c>
      <c r="Z24" s="35">
        <f t="shared" si="2"/>
        <v>4.0826869480832642</v>
      </c>
      <c r="AA24" s="41">
        <f>Z24*'Grados Efectivos de Libertad'!G62</f>
        <v>8.1653738961665283</v>
      </c>
      <c r="AB24" s="246"/>
      <c r="AD24" s="88"/>
    </row>
    <row r="25" spans="1:30" ht="14.4" thickTop="1" thickBot="1" x14ac:dyDescent="0.3">
      <c r="A25" s="37">
        <v>1</v>
      </c>
      <c r="B25" s="38" t="s">
        <v>94</v>
      </c>
      <c r="C25" s="601">
        <f>'Datos Patrones'!N21</f>
        <v>0</v>
      </c>
      <c r="D25" s="603">
        <f>'Datos Patrones'!N21+'Datos Patrones'!N22/1000</f>
        <v>0</v>
      </c>
      <c r="E25" s="603">
        <f>'Datos Patrones'!N23/1000*2</f>
        <v>0</v>
      </c>
      <c r="F25" s="427">
        <f>'NI-R01-MCIT-D-01'!D43</f>
        <v>0</v>
      </c>
      <c r="G25" s="427">
        <f>'NI-R01-MCIT-D-01'!E43</f>
        <v>0</v>
      </c>
      <c r="H25" s="427">
        <f>'NI-R01-MCIT-D-01'!F43</f>
        <v>0</v>
      </c>
      <c r="I25" s="427">
        <f>'NI-R01-MCIT-D-01'!G43</f>
        <v>0</v>
      </c>
      <c r="J25" s="427">
        <f>'NI-R01-MCIT-D-01'!H43</f>
        <v>0</v>
      </c>
      <c r="K25" s="153">
        <f t="shared" si="6"/>
        <v>0</v>
      </c>
      <c r="L25" s="604">
        <f>(MAX(K25,K26)-MIN(K25,K26))*1000</f>
        <v>0</v>
      </c>
      <c r="N25" s="31">
        <v>4</v>
      </c>
      <c r="O25" s="42">
        <f t="shared" si="3"/>
        <v>0</v>
      </c>
      <c r="P25" s="177">
        <f t="shared" si="4"/>
        <v>0</v>
      </c>
      <c r="Q25" s="282">
        <f>Identificaciones!$N$33/SQRT(3)</f>
        <v>6.6395280956806967E-7</v>
      </c>
      <c r="R25" s="178">
        <f t="shared" si="0"/>
        <v>1.4297550792589164</v>
      </c>
      <c r="S25" s="285">
        <f t="shared" si="5"/>
        <v>0</v>
      </c>
      <c r="T25" s="288">
        <f>Identificaciones!O37/SQRT(3)</f>
        <v>6.6395280956806967E-7</v>
      </c>
      <c r="U25" s="34">
        <f t="shared" si="1"/>
        <v>1.4297550792589164</v>
      </c>
      <c r="V25" s="35">
        <f>SQRT(('Datos Patrones'!Y31-1)*(0.00005/SQRT(3))^2)*1000</f>
        <v>4.0824829046386304E-2</v>
      </c>
      <c r="W25" s="289">
        <f>(MAX($L$26:$L$27)/SQRT(12))</f>
        <v>0</v>
      </c>
      <c r="X25" s="34">
        <f>(Identificaciones!$J$31/SQRT(12))*1000</f>
        <v>2.8867513459481291</v>
      </c>
      <c r="Y25" s="286">
        <f>('Error Abbe'!$G$5/SQRT(12))*1000</f>
        <v>2.8867512390314194</v>
      </c>
      <c r="Z25" s="35">
        <f t="shared" si="2"/>
        <v>4.0826869480832642</v>
      </c>
      <c r="AA25" s="41">
        <f>Z25*'Grados Efectivos de Libertad'!G77</f>
        <v>8.1653738961665283</v>
      </c>
      <c r="AB25" s="246"/>
      <c r="AD25" s="88"/>
    </row>
    <row r="26" spans="1:30" ht="14.4" thickTop="1" thickBot="1" x14ac:dyDescent="0.3">
      <c r="A26" s="43">
        <v>2</v>
      </c>
      <c r="B26" s="38" t="s">
        <v>95</v>
      </c>
      <c r="C26" s="624"/>
      <c r="D26" s="603">
        <v>7.0000229999999997</v>
      </c>
      <c r="E26" s="603"/>
      <c r="F26" s="427">
        <f>'NI-R01-MCIT-D-01'!D44</f>
        <v>0</v>
      </c>
      <c r="G26" s="427">
        <f>'NI-R01-MCIT-D-01'!E44</f>
        <v>0</v>
      </c>
      <c r="H26" s="427">
        <f>'NI-R01-MCIT-D-01'!F44</f>
        <v>0</v>
      </c>
      <c r="I26" s="427">
        <f>'NI-R01-MCIT-D-01'!G44</f>
        <v>0</v>
      </c>
      <c r="J26" s="427">
        <f>'NI-R01-MCIT-D-01'!H44</f>
        <v>0</v>
      </c>
      <c r="K26" s="153">
        <f t="shared" si="6"/>
        <v>0</v>
      </c>
      <c r="L26" s="604"/>
      <c r="N26" s="31">
        <v>5</v>
      </c>
      <c r="O26" s="42">
        <f t="shared" si="3"/>
        <v>0</v>
      </c>
      <c r="P26" s="177">
        <f t="shared" si="4"/>
        <v>0</v>
      </c>
      <c r="Q26" s="282">
        <f>Identificaciones!$N$33/SQRT(3)</f>
        <v>6.6395280956806967E-7</v>
      </c>
      <c r="R26" s="178">
        <f t="shared" si="0"/>
        <v>1.4297550792589164</v>
      </c>
      <c r="S26" s="285">
        <f t="shared" si="5"/>
        <v>0</v>
      </c>
      <c r="T26" s="288">
        <f>Identificaciones!O37/SQRT(3)</f>
        <v>6.6395280956806967E-7</v>
      </c>
      <c r="U26" s="34">
        <f t="shared" si="1"/>
        <v>1.4297550792589164</v>
      </c>
      <c r="V26" s="35">
        <f>SQRT(('Datos Patrones'!Y39-1)*(0.00005/SQRT(3))^2)*1000</f>
        <v>4.0824829046386304E-2</v>
      </c>
      <c r="W26" s="289">
        <f>(MAX($L$28:$L$29)/SQRT(12))</f>
        <v>0</v>
      </c>
      <c r="X26" s="34">
        <f>(Identificaciones!$J$31/SQRT(12))*1000</f>
        <v>2.8867513459481291</v>
      </c>
      <c r="Y26" s="286">
        <f>('Error Abbe'!$G$5/SQRT(12))*1000</f>
        <v>2.8867512390314194</v>
      </c>
      <c r="Z26" s="35">
        <f t="shared" si="2"/>
        <v>4.0826869480832642</v>
      </c>
      <c r="AA26" s="41">
        <f>Z26*'Grados Efectivos de Libertad'!G92</f>
        <v>8.1653738961665283</v>
      </c>
      <c r="AB26" s="246"/>
      <c r="AD26" s="88"/>
    </row>
    <row r="27" spans="1:30" ht="13.8" thickTop="1" x14ac:dyDescent="0.25">
      <c r="A27" s="43">
        <v>1</v>
      </c>
      <c r="B27" s="38" t="s">
        <v>94</v>
      </c>
      <c r="C27" s="601">
        <f>'Datos Patrones'!O28</f>
        <v>0</v>
      </c>
      <c r="D27" s="603">
        <f>'Datos Patrones'!O28+'Datos Patrones'!O29/1000</f>
        <v>0</v>
      </c>
      <c r="E27" s="603">
        <f>'Datos Patrones'!O30/1000*2</f>
        <v>0</v>
      </c>
      <c r="F27" s="427">
        <f>'NI-R01-MCIT-D-01'!D45</f>
        <v>0</v>
      </c>
      <c r="G27" s="427">
        <f>'NI-R01-MCIT-D-01'!E45</f>
        <v>0</v>
      </c>
      <c r="H27" s="427">
        <f>'NI-R01-MCIT-D-01'!F45</f>
        <v>0</v>
      </c>
      <c r="I27" s="427">
        <f>'NI-R01-MCIT-D-01'!G45</f>
        <v>0</v>
      </c>
      <c r="J27" s="427">
        <f>'NI-R01-MCIT-D-01'!H45</f>
        <v>0</v>
      </c>
      <c r="K27" s="153">
        <f t="shared" si="6"/>
        <v>0</v>
      </c>
      <c r="L27" s="604">
        <f>(MAX(K27,K28)-MIN(K27,K28))*1000</f>
        <v>0</v>
      </c>
      <c r="N27" s="31">
        <v>6</v>
      </c>
      <c r="O27" s="42">
        <f t="shared" si="3"/>
        <v>0</v>
      </c>
      <c r="P27" s="177">
        <f t="shared" si="4"/>
        <v>0</v>
      </c>
      <c r="Q27" s="282">
        <f>Identificaciones!$N$33/SQRT(3)</f>
        <v>6.6395280956806967E-7</v>
      </c>
      <c r="R27" s="178">
        <f t="shared" si="0"/>
        <v>1.4297550792589164</v>
      </c>
      <c r="S27" s="285">
        <f t="shared" si="5"/>
        <v>0</v>
      </c>
      <c r="T27" s="288">
        <f>Identificaciones!O37/SQRT(3)</f>
        <v>6.6395280956806967E-7</v>
      </c>
      <c r="U27" s="34">
        <f t="shared" si="1"/>
        <v>1.4297550792589164</v>
      </c>
      <c r="V27" s="35">
        <f>SQRT(('Datos Patrones'!Y47-1)*(0.00005/SQRT(3))^2)*1000</f>
        <v>4.0824829046386304E-2</v>
      </c>
      <c r="W27" s="289">
        <f>(MAX($L$28:$L$29)/SQRT(12))</f>
        <v>0</v>
      </c>
      <c r="X27" s="34">
        <f>(Identificaciones!$J$31/SQRT(12))*1000</f>
        <v>2.8867513459481291</v>
      </c>
      <c r="Y27" s="286">
        <f>('Error Abbe'!$G$5/SQRT(12))*1000</f>
        <v>2.8867512390314194</v>
      </c>
      <c r="Z27" s="35">
        <f t="shared" si="2"/>
        <v>4.0826869480832642</v>
      </c>
      <c r="AA27" s="41">
        <f>Z27*'Grados Efectivos de Libertad'!G107</f>
        <v>8.1653738961665283</v>
      </c>
      <c r="AB27" s="246"/>
      <c r="AD27" s="88"/>
    </row>
    <row r="28" spans="1:30" ht="13.8" thickBot="1" x14ac:dyDescent="0.3">
      <c r="A28" s="43">
        <v>2</v>
      </c>
      <c r="B28" s="38" t="s">
        <v>95</v>
      </c>
      <c r="C28" s="602"/>
      <c r="D28" s="603">
        <v>8.0000230000000006</v>
      </c>
      <c r="E28" s="603"/>
      <c r="F28" s="427">
        <f>'NI-R01-MCIT-D-01'!D46</f>
        <v>0</v>
      </c>
      <c r="G28" s="427">
        <f>'NI-R01-MCIT-D-01'!E46</f>
        <v>0</v>
      </c>
      <c r="H28" s="427">
        <f>'NI-R01-MCIT-D-01'!F46</f>
        <v>0</v>
      </c>
      <c r="I28" s="427">
        <f>'NI-R01-MCIT-D-01'!G46</f>
        <v>0</v>
      </c>
      <c r="J28" s="427">
        <f>'NI-R01-MCIT-D-01'!H46</f>
        <v>0</v>
      </c>
      <c r="K28" s="153">
        <f t="shared" si="6"/>
        <v>0</v>
      </c>
      <c r="L28" s="604"/>
      <c r="N28" s="150" t="s">
        <v>577</v>
      </c>
      <c r="AB28" s="88"/>
    </row>
    <row r="29" spans="1:30" ht="13.5" customHeight="1" thickTop="1" x14ac:dyDescent="0.25">
      <c r="A29" s="43">
        <v>1</v>
      </c>
      <c r="B29" s="38" t="s">
        <v>94</v>
      </c>
      <c r="C29" s="601">
        <f>'Datos Patrones'!O35</f>
        <v>0</v>
      </c>
      <c r="D29" s="603">
        <f>'Datos Patrones'!O35+'Datos Patrones'!O36/1000</f>
        <v>0</v>
      </c>
      <c r="E29" s="603">
        <f>'Datos Patrones'!O37/1000*2</f>
        <v>0</v>
      </c>
      <c r="F29" s="427">
        <f>'NI-R01-MCIT-D-01'!D47</f>
        <v>0</v>
      </c>
      <c r="G29" s="427">
        <f>'NI-R01-MCIT-D-01'!E47</f>
        <v>0</v>
      </c>
      <c r="H29" s="427">
        <f>'NI-R01-MCIT-D-01'!F47</f>
        <v>0</v>
      </c>
      <c r="I29" s="427">
        <f>'NI-R01-MCIT-D-01'!G47</f>
        <v>0</v>
      </c>
      <c r="J29" s="427">
        <f>'NI-R01-MCIT-D-01'!H47</f>
        <v>0</v>
      </c>
      <c r="K29" s="153">
        <f>AVERAGE(F29:J29)</f>
        <v>0</v>
      </c>
      <c r="L29" s="604">
        <f>(MAX(K29,K30)-MIN(K29,K30))*1000</f>
        <v>0</v>
      </c>
      <c r="N29" s="618" t="s">
        <v>60</v>
      </c>
      <c r="O29" s="622" t="s">
        <v>142</v>
      </c>
      <c r="P29" s="557" t="s">
        <v>610</v>
      </c>
      <c r="Q29" s="558"/>
      <c r="R29" s="558"/>
      <c r="S29" s="558"/>
      <c r="T29" s="558"/>
      <c r="U29" s="558"/>
      <c r="V29" s="558"/>
      <c r="W29" s="558"/>
      <c r="X29" s="559"/>
      <c r="Y29" s="566" t="s">
        <v>61</v>
      </c>
      <c r="AB29" s="88"/>
    </row>
    <row r="30" spans="1:30" x14ac:dyDescent="0.25">
      <c r="A30" s="43">
        <v>2</v>
      </c>
      <c r="B30" s="38" t="s">
        <v>95</v>
      </c>
      <c r="C30" s="605"/>
      <c r="D30" s="603">
        <v>9.0000230000000006</v>
      </c>
      <c r="E30" s="603"/>
      <c r="F30" s="427">
        <f>'NI-R01-MCIT-D-01'!D48</f>
        <v>0</v>
      </c>
      <c r="G30" s="427">
        <f>'NI-R01-MCIT-D-01'!E48</f>
        <v>0</v>
      </c>
      <c r="H30" s="427">
        <f>'NI-R01-MCIT-D-01'!F48</f>
        <v>0</v>
      </c>
      <c r="I30" s="427">
        <f>'NI-R01-MCIT-D-01'!G48</f>
        <v>0</v>
      </c>
      <c r="J30" s="427">
        <f>'NI-R01-MCIT-D-01'!H48</f>
        <v>0</v>
      </c>
      <c r="K30" s="153">
        <f>AVERAGE(F30:J30)</f>
        <v>0</v>
      </c>
      <c r="L30" s="604"/>
      <c r="N30" s="619"/>
      <c r="O30" s="623"/>
      <c r="P30" s="560"/>
      <c r="Q30" s="561"/>
      <c r="R30" s="561"/>
      <c r="S30" s="561"/>
      <c r="T30" s="561"/>
      <c r="U30" s="561"/>
      <c r="V30" s="561"/>
      <c r="W30" s="561"/>
      <c r="X30" s="562"/>
      <c r="Y30" s="567"/>
      <c r="AB30" s="88"/>
    </row>
    <row r="31" spans="1:30" ht="12.75" customHeight="1" x14ac:dyDescent="0.25">
      <c r="A31" s="43">
        <v>1</v>
      </c>
      <c r="B31" s="38" t="s">
        <v>94</v>
      </c>
      <c r="C31" s="601">
        <f>'Datos Patrones'!O42</f>
        <v>0</v>
      </c>
      <c r="D31" s="603">
        <f>'Datos Patrones'!O42+'Datos Patrones'!O43/1000</f>
        <v>0</v>
      </c>
      <c r="E31" s="603">
        <f>'Datos Patrones'!O44/1000*2</f>
        <v>0</v>
      </c>
      <c r="F31" s="427">
        <f>'NI-R01-MCIT-D-01'!D49</f>
        <v>0</v>
      </c>
      <c r="G31" s="427">
        <f>'NI-R01-MCIT-D-01'!E49</f>
        <v>0</v>
      </c>
      <c r="H31" s="427">
        <f>'NI-R01-MCIT-D-01'!F49</f>
        <v>0</v>
      </c>
      <c r="I31" s="427">
        <f>'NI-R01-MCIT-D-01'!G49</f>
        <v>0</v>
      </c>
      <c r="J31" s="427">
        <f>'NI-R01-MCIT-D-01'!H49</f>
        <v>0</v>
      </c>
      <c r="K31" s="153">
        <f>AVERAGE(F31:J31)</f>
        <v>0</v>
      </c>
      <c r="L31" s="604">
        <f>(MAX(K31,K32)-MIN(K31,K32))*1000</f>
        <v>0</v>
      </c>
      <c r="N31" s="619"/>
      <c r="O31" s="623"/>
      <c r="P31" s="175" t="s">
        <v>20</v>
      </c>
      <c r="Q31" s="179" t="s">
        <v>584</v>
      </c>
      <c r="R31" s="183" t="s">
        <v>585</v>
      </c>
      <c r="S31" s="181" t="s">
        <v>11</v>
      </c>
      <c r="T31" s="179" t="s">
        <v>608</v>
      </c>
      <c r="U31" s="183" t="s">
        <v>609</v>
      </c>
      <c r="V31" s="563" t="s">
        <v>153</v>
      </c>
      <c r="W31" s="21" t="s">
        <v>174</v>
      </c>
      <c r="X31" s="21" t="s">
        <v>77</v>
      </c>
      <c r="Y31" s="207" t="s">
        <v>615</v>
      </c>
      <c r="AB31" s="88"/>
    </row>
    <row r="32" spans="1:30" ht="16.2" thickBot="1" x14ac:dyDescent="0.3">
      <c r="A32" s="43">
        <v>2</v>
      </c>
      <c r="B32" s="38" t="s">
        <v>95</v>
      </c>
      <c r="C32" s="605"/>
      <c r="D32" s="603">
        <v>9.0000230000000006</v>
      </c>
      <c r="E32" s="603"/>
      <c r="F32" s="427">
        <f>'NI-R01-MCIT-D-01'!D50</f>
        <v>0</v>
      </c>
      <c r="G32" s="427">
        <f>'NI-R01-MCIT-D-01'!E50</f>
        <v>0</v>
      </c>
      <c r="H32" s="427">
        <f>'NI-R01-MCIT-D-01'!F50</f>
        <v>0</v>
      </c>
      <c r="I32" s="427">
        <f>'NI-R01-MCIT-D-01'!G50</f>
        <v>0</v>
      </c>
      <c r="J32" s="427">
        <f>'NI-R01-MCIT-D-01'!H50</f>
        <v>0</v>
      </c>
      <c r="K32" s="153">
        <f>AVERAGE(F32:J32)</f>
        <v>0</v>
      </c>
      <c r="L32" s="604"/>
      <c r="N32" s="620"/>
      <c r="O32" s="26" t="s">
        <v>75</v>
      </c>
      <c r="P32" s="176">
        <v>1</v>
      </c>
      <c r="Q32" s="182" t="s">
        <v>612</v>
      </c>
      <c r="R32" s="182" t="s">
        <v>613</v>
      </c>
      <c r="S32" s="180">
        <v>1</v>
      </c>
      <c r="T32" s="182" t="s">
        <v>614</v>
      </c>
      <c r="U32" s="182" t="s">
        <v>613</v>
      </c>
      <c r="V32" s="556"/>
      <c r="W32" s="27">
        <v>1</v>
      </c>
      <c r="X32" s="27">
        <v>1</v>
      </c>
      <c r="Y32" s="208">
        <v>1</v>
      </c>
    </row>
    <row r="33" spans="1:25" ht="14.4" thickTop="1" thickBot="1" x14ac:dyDescent="0.3">
      <c r="N33" s="31">
        <v>0</v>
      </c>
      <c r="O33" s="32">
        <f>+A11</f>
        <v>0</v>
      </c>
      <c r="P33" s="177">
        <f>(1+(Identificaciones!$E$33*$T$43))</f>
        <v>1.0000283199</v>
      </c>
      <c r="Q33" s="178">
        <f>G11*$T$43*1000</f>
        <v>0</v>
      </c>
      <c r="R33" s="178">
        <f>G11*Identificaciones!$E$33*1000</f>
        <v>0</v>
      </c>
      <c r="S33" s="206">
        <f>-(1+Identificaciones!$E$33*Resultados!$T$43)</f>
        <v>-1.0000283199</v>
      </c>
      <c r="T33" s="34">
        <f>-(A11*$T$43*1000)</f>
        <v>0</v>
      </c>
      <c r="U33" s="34">
        <f>-(A11*Identificaciones!$I$37*1000)</f>
        <v>0</v>
      </c>
      <c r="V33" s="34">
        <v>1</v>
      </c>
      <c r="W33" s="33">
        <v>1</v>
      </c>
      <c r="X33" s="34">
        <v>1</v>
      </c>
      <c r="Y33" s="91">
        <v>1</v>
      </c>
    </row>
    <row r="34" spans="1:25" ht="14.4" thickTop="1" thickBot="1" x14ac:dyDescent="0.3">
      <c r="N34" s="31">
        <v>1</v>
      </c>
      <c r="O34" s="39">
        <f t="shared" ref="O34:O39" si="7">+B69</f>
        <v>0</v>
      </c>
      <c r="P34" s="177">
        <f>(1+(Identificaciones!$E$33*$T$43))</f>
        <v>1.0000283199</v>
      </c>
      <c r="Q34" s="178">
        <f t="shared" ref="Q34:Q39" si="8">J69*$T$43*1000</f>
        <v>0</v>
      </c>
      <c r="R34" s="178">
        <f>J69*Identificaciones!$E$33*1000</f>
        <v>0</v>
      </c>
      <c r="S34" s="206">
        <f>-(1+Identificaciones!$E$33*Resultados!$T$43)</f>
        <v>-1.0000283199</v>
      </c>
      <c r="T34" s="34">
        <f t="shared" ref="T34:T39" si="9">-(C69*$T$43*1000)</f>
        <v>0</v>
      </c>
      <c r="U34" s="34">
        <f>-(C69*Identificaciones!$I$37*1000)</f>
        <v>0</v>
      </c>
      <c r="V34" s="34">
        <v>1</v>
      </c>
      <c r="W34" s="33">
        <v>1</v>
      </c>
      <c r="X34" s="34">
        <v>1</v>
      </c>
      <c r="Y34" s="91">
        <v>1</v>
      </c>
    </row>
    <row r="35" spans="1:25" ht="14.4" thickTop="1" thickBot="1" x14ac:dyDescent="0.3">
      <c r="N35" s="31">
        <v>2</v>
      </c>
      <c r="O35" s="39">
        <f t="shared" si="7"/>
        <v>0</v>
      </c>
      <c r="P35" s="177">
        <f>(1+(Identificaciones!$E$33*$T$43))</f>
        <v>1.0000283199</v>
      </c>
      <c r="Q35" s="178">
        <f t="shared" si="8"/>
        <v>0</v>
      </c>
      <c r="R35" s="178">
        <f>J70*Identificaciones!$E$33*1000</f>
        <v>0</v>
      </c>
      <c r="S35" s="206">
        <f>-(1+Identificaciones!$E$33*Resultados!$T$43)</f>
        <v>-1.0000283199</v>
      </c>
      <c r="T35" s="34">
        <f t="shared" si="9"/>
        <v>0</v>
      </c>
      <c r="U35" s="34">
        <f>-(C70*Identificaciones!$I$37*1000)</f>
        <v>0</v>
      </c>
      <c r="V35" s="34">
        <v>1</v>
      </c>
      <c r="W35" s="33">
        <v>1</v>
      </c>
      <c r="X35" s="34">
        <v>1</v>
      </c>
      <c r="Y35" s="91">
        <v>1</v>
      </c>
    </row>
    <row r="36" spans="1:25" ht="14.4" thickTop="1" thickBot="1" x14ac:dyDescent="0.3">
      <c r="N36" s="31">
        <v>3</v>
      </c>
      <c r="O36" s="39">
        <f t="shared" si="7"/>
        <v>0</v>
      </c>
      <c r="P36" s="177">
        <f>(1+(Identificaciones!$E$33*$T$43))</f>
        <v>1.0000283199</v>
      </c>
      <c r="Q36" s="178">
        <f t="shared" si="8"/>
        <v>0</v>
      </c>
      <c r="R36" s="178">
        <f>J71*Identificaciones!$E$33*1000</f>
        <v>0</v>
      </c>
      <c r="S36" s="206">
        <f>-(1+Identificaciones!$E$33*Resultados!$T$43)</f>
        <v>-1.0000283199</v>
      </c>
      <c r="T36" s="34">
        <f t="shared" si="9"/>
        <v>0</v>
      </c>
      <c r="U36" s="34">
        <f>-(C71*Identificaciones!$I$37*1000)</f>
        <v>0</v>
      </c>
      <c r="V36" s="34">
        <v>1</v>
      </c>
      <c r="W36" s="33">
        <v>1</v>
      </c>
      <c r="X36" s="34">
        <v>1</v>
      </c>
      <c r="Y36" s="91">
        <v>1</v>
      </c>
    </row>
    <row r="37" spans="1:25" ht="14.4" thickTop="1" thickBot="1" x14ac:dyDescent="0.3">
      <c r="N37" s="31">
        <v>4</v>
      </c>
      <c r="O37" s="39">
        <f t="shared" si="7"/>
        <v>0</v>
      </c>
      <c r="P37" s="177">
        <f>(1+(Identificaciones!$E$33*$T$43))</f>
        <v>1.0000283199</v>
      </c>
      <c r="Q37" s="178">
        <f t="shared" si="8"/>
        <v>0</v>
      </c>
      <c r="R37" s="178">
        <f>J72*Identificaciones!$E$33*1000</f>
        <v>0</v>
      </c>
      <c r="S37" s="206">
        <f>-(1+Identificaciones!$E$33*Resultados!$T$43)</f>
        <v>-1.0000283199</v>
      </c>
      <c r="T37" s="34">
        <f t="shared" si="9"/>
        <v>0</v>
      </c>
      <c r="U37" s="34">
        <f>-(C72*Identificaciones!$I$37*1000)</f>
        <v>0</v>
      </c>
      <c r="V37" s="34">
        <v>1</v>
      </c>
      <c r="W37" s="33">
        <v>1</v>
      </c>
      <c r="X37" s="34">
        <v>1</v>
      </c>
      <c r="Y37" s="91">
        <v>1</v>
      </c>
    </row>
    <row r="38" spans="1:25" ht="27.6" thickTop="1" thickBot="1" x14ac:dyDescent="0.3">
      <c r="B38" s="45" t="s">
        <v>97</v>
      </c>
      <c r="C38" s="46">
        <f>+C21</f>
        <v>0</v>
      </c>
      <c r="D38" s="46">
        <f>+C23</f>
        <v>0</v>
      </c>
      <c r="E38" s="46">
        <f>+C25</f>
        <v>0</v>
      </c>
      <c r="F38" s="46">
        <f>+C27</f>
        <v>0</v>
      </c>
      <c r="G38" s="46">
        <f>+C29</f>
        <v>0</v>
      </c>
      <c r="H38" s="46">
        <f>+C31</f>
        <v>0</v>
      </c>
      <c r="I38" s="46">
        <f>+C33</f>
        <v>0</v>
      </c>
      <c r="N38" s="31">
        <v>5</v>
      </c>
      <c r="O38" s="39">
        <f t="shared" si="7"/>
        <v>0</v>
      </c>
      <c r="P38" s="177">
        <f>(1+(Identificaciones!$E$33*$T$43))</f>
        <v>1.0000283199</v>
      </c>
      <c r="Q38" s="178">
        <f t="shared" si="8"/>
        <v>0</v>
      </c>
      <c r="R38" s="178">
        <f>J73*Identificaciones!$E$33*1000</f>
        <v>0</v>
      </c>
      <c r="S38" s="206">
        <f>-(1+Identificaciones!$E$33*Resultados!$T$43)</f>
        <v>-1.0000283199</v>
      </c>
      <c r="T38" s="34">
        <f t="shared" si="9"/>
        <v>0</v>
      </c>
      <c r="U38" s="34">
        <f>-(C73*Identificaciones!$I$37*1000)</f>
        <v>0</v>
      </c>
      <c r="V38" s="34">
        <v>1</v>
      </c>
      <c r="W38" s="33">
        <v>1</v>
      </c>
      <c r="X38" s="34">
        <v>1</v>
      </c>
      <c r="Y38" s="91">
        <v>1</v>
      </c>
    </row>
    <row r="39" spans="1:25" ht="18" customHeight="1" thickTop="1" x14ac:dyDescent="0.25">
      <c r="B39" s="76">
        <v>1</v>
      </c>
      <c r="N39" s="31">
        <v>6</v>
      </c>
      <c r="O39" s="39">
        <f t="shared" si="7"/>
        <v>0</v>
      </c>
      <c r="P39" s="177">
        <f>(1+(Identificaciones!$E$33*$T$43))</f>
        <v>1.0000283199</v>
      </c>
      <c r="Q39" s="178">
        <f t="shared" si="8"/>
        <v>0</v>
      </c>
      <c r="R39" s="178">
        <f>J74*Identificaciones!$E$33*1000</f>
        <v>0</v>
      </c>
      <c r="S39" s="206">
        <f>-(1+Identificaciones!$E$33*Resultados!$T$43)</f>
        <v>-1.0000283199</v>
      </c>
      <c r="T39" s="34">
        <f t="shared" si="9"/>
        <v>0</v>
      </c>
      <c r="U39" s="34">
        <f>-(C74*Identificaciones!$I$37*1000)</f>
        <v>0</v>
      </c>
      <c r="V39" s="34">
        <v>1</v>
      </c>
      <c r="W39" s="33">
        <v>1</v>
      </c>
      <c r="X39" s="34">
        <v>1</v>
      </c>
      <c r="Y39" s="91">
        <v>1</v>
      </c>
    </row>
    <row r="40" spans="1:25" ht="12.75" customHeight="1" x14ac:dyDescent="0.25">
      <c r="B40" s="76"/>
      <c r="N40" s="92"/>
      <c r="O40" s="93"/>
      <c r="P40" s="94"/>
      <c r="Q40" s="95"/>
      <c r="R40" s="95"/>
      <c r="S40" s="93"/>
      <c r="T40" s="95"/>
      <c r="U40" s="95"/>
      <c r="V40" s="95"/>
      <c r="W40" s="94"/>
      <c r="X40" s="95"/>
      <c r="Y40" s="96"/>
    </row>
    <row r="41" spans="1:25" ht="12.75" customHeight="1" x14ac:dyDescent="0.25">
      <c r="B41" s="76"/>
      <c r="N41" s="92"/>
      <c r="O41"/>
      <c r="P41" s="94"/>
      <c r="Q41" s="95"/>
      <c r="R41" s="95"/>
      <c r="S41" s="93"/>
      <c r="T41" s="95"/>
      <c r="U41" s="95"/>
      <c r="V41" s="95"/>
      <c r="W41" s="94"/>
      <c r="X41" s="95"/>
      <c r="Y41" s="96"/>
    </row>
    <row r="42" spans="1:25" ht="12.75" customHeight="1" x14ac:dyDescent="0.25">
      <c r="B42" s="76"/>
      <c r="N42" s="92"/>
      <c r="O42" s="93"/>
      <c r="R42" s="95"/>
      <c r="S42" s="93"/>
      <c r="T42" s="95"/>
      <c r="U42" s="95"/>
      <c r="V42" s="95"/>
      <c r="W42" s="94"/>
      <c r="X42" s="95"/>
      <c r="Y42" s="96"/>
    </row>
    <row r="43" spans="1:25" x14ac:dyDescent="0.25">
      <c r="A43" s="14"/>
      <c r="B43" s="571" t="s">
        <v>102</v>
      </c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S43" s="205" t="s">
        <v>611</v>
      </c>
      <c r="T43" s="61">
        <f>((IF(S52=1,U70+V70,IF(S52=2,U88+V88,IF(S52=3,U107+V107," Error "))))-20)</f>
        <v>2.4626000000000019</v>
      </c>
      <c r="U43" s="204" t="s">
        <v>175</v>
      </c>
    </row>
    <row r="44" spans="1:25" ht="13.8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P44" s="94">
        <f>((IF(S52=1,U70+V70,IF(S52=2,U88+V88,IF(S52=3,U107+V107," Error "))))-20)/SQRT(3)</f>
        <v>1.4217827729063737</v>
      </c>
      <c r="Q44" s="204" t="s">
        <v>175</v>
      </c>
    </row>
    <row r="45" spans="1:25" ht="13.8" thickTop="1" x14ac:dyDescent="0.25">
      <c r="A45" s="625" t="s">
        <v>60</v>
      </c>
      <c r="B45" s="651" t="s">
        <v>106</v>
      </c>
      <c r="C45" s="643"/>
      <c r="D45" s="643"/>
      <c r="E45" s="643"/>
      <c r="F45" s="643" t="s">
        <v>86</v>
      </c>
      <c r="G45" s="643"/>
      <c r="H45" s="643"/>
      <c r="I45" s="643"/>
      <c r="J45" s="643"/>
      <c r="K45" s="643"/>
      <c r="L45" s="645"/>
      <c r="O45"/>
    </row>
    <row r="46" spans="1:25" x14ac:dyDescent="0.25">
      <c r="A46" s="626"/>
      <c r="B46" s="652"/>
      <c r="C46" s="644"/>
      <c r="D46" s="644"/>
      <c r="E46" s="644"/>
      <c r="F46" s="644" t="s">
        <v>12</v>
      </c>
      <c r="G46" s="644"/>
      <c r="H46" s="644"/>
      <c r="I46" s="644"/>
      <c r="J46" s="644"/>
      <c r="K46" s="110" t="s">
        <v>13</v>
      </c>
      <c r="L46" s="112" t="s">
        <v>87</v>
      </c>
    </row>
    <row r="47" spans="1:25" ht="17.25" customHeight="1" x14ac:dyDescent="0.25">
      <c r="A47" s="626"/>
      <c r="B47" s="109" t="s">
        <v>33</v>
      </c>
      <c r="C47" s="110" t="s">
        <v>103</v>
      </c>
      <c r="D47" s="110" t="s">
        <v>690</v>
      </c>
      <c r="E47" s="111" t="s">
        <v>17</v>
      </c>
      <c r="F47" s="110" t="s">
        <v>18</v>
      </c>
      <c r="G47" s="110" t="s">
        <v>19</v>
      </c>
      <c r="H47" s="110" t="s">
        <v>128</v>
      </c>
      <c r="I47" s="110" t="s">
        <v>129</v>
      </c>
      <c r="J47" s="110" t="s">
        <v>130</v>
      </c>
      <c r="K47" s="118" t="s">
        <v>20</v>
      </c>
      <c r="L47" s="119" t="s">
        <v>131</v>
      </c>
      <c r="O47"/>
      <c r="P47" s="61">
        <f>((IF(S52=1,MAX(W69:W71),IF(S52=2,MAX(W87:W89),IF(S52=3,MAX(W106:W108)," Error ")))))/2</f>
        <v>0.12</v>
      </c>
      <c r="Q47" s="204" t="s">
        <v>175</v>
      </c>
    </row>
    <row r="48" spans="1:25" ht="13.8" thickBot="1" x14ac:dyDescent="0.3">
      <c r="A48" s="627"/>
      <c r="B48" s="113" t="s">
        <v>75</v>
      </c>
      <c r="C48" s="114" t="s">
        <v>75</v>
      </c>
      <c r="D48" s="114" t="s">
        <v>75</v>
      </c>
      <c r="E48" s="115" t="s">
        <v>75</v>
      </c>
      <c r="F48" s="116" t="s">
        <v>75</v>
      </c>
      <c r="G48" s="116" t="s">
        <v>75</v>
      </c>
      <c r="H48" s="116" t="s">
        <v>75</v>
      </c>
      <c r="I48" s="116" t="s">
        <v>75</v>
      </c>
      <c r="J48" s="116" t="s">
        <v>75</v>
      </c>
      <c r="K48" s="116" t="s">
        <v>75</v>
      </c>
      <c r="L48" s="117" t="s">
        <v>127</v>
      </c>
    </row>
    <row r="49" spans="1:32" ht="13.8" thickTop="1" x14ac:dyDescent="0.25">
      <c r="A49" s="37">
        <v>1</v>
      </c>
      <c r="B49" s="38" t="s">
        <v>94</v>
      </c>
      <c r="C49" s="606" t="str">
        <f>'Datos Patrones'!Q7</f>
        <v>N/A</v>
      </c>
      <c r="D49" s="608" t="e">
        <f>'Datos Patrones'!Q7+'Datos Patrones'!Q8</f>
        <v>#VALUE!</v>
      </c>
      <c r="E49" s="612" t="str">
        <f>'Datos Patrones'!Q9</f>
        <v>N/A</v>
      </c>
      <c r="F49" s="414">
        <f>'NI-R01-MCIT-D-01'!D56</f>
        <v>0</v>
      </c>
      <c r="G49" s="414">
        <f>'NI-R01-MCIT-D-01'!E56</f>
        <v>0</v>
      </c>
      <c r="H49" s="414">
        <f>'NI-R01-MCIT-D-01'!F56</f>
        <v>0</v>
      </c>
      <c r="I49" s="414">
        <f>'NI-R01-MCIT-D-01'!G56</f>
        <v>0</v>
      </c>
      <c r="J49" s="414">
        <f>'NI-R01-MCIT-D-01'!H56</f>
        <v>0</v>
      </c>
      <c r="K49" s="47">
        <f t="shared" ref="K49:K54" si="10">AVERAGE(F49:J49)</f>
        <v>0</v>
      </c>
      <c r="L49" s="614">
        <f>(MAX(K49,K50)-MIN(K49,K50))*1000</f>
        <v>0</v>
      </c>
      <c r="P49" s="61">
        <f>Identificaciones!J43/(2*SQRT(3))</f>
        <v>2.8867513459481291E-2</v>
      </c>
      <c r="Q49" s="61" t="s">
        <v>175</v>
      </c>
    </row>
    <row r="50" spans="1:32" ht="13.8" thickBot="1" x14ac:dyDescent="0.3">
      <c r="A50" s="37">
        <v>2</v>
      </c>
      <c r="B50" s="38" t="s">
        <v>95</v>
      </c>
      <c r="C50" s="607"/>
      <c r="D50" s="609">
        <v>4.9989999999999997</v>
      </c>
      <c r="E50" s="613"/>
      <c r="F50" s="414">
        <f>'NI-R01-MCIT-D-01'!D57</f>
        <v>0</v>
      </c>
      <c r="G50" s="414">
        <f>'NI-R01-MCIT-D-01'!E57</f>
        <v>0</v>
      </c>
      <c r="H50" s="414">
        <f>'NI-R01-MCIT-D-01'!F57</f>
        <v>0</v>
      </c>
      <c r="I50" s="414">
        <f>'NI-R01-MCIT-D-01'!G57</f>
        <v>0</v>
      </c>
      <c r="J50" s="414">
        <f>'NI-R01-MCIT-D-01'!H57</f>
        <v>0</v>
      </c>
      <c r="K50" s="47">
        <f t="shared" si="10"/>
        <v>0</v>
      </c>
      <c r="L50" s="615"/>
      <c r="O50"/>
    </row>
    <row r="51" spans="1:32" ht="13.8" thickTop="1" x14ac:dyDescent="0.25">
      <c r="A51" s="37">
        <v>1</v>
      </c>
      <c r="B51" s="38" t="s">
        <v>94</v>
      </c>
      <c r="C51" s="616" t="str">
        <f>'Datos Patrones'!Q14</f>
        <v>N/A</v>
      </c>
      <c r="D51" s="608" t="e">
        <f>'Datos Patrones'!Q14+'Datos Patrones'!Q15</f>
        <v>#VALUE!</v>
      </c>
      <c r="E51" s="613" t="str">
        <f>'Datos Patrones'!Q16</f>
        <v>N/A</v>
      </c>
      <c r="F51" s="169"/>
      <c r="G51" s="169"/>
      <c r="H51" s="169"/>
      <c r="I51" s="169"/>
      <c r="J51" s="169"/>
      <c r="K51" s="47" t="e">
        <f t="shared" si="10"/>
        <v>#DIV/0!</v>
      </c>
      <c r="L51" s="610"/>
      <c r="O51" s="203"/>
    </row>
    <row r="52" spans="1:32" x14ac:dyDescent="0.25">
      <c r="A52" s="37">
        <v>2</v>
      </c>
      <c r="B52" s="38" t="s">
        <v>95</v>
      </c>
      <c r="C52" s="607"/>
      <c r="D52" s="609">
        <v>10.000023000000001</v>
      </c>
      <c r="E52" s="613"/>
      <c r="F52" s="169"/>
      <c r="G52" s="169"/>
      <c r="H52" s="169"/>
      <c r="I52" s="169"/>
      <c r="J52" s="169"/>
      <c r="K52" s="47" t="e">
        <f t="shared" si="10"/>
        <v>#DIV/0!</v>
      </c>
      <c r="L52" s="611"/>
      <c r="P52" s="61">
        <f>((IF(S52=1,MAX(AC70:AC74),IF(S52=2,MAX(AC88:AC92),IF(S52=3,MAX(AC107:AC111)," Error ")))))/(2*SQRT(3))</f>
        <v>8.6602540378443865E-2</v>
      </c>
      <c r="Q52" s="61" t="s">
        <v>175</v>
      </c>
      <c r="R52"/>
      <c r="S52" s="378">
        <v>2</v>
      </c>
      <c r="T52"/>
      <c r="U52"/>
      <c r="V52"/>
      <c r="W52"/>
      <c r="X52"/>
      <c r="Y52"/>
      <c r="Z52"/>
      <c r="AA52"/>
      <c r="AB52"/>
      <c r="AC52"/>
      <c r="AD52"/>
      <c r="AE52"/>
    </row>
    <row r="53" spans="1:32" x14ac:dyDescent="0.25">
      <c r="A53" s="37">
        <v>1</v>
      </c>
      <c r="B53" s="38" t="s">
        <v>94</v>
      </c>
      <c r="C53" s="616" t="str">
        <f>'Datos Patrones'!Q21</f>
        <v>N/A</v>
      </c>
      <c r="D53" s="603" t="e">
        <f>'Datos Patrones'!Q21+'Datos Patrones'!Q22</f>
        <v>#VALUE!</v>
      </c>
      <c r="E53" s="613" t="str">
        <f>'Datos Patrones'!Q23</f>
        <v>N/A</v>
      </c>
      <c r="F53" s="169"/>
      <c r="G53" s="169"/>
      <c r="H53" s="169"/>
      <c r="I53" s="169"/>
      <c r="J53" s="169"/>
      <c r="K53" s="47" t="e">
        <f t="shared" si="10"/>
        <v>#DIV/0!</v>
      </c>
      <c r="L53" s="610"/>
      <c r="R53"/>
      <c r="S53"/>
      <c r="T53"/>
      <c r="U53"/>
      <c r="V53"/>
      <c r="W53"/>
      <c r="X53" s="572" t="s">
        <v>41</v>
      </c>
      <c r="Y53" s="573"/>
      <c r="Z53" s="572" t="s">
        <v>587</v>
      </c>
      <c r="AA53" s="573"/>
      <c r="AB53" s="564" t="s">
        <v>588</v>
      </c>
      <c r="AC53" s="568" t="s">
        <v>589</v>
      </c>
      <c r="AD53" s="568"/>
      <c r="AE53" s="568"/>
    </row>
    <row r="54" spans="1:32" ht="30" thickBot="1" x14ac:dyDescent="0.3">
      <c r="A54" s="48">
        <v>2</v>
      </c>
      <c r="B54" s="44" t="s">
        <v>95</v>
      </c>
      <c r="C54" s="617"/>
      <c r="D54" s="637">
        <v>11.000023000000001</v>
      </c>
      <c r="E54" s="638"/>
      <c r="F54" s="169"/>
      <c r="G54" s="169"/>
      <c r="H54" s="169"/>
      <c r="I54" s="169"/>
      <c r="J54" s="169"/>
      <c r="K54" s="152" t="e">
        <f t="shared" si="10"/>
        <v>#DIV/0!</v>
      </c>
      <c r="L54" s="639"/>
      <c r="P54" s="61">
        <f>SQRT(SUMSQ(P44,P47,P49,P52))</f>
        <v>1.4297550792589164</v>
      </c>
      <c r="Q54" s="61" t="s">
        <v>175</v>
      </c>
      <c r="R54" s="184" t="s">
        <v>590</v>
      </c>
      <c r="S54" s="184" t="s">
        <v>591</v>
      </c>
      <c r="T54" s="184" t="s">
        <v>39</v>
      </c>
      <c r="U54" s="184" t="s">
        <v>592</v>
      </c>
      <c r="V54" s="184" t="s">
        <v>593</v>
      </c>
      <c r="W54" s="184" t="s">
        <v>594</v>
      </c>
      <c r="X54" s="184" t="s">
        <v>595</v>
      </c>
      <c r="Y54" s="184" t="s">
        <v>596</v>
      </c>
      <c r="Z54" s="184" t="s">
        <v>597</v>
      </c>
      <c r="AA54" s="184" t="s">
        <v>598</v>
      </c>
      <c r="AB54" s="565"/>
      <c r="AC54" s="564"/>
      <c r="AD54" s="564"/>
      <c r="AE54" s="564"/>
    </row>
    <row r="55" spans="1:32" ht="15" thickTop="1" x14ac:dyDescent="0.25">
      <c r="R55" s="185">
        <v>1</v>
      </c>
      <c r="S55" s="185" t="s">
        <v>600</v>
      </c>
      <c r="T55" s="412" t="s">
        <v>601</v>
      </c>
      <c r="U55" s="185">
        <v>50</v>
      </c>
      <c r="V55" s="185">
        <v>0.1</v>
      </c>
      <c r="W55" s="185">
        <v>0.1</v>
      </c>
      <c r="X55" s="185">
        <v>0.5</v>
      </c>
      <c r="Y55" s="185">
        <v>3</v>
      </c>
      <c r="Z55" s="401">
        <v>0.4</v>
      </c>
      <c r="AA55" s="401">
        <v>1.3</v>
      </c>
      <c r="AB55" s="402">
        <v>44839</v>
      </c>
      <c r="AC55" s="574" t="s">
        <v>1365</v>
      </c>
      <c r="AD55" s="575"/>
      <c r="AE55" s="576"/>
      <c r="AF55" s="403"/>
    </row>
    <row r="56" spans="1:32" ht="14.4" x14ac:dyDescent="0.25">
      <c r="R56" s="185">
        <v>2</v>
      </c>
      <c r="S56" s="185" t="s">
        <v>823</v>
      </c>
      <c r="T56" s="185" t="s">
        <v>599</v>
      </c>
      <c r="U56" s="185">
        <v>60</v>
      </c>
      <c r="V56" s="185">
        <v>0.1</v>
      </c>
      <c r="W56" s="185">
        <v>0.1</v>
      </c>
      <c r="X56" s="185">
        <v>0.5</v>
      </c>
      <c r="Y56" s="185">
        <v>2.5</v>
      </c>
      <c r="Z56" s="401">
        <v>0.4</v>
      </c>
      <c r="AA56" s="401">
        <v>2.2000000000000002</v>
      </c>
      <c r="AB56" s="402">
        <v>44839</v>
      </c>
      <c r="AC56" s="574" t="s">
        <v>1366</v>
      </c>
      <c r="AD56" s="575"/>
      <c r="AE56" s="576"/>
      <c r="AF56" s="403"/>
    </row>
    <row r="57" spans="1:32" ht="14.4" x14ac:dyDescent="0.25">
      <c r="R57" s="185">
        <v>3</v>
      </c>
      <c r="S57" s="185" t="s">
        <v>825</v>
      </c>
      <c r="T57" s="412" t="s">
        <v>1368</v>
      </c>
      <c r="U57" s="185">
        <v>50</v>
      </c>
      <c r="V57" s="185">
        <v>0.1</v>
      </c>
      <c r="W57" s="185">
        <v>0.1</v>
      </c>
      <c r="X57" s="185">
        <v>0.8</v>
      </c>
      <c r="Y57" s="185">
        <v>2.8</v>
      </c>
      <c r="Z57" s="401">
        <v>0.4</v>
      </c>
      <c r="AA57" s="401">
        <v>1.6</v>
      </c>
      <c r="AB57" s="415">
        <v>44839</v>
      </c>
      <c r="AC57" s="574" t="s">
        <v>1369</v>
      </c>
      <c r="AD57" s="575"/>
      <c r="AE57" s="576"/>
    </row>
    <row r="58" spans="1:32" ht="26.4" x14ac:dyDescent="0.3">
      <c r="B58" s="45" t="s">
        <v>97</v>
      </c>
      <c r="C58" s="46" t="str">
        <f>+C49</f>
        <v>N/A</v>
      </c>
      <c r="D58" s="46" t="str">
        <f>+C51</f>
        <v>N/A</v>
      </c>
      <c r="E58" s="46" t="str">
        <f>+C53</f>
        <v>N/A</v>
      </c>
      <c r="R58" s="185">
        <v>4</v>
      </c>
      <c r="S58" s="404" t="s">
        <v>823</v>
      </c>
      <c r="T58" s="404" t="s">
        <v>599</v>
      </c>
      <c r="U58" s="404">
        <v>60</v>
      </c>
      <c r="V58" s="404">
        <v>0.1</v>
      </c>
      <c r="W58" s="404">
        <v>0.1</v>
      </c>
      <c r="X58" s="404">
        <v>0.5</v>
      </c>
      <c r="Y58" s="404">
        <v>2.5</v>
      </c>
      <c r="Z58" s="405">
        <v>0.5</v>
      </c>
      <c r="AA58" s="405">
        <v>3.8</v>
      </c>
      <c r="AB58" s="406">
        <v>43227</v>
      </c>
      <c r="AC58" s="407" t="s">
        <v>824</v>
      </c>
      <c r="AD58" s="408"/>
      <c r="AE58" s="409"/>
    </row>
    <row r="59" spans="1:32" ht="18" customHeight="1" x14ac:dyDescent="0.25">
      <c r="B59" s="76">
        <v>1</v>
      </c>
      <c r="R59" s="185">
        <v>5</v>
      </c>
      <c r="S59" s="404" t="s">
        <v>825</v>
      </c>
      <c r="T59" s="404" t="s">
        <v>826</v>
      </c>
      <c r="U59" s="404">
        <v>60</v>
      </c>
      <c r="V59" s="404">
        <v>0.1</v>
      </c>
      <c r="W59" s="404">
        <v>0.1</v>
      </c>
      <c r="X59" s="404">
        <v>0.8</v>
      </c>
      <c r="Y59" s="404">
        <v>4.2</v>
      </c>
      <c r="Z59" s="405">
        <v>0.45</v>
      </c>
      <c r="AA59" s="405">
        <v>3.1</v>
      </c>
      <c r="AB59" s="410">
        <v>43228</v>
      </c>
      <c r="AC59" s="407" t="s">
        <v>827</v>
      </c>
      <c r="AD59" s="411"/>
      <c r="AE59" s="411"/>
    </row>
    <row r="60" spans="1:32" ht="12.75" customHeight="1" x14ac:dyDescent="0.25">
      <c r="B60" s="76"/>
      <c r="R60" s="185">
        <v>6</v>
      </c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2" x14ac:dyDescent="0.25">
      <c r="R61" s="185">
        <v>7</v>
      </c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</row>
    <row r="62" spans="1:32" x14ac:dyDescent="0.25">
      <c r="R62" s="185">
        <v>8</v>
      </c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</row>
    <row r="63" spans="1:32" x14ac:dyDescent="0.25">
      <c r="A63" s="14"/>
      <c r="B63" s="571" t="s">
        <v>133</v>
      </c>
      <c r="C63" s="571"/>
      <c r="D63" s="571"/>
      <c r="E63" s="571"/>
      <c r="F63" s="571"/>
      <c r="G63" s="571"/>
      <c r="H63" s="571"/>
      <c r="I63" s="571"/>
      <c r="J63" s="571"/>
      <c r="K63" s="571"/>
      <c r="L63" s="571"/>
      <c r="M63" s="571"/>
      <c r="O63" s="14"/>
      <c r="P63" s="571"/>
      <c r="Q63" s="571"/>
      <c r="R63" s="571"/>
      <c r="S63" s="571"/>
      <c r="T63" s="571"/>
      <c r="U63" s="571"/>
      <c r="V63" s="571"/>
      <c r="W63" s="571"/>
      <c r="X63" s="571"/>
      <c r="Y63" s="571"/>
      <c r="Z63" s="571"/>
      <c r="AA63" s="571"/>
    </row>
    <row r="64" spans="1:32" ht="13.8" thickBo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9" ht="13.8" thickTop="1" x14ac:dyDescent="0.25">
      <c r="A65" s="625" t="s">
        <v>60</v>
      </c>
      <c r="B65" s="593" t="s">
        <v>134</v>
      </c>
      <c r="C65" s="628"/>
      <c r="D65" s="594"/>
      <c r="E65" s="632" t="s">
        <v>135</v>
      </c>
      <c r="F65" s="633"/>
      <c r="G65" s="633"/>
      <c r="H65" s="633"/>
      <c r="I65" s="633"/>
      <c r="J65" s="633"/>
      <c r="K65" s="634"/>
      <c r="L65" s="632" t="s">
        <v>173</v>
      </c>
      <c r="M65" s="634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 spans="1:29" ht="21" x14ac:dyDescent="0.4">
      <c r="A66" s="626"/>
      <c r="B66" s="629"/>
      <c r="C66" s="630"/>
      <c r="D66" s="631"/>
      <c r="E66" s="635" t="s">
        <v>12</v>
      </c>
      <c r="F66" s="636"/>
      <c r="G66" s="636"/>
      <c r="H66" s="636"/>
      <c r="I66" s="636"/>
      <c r="J66" s="126" t="s">
        <v>13</v>
      </c>
      <c r="K66" s="15" t="s">
        <v>14</v>
      </c>
      <c r="L66" s="155" t="s">
        <v>37</v>
      </c>
      <c r="M66" s="15" t="s">
        <v>15</v>
      </c>
      <c r="O66" s="149"/>
      <c r="P66" s="149"/>
      <c r="Q66" s="149"/>
      <c r="R66" s="149"/>
      <c r="S66" s="554" t="s">
        <v>600</v>
      </c>
      <c r="T66" s="554"/>
      <c r="U66" s="554"/>
      <c r="V66" s="554"/>
      <c r="W66" s="554"/>
      <c r="X66" s="201"/>
      <c r="Y66" s="201"/>
      <c r="Z66" s="201"/>
      <c r="AA66" s="201"/>
    </row>
    <row r="67" spans="1:29" ht="15.6" x14ac:dyDescent="0.3">
      <c r="A67" s="626"/>
      <c r="B67" s="16" t="s">
        <v>16</v>
      </c>
      <c r="C67" s="17" t="s">
        <v>690</v>
      </c>
      <c r="D67" s="18" t="s">
        <v>182</v>
      </c>
      <c r="E67" s="19" t="s">
        <v>18</v>
      </c>
      <c r="F67" s="16" t="s">
        <v>19</v>
      </c>
      <c r="G67" s="16" t="s">
        <v>128</v>
      </c>
      <c r="H67" s="16" t="s">
        <v>129</v>
      </c>
      <c r="I67" s="16" t="s">
        <v>130</v>
      </c>
      <c r="J67" s="16" t="s">
        <v>20</v>
      </c>
      <c r="K67" s="49" t="s">
        <v>21</v>
      </c>
      <c r="L67" s="19" t="s">
        <v>22</v>
      </c>
      <c r="M67" s="20" t="s">
        <v>23</v>
      </c>
      <c r="O67" s="149"/>
      <c r="P67" s="149"/>
      <c r="Q67" s="149"/>
      <c r="R67" s="81"/>
      <c r="S67"/>
      <c r="T67" s="569" t="s">
        <v>602</v>
      </c>
      <c r="U67" s="569"/>
      <c r="V67" s="569"/>
      <c r="W67" s="569"/>
      <c r="X67" s="149"/>
      <c r="Y67" s="82"/>
      <c r="Z67" s="149"/>
      <c r="AA67" s="149"/>
    </row>
    <row r="68" spans="1:29" ht="40.200000000000003" thickBot="1" x14ac:dyDescent="0.3">
      <c r="A68" s="627"/>
      <c r="B68" s="22" t="s">
        <v>75</v>
      </c>
      <c r="C68" s="23" t="s">
        <v>75</v>
      </c>
      <c r="D68" s="24" t="s">
        <v>24</v>
      </c>
      <c r="E68" s="154" t="s">
        <v>75</v>
      </c>
      <c r="F68" s="12" t="s">
        <v>75</v>
      </c>
      <c r="G68" s="12" t="s">
        <v>75</v>
      </c>
      <c r="H68" s="12" t="s">
        <v>75</v>
      </c>
      <c r="I68" s="12" t="s">
        <v>75</v>
      </c>
      <c r="J68" s="12" t="s">
        <v>75</v>
      </c>
      <c r="K68" s="25" t="s">
        <v>75</v>
      </c>
      <c r="L68" s="154" t="s">
        <v>127</v>
      </c>
      <c r="M68" s="25" t="s">
        <v>127</v>
      </c>
      <c r="N68" s="85"/>
      <c r="O68" s="149"/>
      <c r="P68" s="63"/>
      <c r="Q68" s="63"/>
      <c r="R68" s="81"/>
      <c r="S68"/>
      <c r="T68" s="188" t="s">
        <v>603</v>
      </c>
      <c r="U68" s="189" t="s">
        <v>35</v>
      </c>
      <c r="V68" s="190" t="s">
        <v>604</v>
      </c>
      <c r="W68" s="190" t="s">
        <v>605</v>
      </c>
      <c r="X68" s="149"/>
      <c r="Y68" s="149"/>
      <c r="Z68" s="149"/>
      <c r="AA68" s="553" t="s">
        <v>1370</v>
      </c>
      <c r="AB68" s="553"/>
      <c r="AC68" s="553"/>
    </row>
    <row r="69" spans="1:29" ht="13.8" thickTop="1" x14ac:dyDescent="0.25">
      <c r="A69" s="37">
        <v>1</v>
      </c>
      <c r="B69" s="50">
        <f>'Datos Patrones'!X7</f>
        <v>0</v>
      </c>
      <c r="C69" s="51">
        <f>'Datos Patrones'!X7+'Datos Patrones'!X8/1000</f>
        <v>0</v>
      </c>
      <c r="D69" s="340">
        <f>SQRT(SUMSQ('Datos Patrones'!X9:X10))</f>
        <v>0</v>
      </c>
      <c r="E69" s="281">
        <f>'NI-R01-MCIT-D-01'!C72</f>
        <v>0</v>
      </c>
      <c r="F69" s="281">
        <f>'NI-R01-MCIT-D-01'!D72</f>
        <v>0</v>
      </c>
      <c r="G69" s="281">
        <f>'NI-R01-MCIT-D-01'!E72</f>
        <v>0</v>
      </c>
      <c r="H69" s="281">
        <f>'NI-R01-MCIT-D-01'!F72</f>
        <v>0</v>
      </c>
      <c r="I69" s="281">
        <f>'NI-R01-MCIT-D-01'!G72</f>
        <v>0</v>
      </c>
      <c r="J69" s="120">
        <f t="shared" ref="J69:J74" si="11">AVERAGE(E69:I69)</f>
        <v>0</v>
      </c>
      <c r="K69" s="121">
        <f t="shared" ref="K69:K74" si="12">STDEV(E69:I69)</f>
        <v>0</v>
      </c>
      <c r="L69" s="52">
        <f t="shared" ref="L69:L74" si="13">(J69-C69)*1000</f>
        <v>0</v>
      </c>
      <c r="M69" s="89">
        <f t="shared" ref="M69:M74" si="14">(K69/SQRT(5))*1000</f>
        <v>0</v>
      </c>
      <c r="N69" s="76"/>
      <c r="O69" s="83"/>
      <c r="P69" s="66"/>
      <c r="Q69" s="84"/>
      <c r="R69" s="65"/>
      <c r="S69"/>
      <c r="T69" s="191">
        <f>VLOOKUP(U69,T75:W81,4,FALSE)</f>
        <v>2</v>
      </c>
      <c r="U69" s="192">
        <f>VLOOKUP(U70,T75:V81,1,TRUE)</f>
        <v>19.98</v>
      </c>
      <c r="V69" s="193">
        <f>VLOOKUP(U69,T75:V81,2,FALSE)</f>
        <v>0.26</v>
      </c>
      <c r="W69" s="193">
        <f>VLOOKUP(U69,T75:V81,3,FALSE)</f>
        <v>0.24</v>
      </c>
      <c r="X69" s="65"/>
      <c r="Y69" s="65"/>
      <c r="Z69" s="64"/>
      <c r="AA69" s="423" t="s">
        <v>1371</v>
      </c>
      <c r="AB69" s="423" t="s">
        <v>1372</v>
      </c>
      <c r="AC69" s="423" t="s">
        <v>1373</v>
      </c>
    </row>
    <row r="70" spans="1:29" x14ac:dyDescent="0.25">
      <c r="A70" s="37">
        <v>2</v>
      </c>
      <c r="B70" s="50">
        <f>'Datos Patrones'!X15</f>
        <v>0</v>
      </c>
      <c r="C70" s="51">
        <f>'Datos Patrones'!X15+'Datos Patrones'!X16/1000</f>
        <v>0</v>
      </c>
      <c r="D70" s="341">
        <f>SQRT(SUMSQ('Datos Patrones'!X17:X18))</f>
        <v>0</v>
      </c>
      <c r="E70" s="281">
        <f>'NI-R01-MCIT-D-01'!C73</f>
        <v>0</v>
      </c>
      <c r="F70" s="281">
        <f>'NI-R01-MCIT-D-01'!D73</f>
        <v>0</v>
      </c>
      <c r="G70" s="281">
        <f>'NI-R01-MCIT-D-01'!E73</f>
        <v>0</v>
      </c>
      <c r="H70" s="281">
        <f>'NI-R01-MCIT-D-01'!F73</f>
        <v>0</v>
      </c>
      <c r="I70" s="281">
        <f>'NI-R01-MCIT-D-01'!G73</f>
        <v>0</v>
      </c>
      <c r="J70" s="122">
        <f t="shared" si="11"/>
        <v>0</v>
      </c>
      <c r="K70" s="123">
        <f t="shared" si="12"/>
        <v>0</v>
      </c>
      <c r="L70" s="53">
        <f t="shared" si="13"/>
        <v>0</v>
      </c>
      <c r="M70" s="90">
        <f t="shared" si="14"/>
        <v>0</v>
      </c>
      <c r="N70" s="76"/>
      <c r="O70" s="83"/>
      <c r="P70" s="66"/>
      <c r="Q70" s="84"/>
      <c r="R70" s="65"/>
      <c r="S70"/>
      <c r="T70" s="192"/>
      <c r="U70" s="194">
        <f>AVERAGE(Identificaciones!B44:E44)</f>
        <v>22.35</v>
      </c>
      <c r="V70" s="413">
        <f>(V71-V69)/(U71-U69)*(U70-U69)+V69</f>
        <v>9.8839999999999928E-2</v>
      </c>
      <c r="W70" s="195">
        <f>(W71-W69)/(U71-U69)*(U70-U69)+W69</f>
        <v>0.23526</v>
      </c>
      <c r="X70" s="65"/>
      <c r="Y70" s="65"/>
      <c r="Z70" s="64"/>
      <c r="AA70" s="424">
        <v>-0.18</v>
      </c>
      <c r="AB70" s="424">
        <v>-0.4</v>
      </c>
      <c r="AC70" s="425">
        <f>ABS(AB70-AA70)</f>
        <v>0.22000000000000003</v>
      </c>
    </row>
    <row r="71" spans="1:29" x14ac:dyDescent="0.25">
      <c r="A71" s="37">
        <v>3</v>
      </c>
      <c r="B71" s="50">
        <f>'Datos Patrones'!X23</f>
        <v>0</v>
      </c>
      <c r="C71" s="51">
        <f>'Datos Patrones'!X23+'Datos Patrones'!X24/1000</f>
        <v>0</v>
      </c>
      <c r="D71" s="342">
        <f>SQRT(SUMSQ('Datos Patrones'!X25:X26))</f>
        <v>0</v>
      </c>
      <c r="E71" s="281">
        <f>'NI-R01-MCIT-D-01'!C74</f>
        <v>0</v>
      </c>
      <c r="F71" s="281">
        <f>'NI-R01-MCIT-D-01'!D74</f>
        <v>0</v>
      </c>
      <c r="G71" s="281">
        <f>'NI-R01-MCIT-D-01'!E74</f>
        <v>0</v>
      </c>
      <c r="H71" s="281">
        <f>'NI-R01-MCIT-D-01'!F74</f>
        <v>0</v>
      </c>
      <c r="I71" s="281">
        <f>'NI-R01-MCIT-D-01'!G74</f>
        <v>0</v>
      </c>
      <c r="J71" s="122">
        <f t="shared" si="11"/>
        <v>0</v>
      </c>
      <c r="K71" s="123">
        <f t="shared" si="12"/>
        <v>0</v>
      </c>
      <c r="L71" s="53">
        <f t="shared" si="13"/>
        <v>0</v>
      </c>
      <c r="M71" s="90">
        <f t="shared" si="14"/>
        <v>0</v>
      </c>
      <c r="N71" s="76"/>
      <c r="O71" s="83"/>
      <c r="P71" s="66"/>
      <c r="Q71" s="84"/>
      <c r="R71" s="65"/>
      <c r="S71"/>
      <c r="T71" s="191">
        <f>T69+1</f>
        <v>3</v>
      </c>
      <c r="U71" s="192">
        <f>VLOOKUP(T69+1,S75:W81,2,FALSE)</f>
        <v>24.98</v>
      </c>
      <c r="V71" s="193">
        <f>VLOOKUP(U71,T75:W81,2,FALSE)</f>
        <v>-0.08</v>
      </c>
      <c r="W71" s="193">
        <f>VLOOKUP(U71,T75:W81,3,FALSE)</f>
        <v>0.23</v>
      </c>
      <c r="X71" s="65"/>
      <c r="Y71" s="65"/>
      <c r="Z71" s="64"/>
      <c r="AA71" s="424">
        <v>0.1</v>
      </c>
      <c r="AB71" s="424">
        <v>-0.26</v>
      </c>
      <c r="AC71" s="425">
        <f t="shared" ref="AC71:AC74" si="15">ABS(AB71-AA71)</f>
        <v>0.36</v>
      </c>
    </row>
    <row r="72" spans="1:29" x14ac:dyDescent="0.25">
      <c r="A72" s="37">
        <v>4</v>
      </c>
      <c r="B72" s="50">
        <f>'Datos Patrones'!X31</f>
        <v>0</v>
      </c>
      <c r="C72" s="51">
        <f>'Datos Patrones'!X31+'Datos Patrones'!X32/1000</f>
        <v>0</v>
      </c>
      <c r="D72" s="342">
        <f>SQRT(SUMSQ('Datos Patrones'!X33:X34))</f>
        <v>0</v>
      </c>
      <c r="E72" s="281">
        <f>'NI-R01-MCIT-D-01'!C75</f>
        <v>0</v>
      </c>
      <c r="F72" s="281">
        <f>'NI-R01-MCIT-D-01'!D75</f>
        <v>0</v>
      </c>
      <c r="G72" s="281">
        <f>'NI-R01-MCIT-D-01'!E75</f>
        <v>0</v>
      </c>
      <c r="H72" s="281">
        <f>'NI-R01-MCIT-D-01'!F75</f>
        <v>0</v>
      </c>
      <c r="I72" s="281">
        <f>'NI-R01-MCIT-D-01'!G75</f>
        <v>0</v>
      </c>
      <c r="J72" s="122">
        <f t="shared" si="11"/>
        <v>0</v>
      </c>
      <c r="K72" s="123">
        <f t="shared" si="12"/>
        <v>0</v>
      </c>
      <c r="L72" s="53">
        <f t="shared" si="13"/>
        <v>0</v>
      </c>
      <c r="M72" s="90">
        <f t="shared" si="14"/>
        <v>0</v>
      </c>
      <c r="N72" s="76"/>
      <c r="O72" s="83"/>
      <c r="P72" s="66"/>
      <c r="Q72" s="84"/>
      <c r="R72" s="65"/>
      <c r="S72"/>
      <c r="T72" s="187"/>
      <c r="U72" s="187"/>
      <c r="V72" s="187"/>
      <c r="W72" s="187"/>
      <c r="X72" s="65"/>
      <c r="Y72" s="65"/>
      <c r="Z72" s="64"/>
      <c r="AA72" s="424">
        <v>0.12</v>
      </c>
      <c r="AB72" s="424">
        <v>0.08</v>
      </c>
      <c r="AC72" s="425">
        <f t="shared" si="15"/>
        <v>3.9999999999999994E-2</v>
      </c>
    </row>
    <row r="73" spans="1:29" ht="15.6" x14ac:dyDescent="0.3">
      <c r="A73" s="37">
        <v>5</v>
      </c>
      <c r="B73" s="50">
        <f>'Datos Patrones'!X39</f>
        <v>0</v>
      </c>
      <c r="C73" s="51">
        <f>'Datos Patrones'!X39+'Datos Patrones'!X40/1000</f>
        <v>0</v>
      </c>
      <c r="D73" s="342">
        <f>SQRT(SUMSQ('Datos Patrones'!X41:X42))</f>
        <v>0</v>
      </c>
      <c r="E73" s="281">
        <f>'NI-R01-MCIT-D-01'!C76</f>
        <v>0</v>
      </c>
      <c r="F73" s="281">
        <f>'NI-R01-MCIT-D-01'!D76</f>
        <v>0</v>
      </c>
      <c r="G73" s="281">
        <f>'NI-R01-MCIT-D-01'!E76</f>
        <v>0</v>
      </c>
      <c r="H73" s="281">
        <f>'NI-R01-MCIT-D-01'!F76</f>
        <v>0</v>
      </c>
      <c r="I73" s="281">
        <f>'NI-R01-MCIT-D-01'!G76</f>
        <v>0</v>
      </c>
      <c r="J73" s="122">
        <f t="shared" si="11"/>
        <v>0</v>
      </c>
      <c r="K73" s="123">
        <f t="shared" si="12"/>
        <v>0</v>
      </c>
      <c r="L73" s="53">
        <f t="shared" si="13"/>
        <v>0</v>
      </c>
      <c r="M73" s="90">
        <f t="shared" si="14"/>
        <v>0</v>
      </c>
      <c r="N73" s="76"/>
      <c r="O73" s="83"/>
      <c r="P73" s="66"/>
      <c r="Q73" s="84"/>
      <c r="R73" s="65"/>
      <c r="S73" s="570" t="s">
        <v>601</v>
      </c>
      <c r="T73" s="570"/>
      <c r="U73" s="570"/>
      <c r="V73" s="570"/>
      <c r="W73" s="570"/>
      <c r="X73" s="65"/>
      <c r="Y73" s="65"/>
      <c r="Z73" s="64"/>
      <c r="AA73" s="424">
        <v>0.34</v>
      </c>
      <c r="AB73" s="424">
        <v>0.14000000000000001</v>
      </c>
      <c r="AC73" s="425">
        <f t="shared" si="15"/>
        <v>0.2</v>
      </c>
    </row>
    <row r="74" spans="1:29" ht="26.4" x14ac:dyDescent="0.25">
      <c r="A74" s="37">
        <v>6</v>
      </c>
      <c r="B74" s="50">
        <f>'Datos Patrones'!X47</f>
        <v>0</v>
      </c>
      <c r="C74" s="51">
        <f>'Datos Patrones'!X47+'Datos Patrones'!X48/1000</f>
        <v>0</v>
      </c>
      <c r="D74" s="342">
        <f>SQRT(SUMSQ('Datos Patrones'!X49:X50))</f>
        <v>0</v>
      </c>
      <c r="E74" s="281">
        <f>'NI-R01-MCIT-D-01'!C77</f>
        <v>0</v>
      </c>
      <c r="F74" s="281">
        <f>'NI-R01-MCIT-D-01'!D77</f>
        <v>0</v>
      </c>
      <c r="G74" s="281">
        <f>'NI-R01-MCIT-D-01'!E77</f>
        <v>0</v>
      </c>
      <c r="H74" s="281">
        <f>'NI-R01-MCIT-D-01'!F77</f>
        <v>0</v>
      </c>
      <c r="I74" s="281">
        <f>'NI-R01-MCIT-D-01'!G77</f>
        <v>0</v>
      </c>
      <c r="J74" s="122">
        <f t="shared" si="11"/>
        <v>0</v>
      </c>
      <c r="K74" s="123">
        <f t="shared" si="12"/>
        <v>0</v>
      </c>
      <c r="L74" s="53">
        <f t="shared" si="13"/>
        <v>0</v>
      </c>
      <c r="M74" s="90">
        <f t="shared" si="14"/>
        <v>0</v>
      </c>
      <c r="N74" s="76"/>
      <c r="O74" s="83"/>
      <c r="P74" s="66"/>
      <c r="Q74" s="84"/>
      <c r="R74" s="65"/>
      <c r="S74" s="196"/>
      <c r="T74" s="190" t="s">
        <v>35</v>
      </c>
      <c r="U74" s="190" t="s">
        <v>604</v>
      </c>
      <c r="V74" s="190" t="s">
        <v>15</v>
      </c>
      <c r="W74" s="196"/>
      <c r="X74" s="65"/>
      <c r="Y74" s="65"/>
      <c r="Z74" s="64"/>
      <c r="AA74" s="424">
        <v>0.68</v>
      </c>
      <c r="AB74" s="424">
        <v>0.2</v>
      </c>
      <c r="AC74" s="425">
        <f t="shared" si="15"/>
        <v>0.48000000000000004</v>
      </c>
    </row>
    <row r="75" spans="1:29" x14ac:dyDescent="0.25">
      <c r="N75" s="76"/>
      <c r="O75" s="83"/>
      <c r="P75" s="66"/>
      <c r="Q75" s="84"/>
      <c r="R75" s="65"/>
      <c r="S75" s="197">
        <v>1</v>
      </c>
      <c r="T75" s="198">
        <v>15.1</v>
      </c>
      <c r="U75" s="198">
        <v>0.4</v>
      </c>
      <c r="V75" s="198">
        <v>0.23</v>
      </c>
      <c r="W75" s="197">
        <v>1</v>
      </c>
      <c r="X75" s="65"/>
      <c r="Y75" s="65"/>
      <c r="Z75" s="64"/>
      <c r="AA75" s="66"/>
    </row>
    <row r="76" spans="1:29" x14ac:dyDescent="0.25">
      <c r="C76" s="151"/>
      <c r="N76" s="76"/>
      <c r="O76" s="83"/>
      <c r="P76" s="66"/>
      <c r="Q76" s="84"/>
      <c r="R76" s="65"/>
      <c r="S76" s="197">
        <v>2</v>
      </c>
      <c r="T76" s="198">
        <v>19.98</v>
      </c>
      <c r="U76" s="198">
        <v>0.26</v>
      </c>
      <c r="V76" s="198">
        <v>0.24</v>
      </c>
      <c r="W76" s="197">
        <v>2</v>
      </c>
      <c r="X76" s="65"/>
      <c r="Y76" s="65"/>
      <c r="Z76" s="64"/>
      <c r="AA76" s="66"/>
    </row>
    <row r="77" spans="1:29" x14ac:dyDescent="0.25">
      <c r="N77" s="76"/>
      <c r="O77" s="83"/>
      <c r="P77" s="66"/>
      <c r="Q77" s="84"/>
      <c r="R77" s="65"/>
      <c r="S77" s="197">
        <v>3</v>
      </c>
      <c r="T77" s="198">
        <v>24.98</v>
      </c>
      <c r="U77" s="198">
        <v>-0.08</v>
      </c>
      <c r="V77" s="198">
        <v>0.23</v>
      </c>
      <c r="W77" s="197">
        <v>3</v>
      </c>
      <c r="X77" s="65"/>
      <c r="Y77" s="65"/>
      <c r="Z77" s="64"/>
      <c r="AA77" s="66"/>
    </row>
    <row r="78" spans="1:29" x14ac:dyDescent="0.25">
      <c r="N78" s="76"/>
      <c r="O78" s="83"/>
      <c r="P78" s="66"/>
      <c r="Q78" s="84"/>
      <c r="R78" s="65"/>
      <c r="S78" s="197">
        <v>4</v>
      </c>
      <c r="T78" s="198">
        <v>29.94</v>
      </c>
      <c r="U78" s="198">
        <v>-0.14000000000000001</v>
      </c>
      <c r="V78" s="198">
        <v>0.24</v>
      </c>
      <c r="W78" s="197">
        <v>4</v>
      </c>
      <c r="X78" s="65"/>
      <c r="Y78" s="65"/>
      <c r="Z78" s="64"/>
      <c r="AA78" s="66"/>
    </row>
    <row r="79" spans="1:29" x14ac:dyDescent="0.25">
      <c r="P79" s="202"/>
      <c r="S79" s="197">
        <v>5</v>
      </c>
      <c r="T79" s="198">
        <v>35</v>
      </c>
      <c r="U79" s="198">
        <v>-0.2</v>
      </c>
      <c r="V79" s="198">
        <v>0.24</v>
      </c>
      <c r="W79" s="197">
        <v>5</v>
      </c>
    </row>
    <row r="80" spans="1:29" x14ac:dyDescent="0.25">
      <c r="P80" s="202"/>
      <c r="S80" s="197">
        <v>6</v>
      </c>
      <c r="T80" s="198"/>
      <c r="U80" s="198"/>
      <c r="V80" s="198"/>
      <c r="W80" s="197">
        <v>6</v>
      </c>
    </row>
    <row r="81" spans="2:29" x14ac:dyDescent="0.25">
      <c r="P81" s="202"/>
      <c r="S81" s="197">
        <v>7</v>
      </c>
      <c r="T81" s="198"/>
      <c r="U81" s="198"/>
      <c r="V81" s="198"/>
      <c r="W81" s="197">
        <v>7</v>
      </c>
    </row>
    <row r="82" spans="2:29" ht="26.4" x14ac:dyDescent="0.25">
      <c r="B82" s="45" t="s">
        <v>97</v>
      </c>
      <c r="C82" s="54">
        <f>B69</f>
        <v>0</v>
      </c>
      <c r="D82" s="54">
        <f>B70</f>
        <v>0</v>
      </c>
      <c r="E82" s="54">
        <f>B71</f>
        <v>0</v>
      </c>
      <c r="F82" s="54">
        <f>B72</f>
        <v>0</v>
      </c>
      <c r="G82" s="54">
        <f>B73</f>
        <v>0</v>
      </c>
      <c r="H82" s="54">
        <f>B74</f>
        <v>0</v>
      </c>
      <c r="S82"/>
      <c r="T82" s="187"/>
      <c r="U82" s="187"/>
      <c r="V82" s="187"/>
      <c r="W82" s="187"/>
    </row>
    <row r="83" spans="2:29" ht="18" customHeight="1" x14ac:dyDescent="0.4">
      <c r="B83" s="76">
        <v>1</v>
      </c>
      <c r="O83" s="158"/>
      <c r="S83" s="554" t="s">
        <v>823</v>
      </c>
      <c r="T83" s="554"/>
      <c r="U83" s="554"/>
      <c r="V83" s="554"/>
      <c r="W83" s="554"/>
    </row>
    <row r="84" spans="2:29" ht="18" customHeight="1" x14ac:dyDescent="0.25">
      <c r="B84" s="76">
        <v>2</v>
      </c>
      <c r="O84" s="158"/>
      <c r="S84" s="197"/>
      <c r="T84" s="187"/>
      <c r="U84" s="187"/>
      <c r="V84" s="187"/>
      <c r="W84" s="187"/>
    </row>
    <row r="85" spans="2:29" ht="18" customHeight="1" x14ac:dyDescent="0.3">
      <c r="B85" s="76">
        <v>3</v>
      </c>
      <c r="O85" s="158"/>
      <c r="S85" s="197"/>
      <c r="T85" s="199" t="s">
        <v>602</v>
      </c>
      <c r="U85" s="199"/>
      <c r="V85" s="199"/>
      <c r="W85" s="199"/>
    </row>
    <row r="86" spans="2:29" ht="39.6" x14ac:dyDescent="0.25">
      <c r="B86" s="76">
        <v>4</v>
      </c>
      <c r="S86" s="197"/>
      <c r="T86" s="188" t="s">
        <v>603</v>
      </c>
      <c r="U86" s="189" t="s">
        <v>35</v>
      </c>
      <c r="V86" s="190" t="s">
        <v>604</v>
      </c>
      <c r="W86" s="188" t="s">
        <v>605</v>
      </c>
      <c r="AA86" s="553" t="s">
        <v>1374</v>
      </c>
      <c r="AB86" s="553"/>
      <c r="AC86" s="553"/>
    </row>
    <row r="87" spans="2:29" x14ac:dyDescent="0.25">
      <c r="S87" s="197"/>
      <c r="T87" s="191">
        <f>VLOOKUP(U87,T93:W99,4,FALSE)</f>
        <v>2</v>
      </c>
      <c r="U87" s="192">
        <f>VLOOKUP(U88,T93:V99,1,TRUE)</f>
        <v>19.98</v>
      </c>
      <c r="V87" s="193">
        <f>VLOOKUP(U87,T93:V99,2,FALSE)</f>
        <v>0.16</v>
      </c>
      <c r="W87" s="193">
        <f>VLOOKUP(U87,T93:V99,3,FALSE)</f>
        <v>0.24</v>
      </c>
      <c r="AA87" s="423" t="s">
        <v>1371</v>
      </c>
      <c r="AB87" s="423" t="s">
        <v>1372</v>
      </c>
      <c r="AC87" s="423" t="s">
        <v>1373</v>
      </c>
    </row>
    <row r="88" spans="2:29" x14ac:dyDescent="0.25">
      <c r="S88" s="197"/>
      <c r="T88" s="192"/>
      <c r="U88" s="194">
        <f>AVERAGE(Identificaciones!B44:E44)</f>
        <v>22.35</v>
      </c>
      <c r="V88" s="195">
        <f>(V89-V87)/(U89-U87)*(U88-U87)+V87</f>
        <v>0.11259999999999998</v>
      </c>
      <c r="W88" s="195">
        <f>(W89-W87)/(U89-U87)*(U88-U87)+W87</f>
        <v>0.23526</v>
      </c>
      <c r="AA88" s="424">
        <v>-0.38</v>
      </c>
      <c r="AB88" s="424">
        <v>-0.1</v>
      </c>
      <c r="AC88" s="425">
        <f t="shared" ref="AC88:AC92" si="16">ABS(AB88-AA88)</f>
        <v>0.28000000000000003</v>
      </c>
    </row>
    <row r="89" spans="2:29" x14ac:dyDescent="0.25">
      <c r="S89" s="197"/>
      <c r="T89" s="191">
        <f>T87+1</f>
        <v>3</v>
      </c>
      <c r="U89" s="192">
        <f>VLOOKUP(T87+1,S93:W99,2,FALSE)</f>
        <v>24.98</v>
      </c>
      <c r="V89" s="193">
        <f>VLOOKUP(U89,T93:W99,2,FALSE)</f>
        <v>0.06</v>
      </c>
      <c r="W89" s="193">
        <f>VLOOKUP(U89,T93:W99,3,FALSE)</f>
        <v>0.23</v>
      </c>
      <c r="AA89" s="424">
        <v>-0.32</v>
      </c>
      <c r="AB89" s="424">
        <v>-0.16</v>
      </c>
      <c r="AC89" s="425">
        <f t="shared" si="16"/>
        <v>0.16</v>
      </c>
    </row>
    <row r="90" spans="2:29" x14ac:dyDescent="0.25">
      <c r="S90" s="197"/>
      <c r="T90" s="187"/>
      <c r="U90" s="187"/>
      <c r="V90" s="187"/>
      <c r="W90" s="187"/>
      <c r="AA90" s="424">
        <v>-0.3</v>
      </c>
      <c r="AB90" s="424">
        <v>-0.06</v>
      </c>
      <c r="AC90" s="425">
        <f t="shared" si="16"/>
        <v>0.24</v>
      </c>
    </row>
    <row r="91" spans="2:29" ht="15.6" x14ac:dyDescent="0.3">
      <c r="S91"/>
      <c r="T91" s="199" t="s">
        <v>599</v>
      </c>
      <c r="U91" s="199"/>
      <c r="V91" s="199"/>
      <c r="W91" s="200"/>
      <c r="AA91" s="424">
        <v>-0.3</v>
      </c>
      <c r="AB91" s="424">
        <v>-0.06</v>
      </c>
      <c r="AC91" s="425">
        <f t="shared" si="16"/>
        <v>0.24</v>
      </c>
    </row>
    <row r="92" spans="2:29" ht="26.4" x14ac:dyDescent="0.25">
      <c r="S92"/>
      <c r="T92" s="190" t="s">
        <v>35</v>
      </c>
      <c r="U92" s="190" t="s">
        <v>604</v>
      </c>
      <c r="V92" s="190" t="s">
        <v>15</v>
      </c>
      <c r="W92" s="196"/>
      <c r="AA92" s="424">
        <v>-0.3</v>
      </c>
      <c r="AB92" s="424">
        <v>0</v>
      </c>
      <c r="AC92" s="425">
        <f t="shared" si="16"/>
        <v>0.3</v>
      </c>
    </row>
    <row r="93" spans="2:29" x14ac:dyDescent="0.25">
      <c r="S93" s="197">
        <v>1</v>
      </c>
      <c r="T93" s="198">
        <v>15.1</v>
      </c>
      <c r="U93" s="198">
        <v>0.1</v>
      </c>
      <c r="V93" s="198">
        <v>0.23</v>
      </c>
      <c r="W93" s="197">
        <v>1</v>
      </c>
    </row>
    <row r="94" spans="2:29" x14ac:dyDescent="0.25">
      <c r="S94" s="197">
        <v>2</v>
      </c>
      <c r="T94" s="198">
        <v>19.98</v>
      </c>
      <c r="U94" s="198">
        <v>0.16</v>
      </c>
      <c r="V94" s="198">
        <v>0.24</v>
      </c>
      <c r="W94" s="197">
        <v>2</v>
      </c>
    </row>
    <row r="95" spans="2:29" x14ac:dyDescent="0.25">
      <c r="S95" s="197">
        <v>3</v>
      </c>
      <c r="T95" s="198">
        <v>24.98</v>
      </c>
      <c r="U95" s="198">
        <v>0.06</v>
      </c>
      <c r="V95" s="198">
        <v>0.23</v>
      </c>
      <c r="W95" s="197">
        <v>3</v>
      </c>
    </row>
    <row r="96" spans="2:29" x14ac:dyDescent="0.25">
      <c r="S96" s="197">
        <v>4</v>
      </c>
      <c r="T96" s="198">
        <v>29.94</v>
      </c>
      <c r="U96" s="198">
        <v>0.06</v>
      </c>
      <c r="V96" s="198">
        <v>0.24</v>
      </c>
      <c r="W96" s="197">
        <v>4</v>
      </c>
    </row>
    <row r="97" spans="19:29" x14ac:dyDescent="0.25">
      <c r="S97" s="197">
        <v>5</v>
      </c>
      <c r="T97" s="198">
        <v>35</v>
      </c>
      <c r="U97" s="198">
        <v>0</v>
      </c>
      <c r="V97" s="198">
        <v>0.24</v>
      </c>
      <c r="W97" s="197">
        <v>5</v>
      </c>
    </row>
    <row r="98" spans="19:29" x14ac:dyDescent="0.25">
      <c r="S98" s="197">
        <v>6</v>
      </c>
      <c r="T98" s="198"/>
      <c r="U98" s="198"/>
      <c r="V98" s="198"/>
      <c r="W98" s="197">
        <v>6</v>
      </c>
    </row>
    <row r="99" spans="19:29" x14ac:dyDescent="0.25">
      <c r="S99" s="197">
        <v>7</v>
      </c>
      <c r="T99" s="198"/>
      <c r="U99" s="198"/>
      <c r="V99" s="198"/>
      <c r="W99" s="197">
        <v>7</v>
      </c>
    </row>
    <row r="100" spans="19:29" x14ac:dyDescent="0.25">
      <c r="S100"/>
      <c r="T100" s="187"/>
      <c r="U100" s="187"/>
      <c r="V100" s="187"/>
      <c r="W100" s="187"/>
    </row>
    <row r="102" spans="19:29" ht="21" x14ac:dyDescent="0.4">
      <c r="S102" s="554" t="s">
        <v>825</v>
      </c>
      <c r="T102" s="554"/>
      <c r="U102" s="554"/>
      <c r="V102" s="554"/>
      <c r="W102" s="554"/>
    </row>
    <row r="103" spans="19:29" x14ac:dyDescent="0.25">
      <c r="S103" s="197"/>
      <c r="T103" s="187"/>
      <c r="U103" s="187"/>
      <c r="V103" s="187"/>
      <c r="W103" s="187"/>
    </row>
    <row r="104" spans="19:29" ht="15.6" x14ac:dyDescent="0.3">
      <c r="S104" s="197"/>
      <c r="T104" s="199" t="s">
        <v>602</v>
      </c>
      <c r="U104" s="199"/>
      <c r="V104" s="199"/>
      <c r="W104" s="199"/>
    </row>
    <row r="105" spans="19:29" ht="39.6" x14ac:dyDescent="0.25">
      <c r="S105" s="197"/>
      <c r="T105" s="188" t="s">
        <v>603</v>
      </c>
      <c r="U105" s="189" t="s">
        <v>35</v>
      </c>
      <c r="V105" s="190" t="s">
        <v>604</v>
      </c>
      <c r="W105" s="190" t="s">
        <v>605</v>
      </c>
      <c r="AA105" s="553" t="s">
        <v>1375</v>
      </c>
      <c r="AB105" s="553"/>
      <c r="AC105" s="553"/>
    </row>
    <row r="106" spans="19:29" x14ac:dyDescent="0.25">
      <c r="S106" s="197"/>
      <c r="T106" s="191">
        <f>VLOOKUP(U106,T112:W118,4,FALSE)</f>
        <v>2</v>
      </c>
      <c r="U106" s="192">
        <f>VLOOKUP(U107,T112:V118,1,TRUE)</f>
        <v>19.98</v>
      </c>
      <c r="V106" s="193">
        <f>VLOOKUP(U106,T112:V118,2,FALSE)</f>
        <v>0.22</v>
      </c>
      <c r="W106" s="193">
        <f>VLOOKUP(U106,T112:V118,3,FALSE)</f>
        <v>0.24</v>
      </c>
      <c r="AA106" s="423" t="s">
        <v>1371</v>
      </c>
      <c r="AB106" s="423" t="s">
        <v>1372</v>
      </c>
      <c r="AC106" s="423" t="s">
        <v>1373</v>
      </c>
    </row>
    <row r="107" spans="19:29" x14ac:dyDescent="0.25">
      <c r="S107" s="197"/>
      <c r="T107" s="192"/>
      <c r="U107" s="194">
        <f>AVERAGE(Identificaciones!B44:E44)</f>
        <v>22.35</v>
      </c>
      <c r="V107" s="195">
        <f>(V108-V106)/(U108-U106)*(U107-U106)+V106</f>
        <v>0.22</v>
      </c>
      <c r="W107" s="195">
        <f>(W108-W106)/(U108-U106)*(U107-U106)+W106</f>
        <v>0.23526</v>
      </c>
      <c r="AA107" s="424">
        <v>0.1</v>
      </c>
      <c r="AB107" s="424">
        <v>-0.2</v>
      </c>
      <c r="AC107" s="425">
        <f t="shared" ref="AC107:AC110" si="17">ABS(AB107-AA107)</f>
        <v>0.30000000000000004</v>
      </c>
    </row>
    <row r="108" spans="19:29" x14ac:dyDescent="0.25">
      <c r="S108" s="197"/>
      <c r="T108" s="191">
        <f>T106+1</f>
        <v>3</v>
      </c>
      <c r="U108" s="192">
        <f>VLOOKUP(T106+1,S112:W118,2,FALSE)</f>
        <v>24.98</v>
      </c>
      <c r="V108" s="193">
        <f>VLOOKUP(U108,T112:W118,2,FALSE)</f>
        <v>0.22</v>
      </c>
      <c r="W108" s="193">
        <f>VLOOKUP(U108,T112:W118,3,FALSE)</f>
        <v>0.23</v>
      </c>
      <c r="AA108" s="424">
        <v>0.08</v>
      </c>
      <c r="AB108" s="424">
        <v>-0.22</v>
      </c>
      <c r="AC108" s="425">
        <f t="shared" si="17"/>
        <v>0.3</v>
      </c>
    </row>
    <row r="109" spans="19:29" x14ac:dyDescent="0.25">
      <c r="S109" s="197"/>
      <c r="T109" s="187"/>
      <c r="U109" s="187"/>
      <c r="V109" s="187"/>
      <c r="W109" s="187"/>
      <c r="AA109" s="424">
        <v>0.34</v>
      </c>
      <c r="AB109" s="424">
        <v>-0.22</v>
      </c>
      <c r="AC109" s="425">
        <f t="shared" si="17"/>
        <v>0.56000000000000005</v>
      </c>
    </row>
    <row r="110" spans="19:29" ht="15.6" x14ac:dyDescent="0.3">
      <c r="S110"/>
      <c r="T110" s="199" t="s">
        <v>599</v>
      </c>
      <c r="U110" s="199"/>
      <c r="V110" s="199"/>
      <c r="W110" s="200"/>
      <c r="AA110" s="424">
        <v>0.3</v>
      </c>
      <c r="AB110" s="424">
        <v>-0.26</v>
      </c>
      <c r="AC110" s="425">
        <f t="shared" si="17"/>
        <v>0.56000000000000005</v>
      </c>
    </row>
    <row r="111" spans="19:29" ht="26.4" x14ac:dyDescent="0.25">
      <c r="S111"/>
      <c r="T111" s="190" t="s">
        <v>35</v>
      </c>
      <c r="U111" s="190" t="s">
        <v>604</v>
      </c>
      <c r="V111" s="190" t="s">
        <v>15</v>
      </c>
      <c r="W111" s="196"/>
      <c r="AA111" s="424"/>
      <c r="AB111" s="424"/>
      <c r="AC111" s="425"/>
    </row>
    <row r="112" spans="19:29" x14ac:dyDescent="0.25">
      <c r="S112" s="197">
        <v>1</v>
      </c>
      <c r="T112" s="198">
        <v>15.1</v>
      </c>
      <c r="U112" s="416">
        <v>0.2</v>
      </c>
      <c r="V112" s="416">
        <v>0.23</v>
      </c>
      <c r="W112" s="197">
        <v>1</v>
      </c>
    </row>
    <row r="113" spans="19:23" x14ac:dyDescent="0.25">
      <c r="S113" s="197">
        <v>2</v>
      </c>
      <c r="T113" s="198">
        <v>19.98</v>
      </c>
      <c r="U113" s="416">
        <v>0.22</v>
      </c>
      <c r="V113" s="416">
        <v>0.24</v>
      </c>
      <c r="W113" s="197">
        <v>2</v>
      </c>
    </row>
    <row r="114" spans="19:23" x14ac:dyDescent="0.25">
      <c r="S114" s="197">
        <v>3</v>
      </c>
      <c r="T114" s="198">
        <v>24.98</v>
      </c>
      <c r="U114" s="416">
        <v>0.22</v>
      </c>
      <c r="V114" s="416">
        <v>0.23</v>
      </c>
      <c r="W114" s="197">
        <v>3</v>
      </c>
    </row>
    <row r="115" spans="19:23" x14ac:dyDescent="0.25">
      <c r="S115" s="197">
        <v>4</v>
      </c>
      <c r="T115" s="198">
        <v>29.94</v>
      </c>
      <c r="U115" s="416">
        <v>0.26</v>
      </c>
      <c r="V115" s="416">
        <v>0.24</v>
      </c>
      <c r="W115" s="197">
        <v>4</v>
      </c>
    </row>
    <row r="116" spans="19:23" x14ac:dyDescent="0.25">
      <c r="S116" s="197">
        <v>5</v>
      </c>
      <c r="T116" s="198">
        <v>35</v>
      </c>
      <c r="U116" s="416">
        <v>0.26</v>
      </c>
      <c r="V116" s="416">
        <v>0.24</v>
      </c>
      <c r="W116" s="197">
        <v>5</v>
      </c>
    </row>
    <row r="117" spans="19:23" x14ac:dyDescent="0.25">
      <c r="S117" s="197">
        <v>6</v>
      </c>
      <c r="T117" s="198"/>
      <c r="U117" s="198"/>
      <c r="V117" s="198"/>
      <c r="W117" s="197">
        <v>6</v>
      </c>
    </row>
    <row r="118" spans="19:23" x14ac:dyDescent="0.25">
      <c r="S118" s="197">
        <v>7</v>
      </c>
      <c r="T118" s="198"/>
      <c r="U118" s="198"/>
      <c r="V118" s="198"/>
      <c r="W118" s="197">
        <v>7</v>
      </c>
    </row>
    <row r="119" spans="19:23" x14ac:dyDescent="0.25">
      <c r="S119"/>
      <c r="T119" s="187"/>
      <c r="U119" s="187"/>
      <c r="V119" s="187"/>
      <c r="W119" s="187"/>
    </row>
    <row r="120" spans="19:23" x14ac:dyDescent="0.25">
      <c r="S120"/>
      <c r="T120" s="187"/>
      <c r="U120" s="187"/>
      <c r="V120" s="187"/>
      <c r="W120" s="187"/>
    </row>
  </sheetData>
  <sheetProtection formatCells="0"/>
  <mergeCells count="94">
    <mergeCell ref="A45:A48"/>
    <mergeCell ref="A17:A20"/>
    <mergeCell ref="B17:E18"/>
    <mergeCell ref="F17:L17"/>
    <mergeCell ref="F18:J18"/>
    <mergeCell ref="C21:C22"/>
    <mergeCell ref="D21:D22"/>
    <mergeCell ref="E21:E22"/>
    <mergeCell ref="L21:L22"/>
    <mergeCell ref="C23:C24"/>
    <mergeCell ref="D23:D24"/>
    <mergeCell ref="L25:L26"/>
    <mergeCell ref="B45:E46"/>
    <mergeCell ref="F45:L45"/>
    <mergeCell ref="F46:J46"/>
    <mergeCell ref="L29:L30"/>
    <mergeCell ref="D53:D54"/>
    <mergeCell ref="E53:E54"/>
    <mergeCell ref="L53:L54"/>
    <mergeCell ref="C51:C52"/>
    <mergeCell ref="D51:D52"/>
    <mergeCell ref="E51:E52"/>
    <mergeCell ref="A65:A68"/>
    <mergeCell ref="B65:D66"/>
    <mergeCell ref="E65:K65"/>
    <mergeCell ref="L65:M65"/>
    <mergeCell ref="E66:I66"/>
    <mergeCell ref="N29:N32"/>
    <mergeCell ref="N8:Q9"/>
    <mergeCell ref="R8:R9"/>
    <mergeCell ref="N11:Q11"/>
    <mergeCell ref="B15:L15"/>
    <mergeCell ref="O17:O19"/>
    <mergeCell ref="N17:N20"/>
    <mergeCell ref="O29:O31"/>
    <mergeCell ref="E23:E24"/>
    <mergeCell ref="L23:L24"/>
    <mergeCell ref="C25:C26"/>
    <mergeCell ref="D25:D26"/>
    <mergeCell ref="E25:E26"/>
    <mergeCell ref="C31:C32"/>
    <mergeCell ref="D31:D32"/>
    <mergeCell ref="E31:E32"/>
    <mergeCell ref="B63:M63"/>
    <mergeCell ref="C27:C28"/>
    <mergeCell ref="D27:D28"/>
    <mergeCell ref="E27:E28"/>
    <mergeCell ref="L27:L28"/>
    <mergeCell ref="C29:C30"/>
    <mergeCell ref="D29:D30"/>
    <mergeCell ref="E29:E30"/>
    <mergeCell ref="C49:C50"/>
    <mergeCell ref="D49:D50"/>
    <mergeCell ref="L51:L52"/>
    <mergeCell ref="B43:L43"/>
    <mergeCell ref="L31:L32"/>
    <mergeCell ref="E49:E50"/>
    <mergeCell ref="L49:L50"/>
    <mergeCell ref="C53:C54"/>
    <mergeCell ref="Y19:Y20"/>
    <mergeCell ref="P17:Z18"/>
    <mergeCell ref="A1:L1"/>
    <mergeCell ref="A2:L2"/>
    <mergeCell ref="A3:L3"/>
    <mergeCell ref="N15:Y15"/>
    <mergeCell ref="I11:J11"/>
    <mergeCell ref="I10:J10"/>
    <mergeCell ref="A8:A9"/>
    <mergeCell ref="I8:J9"/>
    <mergeCell ref="A6:J6"/>
    <mergeCell ref="B8:F8"/>
    <mergeCell ref="S8:S9"/>
    <mergeCell ref="N10:Q10"/>
    <mergeCell ref="Z53:AA53"/>
    <mergeCell ref="AC55:AE55"/>
    <mergeCell ref="AC56:AE56"/>
    <mergeCell ref="AC57:AE57"/>
    <mergeCell ref="AA17:AA18"/>
    <mergeCell ref="AA105:AC105"/>
    <mergeCell ref="S102:W102"/>
    <mergeCell ref="V19:V20"/>
    <mergeCell ref="P29:X30"/>
    <mergeCell ref="V31:V32"/>
    <mergeCell ref="AB53:AB54"/>
    <mergeCell ref="Y29:Y30"/>
    <mergeCell ref="AA68:AC68"/>
    <mergeCell ref="AA86:AC86"/>
    <mergeCell ref="AC53:AE54"/>
    <mergeCell ref="T67:W67"/>
    <mergeCell ref="S73:W73"/>
    <mergeCell ref="S83:W83"/>
    <mergeCell ref="S66:W66"/>
    <mergeCell ref="P63:AA63"/>
    <mergeCell ref="X53:Y53"/>
  </mergeCells>
  <phoneticPr fontId="26" type="noConversion"/>
  <pageMargins left="0.75" right="0.75" top="1" bottom="1" header="0" footer="0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8838" r:id="rId4" name="Drop Down 22">
              <controlPr defaultSize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2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2" r:id="rId5" name="Drop Down 26">
              <controlPr defaultSize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3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3" r:id="rId6" name="Drop Down 27">
              <controlPr defaultSize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4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4" r:id="rId7" name="Drop Down 28">
              <controlPr defaultSize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5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5" r:id="rId8" name="Drop Down 29">
              <controlPr defaultSize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6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6" r:id="rId9" name="Drop Down 30">
              <controlPr defaultSize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7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7" r:id="rId10" name="Drop Down 31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80" r:id="rId11" name="Drop Down 64">
              <controlPr defaultSize="0" autoLine="0" autoPict="0">
                <anchor moveWithCells="1">
                  <from>
                    <xdr:col>2</xdr:col>
                    <xdr:colOff>0</xdr:colOff>
                    <xdr:row>58</xdr:row>
                    <xdr:rowOff>0</xdr:rowOff>
                  </from>
                  <to>
                    <xdr:col>2</xdr:col>
                    <xdr:colOff>708660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84" r:id="rId12" name="Drop Down 68">
              <controlPr defaultSize="0" autoLine="0" autoPict="0">
                <anchor moveWithCells="1">
                  <from>
                    <xdr:col>3</xdr:col>
                    <xdr:colOff>0</xdr:colOff>
                    <xdr:row>58</xdr:row>
                    <xdr:rowOff>0</xdr:rowOff>
                  </from>
                  <to>
                    <xdr:col>3</xdr:col>
                    <xdr:colOff>708660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85" r:id="rId13" name="Drop Down 69">
              <controlPr defaultSize="0" autoLine="0" autoPict="0">
                <anchor moveWithCells="1">
                  <from>
                    <xdr:col>4</xdr:col>
                    <xdr:colOff>0</xdr:colOff>
                    <xdr:row>58</xdr:row>
                    <xdr:rowOff>0</xdr:rowOff>
                  </from>
                  <to>
                    <xdr:col>4</xdr:col>
                    <xdr:colOff>708660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4" r:id="rId14" name="Drop Down 98">
              <controlPr defaultSize="0" autoLine="0" autoPict="0">
                <anchor moveWithCells="1">
                  <from>
                    <xdr:col>2</xdr:col>
                    <xdr:colOff>0</xdr:colOff>
                    <xdr:row>82</xdr:row>
                    <xdr:rowOff>0</xdr:rowOff>
                  </from>
                  <to>
                    <xdr:col>2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5" r:id="rId15" name="Drop Down 99">
              <controlPr defaultSize="0" autoLine="0" autoPict="0">
                <anchor moveWithCells="1">
                  <from>
                    <xdr:col>2</xdr:col>
                    <xdr:colOff>0</xdr:colOff>
                    <xdr:row>83</xdr:row>
                    <xdr:rowOff>0</xdr:rowOff>
                  </from>
                  <to>
                    <xdr:col>2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6" r:id="rId16" name="Drop Down 100">
              <controlPr defaultSize="0" autoLine="0" autoPict="0">
                <anchor moveWithCells="1">
                  <from>
                    <xdr:col>2</xdr:col>
                    <xdr:colOff>0</xdr:colOff>
                    <xdr:row>84</xdr:row>
                    <xdr:rowOff>0</xdr:rowOff>
                  </from>
                  <to>
                    <xdr:col>2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8" r:id="rId17" name="Drop Down 102">
              <controlPr defaultSize="0" autoLine="0" autoPict="0">
                <anchor moveWithCells="1">
                  <from>
                    <xdr:col>3</xdr:col>
                    <xdr:colOff>0</xdr:colOff>
                    <xdr:row>82</xdr:row>
                    <xdr:rowOff>0</xdr:rowOff>
                  </from>
                  <to>
                    <xdr:col>3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9" r:id="rId18" name="Drop Down 103">
              <controlPr defaultSize="0" autoLine="0" autoPict="0">
                <anchor moveWithCells="1">
                  <from>
                    <xdr:col>4</xdr:col>
                    <xdr:colOff>0</xdr:colOff>
                    <xdr:row>82</xdr:row>
                    <xdr:rowOff>0</xdr:rowOff>
                  </from>
                  <to>
                    <xdr:col>4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0" r:id="rId19" name="Drop Down 104">
              <controlPr defaultSize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5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1" r:id="rId20" name="Drop Down 105">
              <controlPr defaultSize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6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2" r:id="rId21" name="Drop Down 106">
              <controlPr defaultSize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7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4" r:id="rId22" name="Drop Down 108">
              <controlPr defaultSize="0" autoLine="0" autoPict="0">
                <anchor moveWithCells="1">
                  <from>
                    <xdr:col>3</xdr:col>
                    <xdr:colOff>0</xdr:colOff>
                    <xdr:row>83</xdr:row>
                    <xdr:rowOff>0</xdr:rowOff>
                  </from>
                  <to>
                    <xdr:col>3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5" r:id="rId23" name="Drop Down 109">
              <controlPr defaultSize="0" autoLine="0" autoPict="0">
                <anchor moveWithCells="1">
                  <from>
                    <xdr:col>4</xdr:col>
                    <xdr:colOff>0</xdr:colOff>
                    <xdr:row>83</xdr:row>
                    <xdr:rowOff>0</xdr:rowOff>
                  </from>
                  <to>
                    <xdr:col>4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6" r:id="rId24" name="Drop Down 110">
              <controlPr defaultSize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5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7" r:id="rId25" name="Drop Down 111">
              <controlPr defaultSize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6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8" r:id="rId26" name="Drop Down 112">
              <controlPr defaultSize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7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0" r:id="rId27" name="Drop Down 114">
              <controlPr defaultSize="0" autoLine="0" autoPict="0">
                <anchor moveWithCells="1">
                  <from>
                    <xdr:col>3</xdr:col>
                    <xdr:colOff>0</xdr:colOff>
                    <xdr:row>84</xdr:row>
                    <xdr:rowOff>0</xdr:rowOff>
                  </from>
                  <to>
                    <xdr:col>3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1" r:id="rId28" name="Drop Down 115">
              <controlPr defaultSize="0" autoLine="0" autoPict="0">
                <anchor moveWithCells="1">
                  <from>
                    <xdr:col>4</xdr:col>
                    <xdr:colOff>0</xdr:colOff>
                    <xdr:row>84</xdr:row>
                    <xdr:rowOff>0</xdr:rowOff>
                  </from>
                  <to>
                    <xdr:col>4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2" r:id="rId29" name="Drop Down 116">
              <controlPr defaultSize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5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3" r:id="rId30" name="Drop Down 117">
              <controlPr defaultSize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6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4" r:id="rId31" name="Drop Down 118">
              <controlPr defaultSize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7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9" r:id="rId32" name="Drop Down 183">
              <controlPr defaultSize="0" autoLine="0" autoPict="0">
                <anchor moveWithCells="1">
                  <from>
                    <xdr:col>2</xdr:col>
                    <xdr:colOff>0</xdr:colOff>
                    <xdr:row>85</xdr:row>
                    <xdr:rowOff>0</xdr:rowOff>
                  </from>
                  <to>
                    <xdr:col>2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0" r:id="rId33" name="Drop Down 184">
              <controlPr defaultSize="0" autoLine="0" autoPict="0">
                <anchor moveWithCells="1">
                  <from>
                    <xdr:col>3</xdr:col>
                    <xdr:colOff>0</xdr:colOff>
                    <xdr:row>85</xdr:row>
                    <xdr:rowOff>0</xdr:rowOff>
                  </from>
                  <to>
                    <xdr:col>3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1" r:id="rId34" name="Drop Down 185">
              <controlPr defaultSize="0" autoLine="0" autoPict="0">
                <anchor moveWithCells="1">
                  <from>
                    <xdr:col>4</xdr:col>
                    <xdr:colOff>0</xdr:colOff>
                    <xdr:row>85</xdr:row>
                    <xdr:rowOff>0</xdr:rowOff>
                  </from>
                  <to>
                    <xdr:col>4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2" r:id="rId35" name="Drop Down 186">
              <controlPr defaultSize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5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4" r:id="rId36" name="Drop Down 188">
              <controlPr defaultSize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6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5" r:id="rId37" name="Drop Down 189">
              <controlPr defaultSize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7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10" r:id="rId38" name="Drop Down 194">
              <controlPr defaultSize="0" autoLine="0" autoPict="0">
                <anchor moveWithCells="1">
                  <from>
                    <xdr:col>17</xdr:col>
                    <xdr:colOff>411480</xdr:colOff>
                    <xdr:row>49</xdr:row>
                    <xdr:rowOff>30480</xdr:rowOff>
                  </from>
                  <to>
                    <xdr:col>19</xdr:col>
                    <xdr:colOff>640080</xdr:colOff>
                    <xdr:row>50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17" r:id="rId39" name="Drop Down 201">
              <controlPr defaultSize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2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18" r:id="rId40" name="Drop Down 202">
              <controlPr defaultSize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3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19" r:id="rId41" name="Drop Down 203">
              <controlPr defaultSize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4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0" r:id="rId42" name="Drop Down 204">
              <controlPr defaultSize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5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1" r:id="rId43" name="Drop Down 205">
              <controlPr defaultSize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6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2" r:id="rId44" name="Drop Down 206">
              <controlPr defaultSize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7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3" r:id="rId45" name="Drop Down 207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4" r:id="rId46" name="Drop Down 208">
              <controlPr defaultSize="0" autoLine="0" autoPict="0">
                <anchor moveWithCells="1">
                  <from>
                    <xdr:col>6</xdr:col>
                    <xdr:colOff>0</xdr:colOff>
                    <xdr:row>40</xdr:row>
                    <xdr:rowOff>68580</xdr:rowOff>
                  </from>
                  <to>
                    <xdr:col>6</xdr:col>
                    <xdr:colOff>708660</xdr:colOff>
                    <xdr:row>41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5" r:id="rId47" name="Drop Down 209">
              <controlPr defaultSize="0" autoLine="0" autoPict="0">
                <anchor moveWithCells="1">
                  <from>
                    <xdr:col>7</xdr:col>
                    <xdr:colOff>0</xdr:colOff>
                    <xdr:row>40</xdr:row>
                    <xdr:rowOff>68580</xdr:rowOff>
                  </from>
                  <to>
                    <xdr:col>7</xdr:col>
                    <xdr:colOff>708660</xdr:colOff>
                    <xdr:row>41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6" r:id="rId48" name="Drop Down 210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76200</xdr:rowOff>
                  </from>
                  <to>
                    <xdr:col>8</xdr:col>
                    <xdr:colOff>708660</xdr:colOff>
                    <xdr:row>41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H11"/>
  <sheetViews>
    <sheetView zoomScale="70" zoomScaleNormal="70" workbookViewId="0">
      <selection activeCell="B45" sqref="A38:O55"/>
    </sheetView>
  </sheetViews>
  <sheetFormatPr baseColWidth="10" defaultColWidth="11.44140625" defaultRowHeight="13.2" x14ac:dyDescent="0.25"/>
  <cols>
    <col min="1" max="1" width="18.44140625" customWidth="1"/>
    <col min="2" max="2" width="13.6640625" customWidth="1"/>
    <col min="3" max="3" width="21.6640625" customWidth="1"/>
    <col min="5" max="5" width="10" customWidth="1"/>
    <col min="6" max="6" width="8.88671875" customWidth="1"/>
    <col min="7" max="7" width="15.6640625" bestFit="1" customWidth="1"/>
    <col min="8" max="8" width="4.6640625" customWidth="1"/>
    <col min="9" max="9" width="14.44140625" customWidth="1"/>
    <col min="10" max="10" width="15.6640625" customWidth="1"/>
    <col min="18" max="18" width="16" customWidth="1"/>
  </cols>
  <sheetData>
    <row r="1" spans="1:8" x14ac:dyDescent="0.25">
      <c r="A1" s="503" t="s">
        <v>157</v>
      </c>
      <c r="B1" s="503"/>
      <c r="C1" s="503"/>
      <c r="D1" s="77"/>
      <c r="E1" s="77"/>
      <c r="F1" s="77"/>
      <c r="G1" s="77"/>
    </row>
    <row r="2" spans="1:8" x14ac:dyDescent="0.25">
      <c r="A2" s="653" t="s">
        <v>158</v>
      </c>
      <c r="B2" s="653"/>
      <c r="C2" s="653"/>
      <c r="F2" s="86" t="s">
        <v>183</v>
      </c>
      <c r="G2">
        <f>IF(Identificaciones!D29&lt;=150,B6,IF(AND(Identificaciones!D29&gt;150,Identificaciones!D29&lt;=200),B7,IF(AND(Identificaciones!D29&gt;200,Identificaciones!D29&lt;=300),B9,IF(AND(Identificaciones!D29&gt;300,Identificaciones!D29&lt;=500),B10,"REVISAR"))))</f>
        <v>30</v>
      </c>
      <c r="H2" s="1" t="s">
        <v>45</v>
      </c>
    </row>
    <row r="3" spans="1:8" x14ac:dyDescent="0.25">
      <c r="A3" s="653" t="s">
        <v>159</v>
      </c>
      <c r="B3" s="653"/>
      <c r="C3" s="653"/>
      <c r="F3" s="86" t="s">
        <v>184</v>
      </c>
      <c r="G3">
        <f>Identificaciones!D31</f>
        <v>0.01</v>
      </c>
      <c r="H3" s="1" t="s">
        <v>45</v>
      </c>
    </row>
    <row r="4" spans="1:8" ht="13.8" x14ac:dyDescent="0.25">
      <c r="B4" s="5"/>
      <c r="F4" s="87" t="s">
        <v>178</v>
      </c>
      <c r="G4" s="347">
        <f>ATAN(G3/G2)</f>
        <v>3.3333332098765513E-4</v>
      </c>
    </row>
    <row r="5" spans="1:8" ht="39.6" x14ac:dyDescent="0.35">
      <c r="A5" s="144" t="s">
        <v>160</v>
      </c>
      <c r="B5" s="144" t="s">
        <v>162</v>
      </c>
      <c r="C5" s="144" t="s">
        <v>161</v>
      </c>
      <c r="F5" s="86" t="s">
        <v>177</v>
      </c>
      <c r="G5">
        <f>G2*G4</f>
        <v>9.9999996296296547E-3</v>
      </c>
      <c r="H5" s="1" t="s">
        <v>45</v>
      </c>
    </row>
    <row r="6" spans="1:8" x14ac:dyDescent="0.25">
      <c r="A6" s="79">
        <v>150</v>
      </c>
      <c r="B6" s="79">
        <v>30</v>
      </c>
      <c r="C6" s="135">
        <v>4</v>
      </c>
    </row>
    <row r="7" spans="1:8" x14ac:dyDescent="0.25">
      <c r="A7" s="79">
        <v>200</v>
      </c>
      <c r="B7" s="79">
        <v>40</v>
      </c>
      <c r="C7" s="79">
        <v>6</v>
      </c>
      <c r="D7" s="5"/>
      <c r="E7" s="6"/>
    </row>
    <row r="8" spans="1:8" x14ac:dyDescent="0.25">
      <c r="A8" s="79">
        <v>250</v>
      </c>
      <c r="B8" s="79">
        <v>50</v>
      </c>
      <c r="C8" s="79">
        <v>6</v>
      </c>
      <c r="D8" s="5"/>
      <c r="E8" s="6"/>
    </row>
    <row r="9" spans="1:8" x14ac:dyDescent="0.25">
      <c r="A9" s="79">
        <v>300</v>
      </c>
      <c r="B9" s="79">
        <v>50</v>
      </c>
      <c r="C9" s="79">
        <v>6</v>
      </c>
      <c r="E9" s="6"/>
    </row>
    <row r="10" spans="1:8" x14ac:dyDescent="0.25">
      <c r="A10" s="79">
        <v>400</v>
      </c>
      <c r="B10" s="79">
        <v>55</v>
      </c>
      <c r="C10" s="79">
        <v>8</v>
      </c>
    </row>
    <row r="11" spans="1:8" x14ac:dyDescent="0.25">
      <c r="A11" s="79">
        <v>500</v>
      </c>
      <c r="B11" s="79">
        <v>55</v>
      </c>
      <c r="C11" s="79">
        <v>8</v>
      </c>
    </row>
  </sheetData>
  <mergeCells count="3">
    <mergeCell ref="A1:C1"/>
    <mergeCell ref="A2:C2"/>
    <mergeCell ref="A3:C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W167"/>
  <sheetViews>
    <sheetView zoomScale="85" zoomScaleNormal="85" workbookViewId="0">
      <selection activeCell="B45" sqref="A38:O55"/>
    </sheetView>
  </sheetViews>
  <sheetFormatPr baseColWidth="10" defaultColWidth="11.5546875" defaultRowHeight="13.2" x14ac:dyDescent="0.25"/>
  <cols>
    <col min="1" max="1" width="19.6640625" bestFit="1" customWidth="1"/>
    <col min="2" max="2" width="12.33203125" bestFit="1" customWidth="1"/>
    <col min="3" max="3" width="17" customWidth="1"/>
    <col min="4" max="4" width="13.88671875" customWidth="1"/>
    <col min="5" max="5" width="14.44140625" customWidth="1"/>
    <col min="6" max="6" width="12.44140625" bestFit="1" customWidth="1"/>
    <col min="7" max="7" width="20.33203125" bestFit="1" customWidth="1"/>
    <col min="8" max="8" width="13.33203125" customWidth="1"/>
    <col min="9" max="9" width="17.5546875" customWidth="1"/>
    <col min="10" max="10" width="15" customWidth="1"/>
    <col min="11" max="11" width="21" customWidth="1"/>
    <col min="12" max="12" width="13.33203125" customWidth="1"/>
  </cols>
  <sheetData>
    <row r="1" spans="1:11" ht="17.399999999999999" x14ac:dyDescent="0.3">
      <c r="A1" s="655" t="s">
        <v>172</v>
      </c>
      <c r="B1" s="655"/>
      <c r="C1" s="125"/>
      <c r="D1" s="125"/>
      <c r="E1" s="125"/>
    </row>
    <row r="2" spans="1:11" ht="28.8" x14ac:dyDescent="0.25">
      <c r="A2" s="126" t="s">
        <v>191</v>
      </c>
      <c r="B2" s="134" t="s">
        <v>190</v>
      </c>
      <c r="C2" s="126" t="s">
        <v>164</v>
      </c>
      <c r="D2" s="127" t="s">
        <v>165</v>
      </c>
      <c r="E2" s="127" t="s">
        <v>166</v>
      </c>
      <c r="F2" s="126" t="s">
        <v>167</v>
      </c>
      <c r="G2" s="127" t="s">
        <v>168</v>
      </c>
      <c r="J2" s="654" t="s">
        <v>196</v>
      </c>
      <c r="K2" s="654"/>
    </row>
    <row r="3" spans="1:11" ht="13.8" x14ac:dyDescent="0.25">
      <c r="A3" s="78" t="s">
        <v>616</v>
      </c>
      <c r="B3" s="143">
        <f>Resultados!P21</f>
        <v>0</v>
      </c>
      <c r="C3" s="80">
        <f>Resultados!P33</f>
        <v>1.0000283199</v>
      </c>
      <c r="D3" s="79">
        <v>1</v>
      </c>
      <c r="E3" s="137">
        <f>B3*C3</f>
        <v>0</v>
      </c>
      <c r="F3" s="46">
        <f t="shared" ref="F3:F12" si="0">E3^2/$E$13^2*100</f>
        <v>0</v>
      </c>
      <c r="G3" s="141">
        <v>4</v>
      </c>
      <c r="J3" s="138" t="s">
        <v>169</v>
      </c>
      <c r="K3" s="132" t="s">
        <v>170</v>
      </c>
    </row>
    <row r="4" spans="1:11" x14ac:dyDescent="0.25">
      <c r="A4" s="209" t="s">
        <v>617</v>
      </c>
      <c r="B4" s="210">
        <f>Resultados!Q21</f>
        <v>6.6395280956806967E-7</v>
      </c>
      <c r="C4" s="210">
        <f>Resultados!R33</f>
        <v>0</v>
      </c>
      <c r="D4" s="135" t="s">
        <v>621</v>
      </c>
      <c r="E4" s="137">
        <f t="shared" ref="E4:E12" si="1">B4*C4</f>
        <v>0</v>
      </c>
      <c r="F4" s="46">
        <f t="shared" si="0"/>
        <v>0</v>
      </c>
      <c r="G4" s="141">
        <v>50</v>
      </c>
      <c r="J4" s="140">
        <v>1</v>
      </c>
      <c r="K4" s="140">
        <v>13.97</v>
      </c>
    </row>
    <row r="5" spans="1:11" ht="13.8" x14ac:dyDescent="0.25">
      <c r="A5" s="211" t="s">
        <v>618</v>
      </c>
      <c r="B5" s="210">
        <f>Resultados!R21</f>
        <v>1.4297550792589164</v>
      </c>
      <c r="C5" s="210">
        <f>Resultados!R33</f>
        <v>0</v>
      </c>
      <c r="D5" s="212" t="s">
        <v>622</v>
      </c>
      <c r="E5" s="137">
        <f t="shared" si="1"/>
        <v>0</v>
      </c>
      <c r="F5" s="46">
        <f t="shared" si="0"/>
        <v>0</v>
      </c>
      <c r="G5" s="141">
        <v>50</v>
      </c>
      <c r="J5" s="140">
        <v>2</v>
      </c>
      <c r="K5" s="140">
        <v>4.53</v>
      </c>
    </row>
    <row r="6" spans="1:11" x14ac:dyDescent="0.25">
      <c r="A6" s="78" t="s">
        <v>192</v>
      </c>
      <c r="B6" s="210">
        <f>Resultados!S21</f>
        <v>0</v>
      </c>
      <c r="C6" s="210">
        <f>Resultados!S33</f>
        <v>-1.0000283199</v>
      </c>
      <c r="D6" s="79">
        <v>1</v>
      </c>
      <c r="E6" s="137">
        <f t="shared" si="1"/>
        <v>0</v>
      </c>
      <c r="F6" s="46">
        <f t="shared" si="0"/>
        <v>0</v>
      </c>
      <c r="G6" s="141" t="s">
        <v>171</v>
      </c>
      <c r="J6" s="140">
        <v>3</v>
      </c>
      <c r="K6" s="140">
        <v>3.31</v>
      </c>
    </row>
    <row r="7" spans="1:11" x14ac:dyDescent="0.25">
      <c r="A7" s="209" t="s">
        <v>619</v>
      </c>
      <c r="B7" s="210">
        <f>Resultados!T21</f>
        <v>6.6395280956806967E-7</v>
      </c>
      <c r="C7" s="210">
        <f>Resultados!T33</f>
        <v>0</v>
      </c>
      <c r="D7" s="135" t="s">
        <v>621</v>
      </c>
      <c r="E7" s="137">
        <f t="shared" si="1"/>
        <v>0</v>
      </c>
      <c r="F7" s="46">
        <f t="shared" si="0"/>
        <v>0</v>
      </c>
      <c r="G7" s="141">
        <v>50</v>
      </c>
      <c r="J7" s="140">
        <v>4</v>
      </c>
      <c r="K7" s="140">
        <v>2.87</v>
      </c>
    </row>
    <row r="8" spans="1:11" ht="13.8" x14ac:dyDescent="0.25">
      <c r="A8" s="211" t="s">
        <v>620</v>
      </c>
      <c r="B8" s="210">
        <f>Resultados!U21</f>
        <v>1.4297550792589164</v>
      </c>
      <c r="C8" s="210">
        <f>Resultados!U33</f>
        <v>0</v>
      </c>
      <c r="D8" s="212" t="s">
        <v>622</v>
      </c>
      <c r="E8" s="137">
        <f t="shared" si="1"/>
        <v>0</v>
      </c>
      <c r="F8" s="46">
        <f t="shared" si="0"/>
        <v>0</v>
      </c>
      <c r="G8" s="141">
        <v>50</v>
      </c>
      <c r="J8" s="140">
        <v>5</v>
      </c>
      <c r="K8" s="140">
        <v>2.65</v>
      </c>
    </row>
    <row r="9" spans="1:11" x14ac:dyDescent="0.25">
      <c r="A9" s="78" t="s">
        <v>193</v>
      </c>
      <c r="B9" s="136">
        <f>Resultados!V21</f>
        <v>0</v>
      </c>
      <c r="C9" s="80">
        <v>1</v>
      </c>
      <c r="D9" s="79">
        <v>1</v>
      </c>
      <c r="E9" s="137">
        <f t="shared" si="1"/>
        <v>0</v>
      </c>
      <c r="F9" s="46">
        <f t="shared" si="0"/>
        <v>0</v>
      </c>
      <c r="G9" s="141" t="s">
        <v>171</v>
      </c>
      <c r="J9" s="140">
        <v>6</v>
      </c>
      <c r="K9" s="140">
        <v>2.52</v>
      </c>
    </row>
    <row r="10" spans="1:11" x14ac:dyDescent="0.25">
      <c r="A10" s="78" t="s">
        <v>194</v>
      </c>
      <c r="B10" s="136">
        <f>Resultados!W21</f>
        <v>0</v>
      </c>
      <c r="C10" s="80">
        <v>1</v>
      </c>
      <c r="D10" s="79">
        <v>1</v>
      </c>
      <c r="E10" s="137">
        <f t="shared" si="1"/>
        <v>0</v>
      </c>
      <c r="F10" s="46">
        <f t="shared" si="0"/>
        <v>0</v>
      </c>
      <c r="G10" s="79">
        <v>50</v>
      </c>
      <c r="J10" s="140">
        <v>7</v>
      </c>
      <c r="K10" s="140">
        <v>2.4300000000000002</v>
      </c>
    </row>
    <row r="11" spans="1:11" x14ac:dyDescent="0.25">
      <c r="A11" s="78" t="s">
        <v>195</v>
      </c>
      <c r="B11" s="136">
        <f>Resultados!X21</f>
        <v>2.8867513459481291</v>
      </c>
      <c r="C11" s="80">
        <v>1</v>
      </c>
      <c r="D11" s="79">
        <v>1</v>
      </c>
      <c r="E11" s="137">
        <f t="shared" si="1"/>
        <v>2.8867513459481291</v>
      </c>
      <c r="F11" s="46">
        <f t="shared" si="0"/>
        <v>50.000001851851771</v>
      </c>
      <c r="G11" s="141" t="s">
        <v>171</v>
      </c>
      <c r="J11" s="140">
        <v>8</v>
      </c>
      <c r="K11" s="140">
        <v>2.37</v>
      </c>
    </row>
    <row r="12" spans="1:11" x14ac:dyDescent="0.25">
      <c r="A12" s="78" t="str">
        <f>Resultados!$Y$19</f>
        <v>Error de abbe (µm)</v>
      </c>
      <c r="B12" s="136">
        <f>Resultados!Y21</f>
        <v>2.8867512390314194</v>
      </c>
      <c r="C12" s="80">
        <v>1</v>
      </c>
      <c r="D12" s="79">
        <v>1</v>
      </c>
      <c r="E12" s="137">
        <f t="shared" si="1"/>
        <v>2.8867512390314194</v>
      </c>
      <c r="F12" s="46">
        <f t="shared" si="0"/>
        <v>49.999998148148237</v>
      </c>
      <c r="G12" s="141">
        <v>50</v>
      </c>
      <c r="J12" s="140">
        <v>9</v>
      </c>
      <c r="K12" s="140">
        <v>2.3199999999999998</v>
      </c>
    </row>
    <row r="13" spans="1:11" x14ac:dyDescent="0.25">
      <c r="E13" s="137">
        <f>SQRT(SUMSQ(E3:E12))</f>
        <v>4.0824828290371009</v>
      </c>
      <c r="F13" s="128">
        <f>SUM(F3:F12)</f>
        <v>100</v>
      </c>
      <c r="G13" s="129">
        <f>(E13^4)/(((E3^4)/G3)+((E4^4)/G4)+((E5^4)/G5)+0+((E7^4)/G7)+0+((E8^4)/G8)+0+((E10^4)/G10)+0+((E12^4)/G12))</f>
        <v>200.00001481481493</v>
      </c>
      <c r="J13" s="140">
        <v>10</v>
      </c>
      <c r="K13" s="140">
        <v>2.2799999999999998</v>
      </c>
    </row>
    <row r="14" spans="1:11" ht="15" x14ac:dyDescent="0.25">
      <c r="F14" s="130" t="s">
        <v>169</v>
      </c>
      <c r="G14" s="131">
        <f>G13</f>
        <v>200.00001481481493</v>
      </c>
      <c r="J14" s="140">
        <v>11</v>
      </c>
      <c r="K14" s="140">
        <v>2.25</v>
      </c>
    </row>
    <row r="15" spans="1:11" x14ac:dyDescent="0.25">
      <c r="F15" s="132" t="s">
        <v>170</v>
      </c>
      <c r="G15" s="133">
        <f>IF(G14&gt;100,2,VLOOKUP(G14,$J$4:$K$30,2))</f>
        <v>2</v>
      </c>
      <c r="J15" s="140">
        <v>12</v>
      </c>
      <c r="K15" s="140">
        <v>2.23</v>
      </c>
    </row>
    <row r="16" spans="1:11" x14ac:dyDescent="0.25">
      <c r="J16" s="140">
        <v>13</v>
      </c>
      <c r="K16" s="140">
        <v>2.21</v>
      </c>
    </row>
    <row r="17" spans="1:23" ht="17.399999999999999" x14ac:dyDescent="0.3">
      <c r="A17" s="170" t="s">
        <v>187</v>
      </c>
      <c r="B17" s="170"/>
      <c r="C17" s="125"/>
      <c r="D17" s="125"/>
      <c r="E17" s="125"/>
      <c r="J17" s="140">
        <v>14</v>
      </c>
      <c r="K17" s="140">
        <v>2.2000000000000002</v>
      </c>
    </row>
    <row r="18" spans="1:23" ht="28.8" x14ac:dyDescent="0.25">
      <c r="A18" s="126" t="s">
        <v>191</v>
      </c>
      <c r="B18" s="134" t="s">
        <v>190</v>
      </c>
      <c r="C18" s="126" t="s">
        <v>164</v>
      </c>
      <c r="D18" s="127" t="s">
        <v>165</v>
      </c>
      <c r="E18" s="127" t="s">
        <v>166</v>
      </c>
      <c r="F18" s="126" t="s">
        <v>167</v>
      </c>
      <c r="G18" s="127" t="s">
        <v>168</v>
      </c>
      <c r="J18" s="140">
        <v>15</v>
      </c>
      <c r="K18" s="140">
        <v>2.1800000000000002</v>
      </c>
    </row>
    <row r="19" spans="1:23" x14ac:dyDescent="0.25">
      <c r="A19" s="78" t="s">
        <v>616</v>
      </c>
      <c r="B19" s="143">
        <f>Resultados!P22</f>
        <v>0</v>
      </c>
      <c r="C19" s="80">
        <f>Resultados!P34</f>
        <v>1.0000283199</v>
      </c>
      <c r="D19" s="79">
        <v>1</v>
      </c>
      <c r="E19" s="137">
        <f>B19*C19</f>
        <v>0</v>
      </c>
      <c r="F19" s="46">
        <f t="shared" ref="F19:F28" si="2">E19^2/$E$13^2*100</f>
        <v>0</v>
      </c>
      <c r="G19" s="141">
        <v>4</v>
      </c>
      <c r="J19" s="140">
        <v>16</v>
      </c>
      <c r="K19" s="140">
        <v>2.17</v>
      </c>
    </row>
    <row r="20" spans="1:23" x14ac:dyDescent="0.25">
      <c r="A20" s="209" t="s">
        <v>617</v>
      </c>
      <c r="B20" s="210">
        <f>Resultados!Q22</f>
        <v>6.6395280956806967E-7</v>
      </c>
      <c r="C20" s="210">
        <f>Resultados!R34</f>
        <v>0</v>
      </c>
      <c r="D20" s="135" t="s">
        <v>621</v>
      </c>
      <c r="E20" s="137">
        <f t="shared" ref="E20:E28" si="3">B20*C20</f>
        <v>0</v>
      </c>
      <c r="F20" s="46">
        <f t="shared" si="2"/>
        <v>0</v>
      </c>
      <c r="G20" s="141">
        <v>50</v>
      </c>
      <c r="J20" s="140">
        <v>17</v>
      </c>
      <c r="K20" s="140">
        <v>2.16</v>
      </c>
      <c r="L20" s="139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</row>
    <row r="21" spans="1:23" ht="13.8" x14ac:dyDescent="0.25">
      <c r="A21" s="211" t="s">
        <v>618</v>
      </c>
      <c r="B21" s="210">
        <f>Resultados!R22</f>
        <v>1.4297550792589164</v>
      </c>
      <c r="C21" s="210">
        <f>Resultados!R34</f>
        <v>0</v>
      </c>
      <c r="D21" s="212" t="s">
        <v>622</v>
      </c>
      <c r="E21" s="137">
        <f t="shared" si="3"/>
        <v>0</v>
      </c>
      <c r="F21" s="46">
        <f t="shared" si="2"/>
        <v>0</v>
      </c>
      <c r="G21" s="141">
        <v>50</v>
      </c>
      <c r="J21" s="140">
        <v>18</v>
      </c>
      <c r="K21" s="140">
        <v>2.15</v>
      </c>
    </row>
    <row r="22" spans="1:23" x14ac:dyDescent="0.25">
      <c r="A22" s="78" t="s">
        <v>192</v>
      </c>
      <c r="B22" s="210">
        <f>Resultados!S22</f>
        <v>0</v>
      </c>
      <c r="C22" s="210">
        <f>Resultados!S34</f>
        <v>-1.0000283199</v>
      </c>
      <c r="D22" s="79">
        <v>1</v>
      </c>
      <c r="E22" s="137">
        <f t="shared" si="3"/>
        <v>0</v>
      </c>
      <c r="F22" s="46">
        <f t="shared" si="2"/>
        <v>0</v>
      </c>
      <c r="G22" s="141" t="s">
        <v>171</v>
      </c>
      <c r="J22" s="140">
        <v>19</v>
      </c>
      <c r="K22" s="140">
        <v>2.14</v>
      </c>
    </row>
    <row r="23" spans="1:23" x14ac:dyDescent="0.25">
      <c r="A23" s="209" t="s">
        <v>619</v>
      </c>
      <c r="B23" s="210">
        <f>Resultados!T22</f>
        <v>6.6395280956806967E-7</v>
      </c>
      <c r="C23" s="210">
        <f>Resultados!T34</f>
        <v>0</v>
      </c>
      <c r="D23" s="135" t="s">
        <v>621</v>
      </c>
      <c r="E23" s="137">
        <f t="shared" si="3"/>
        <v>0</v>
      </c>
      <c r="F23" s="46">
        <f t="shared" si="2"/>
        <v>0</v>
      </c>
      <c r="G23" s="141">
        <v>50</v>
      </c>
      <c r="J23" s="140">
        <v>20</v>
      </c>
      <c r="K23" s="140">
        <v>2.13</v>
      </c>
    </row>
    <row r="24" spans="1:23" ht="13.8" x14ac:dyDescent="0.25">
      <c r="A24" s="211" t="s">
        <v>620</v>
      </c>
      <c r="B24" s="210">
        <f>Resultados!U22</f>
        <v>1.4297550792589164</v>
      </c>
      <c r="C24" s="210">
        <f>Resultados!U34</f>
        <v>0</v>
      </c>
      <c r="D24" s="212" t="s">
        <v>622</v>
      </c>
      <c r="E24" s="137">
        <f t="shared" si="3"/>
        <v>0</v>
      </c>
      <c r="F24" s="46">
        <f t="shared" si="2"/>
        <v>0</v>
      </c>
      <c r="G24" s="141">
        <v>50</v>
      </c>
      <c r="J24" s="140">
        <v>25</v>
      </c>
      <c r="K24" s="140">
        <v>2.11</v>
      </c>
    </row>
    <row r="25" spans="1:23" x14ac:dyDescent="0.25">
      <c r="A25" s="78" t="s">
        <v>193</v>
      </c>
      <c r="B25" s="136">
        <f>Resultados!V22</f>
        <v>4.0824829046386304E-2</v>
      </c>
      <c r="C25" s="80">
        <v>1</v>
      </c>
      <c r="D25" s="79">
        <v>1</v>
      </c>
      <c r="E25" s="137">
        <f t="shared" si="3"/>
        <v>4.0824829046386304E-2</v>
      </c>
      <c r="F25" s="46">
        <f t="shared" si="2"/>
        <v>1.0000000370370354E-2</v>
      </c>
      <c r="G25" s="141" t="s">
        <v>171</v>
      </c>
      <c r="J25" s="140">
        <v>30</v>
      </c>
      <c r="K25" s="140">
        <v>2.09</v>
      </c>
    </row>
    <row r="26" spans="1:23" x14ac:dyDescent="0.25">
      <c r="A26" s="78" t="s">
        <v>194</v>
      </c>
      <c r="B26" s="136">
        <f>Resultados!W22</f>
        <v>0</v>
      </c>
      <c r="C26" s="80">
        <v>1</v>
      </c>
      <c r="D26" s="79">
        <v>1</v>
      </c>
      <c r="E26" s="137">
        <f t="shared" si="3"/>
        <v>0</v>
      </c>
      <c r="F26" s="46">
        <f t="shared" si="2"/>
        <v>0</v>
      </c>
      <c r="G26" s="79">
        <v>50</v>
      </c>
      <c r="J26" s="140">
        <v>35</v>
      </c>
      <c r="K26" s="140">
        <v>2.0699999999999998</v>
      </c>
    </row>
    <row r="27" spans="1:23" x14ac:dyDescent="0.25">
      <c r="A27" s="78" t="s">
        <v>195</v>
      </c>
      <c r="B27" s="136">
        <f>Resultados!X22</f>
        <v>2.8867513459481291</v>
      </c>
      <c r="C27" s="80">
        <v>1</v>
      </c>
      <c r="D27" s="79">
        <v>1</v>
      </c>
      <c r="E27" s="137">
        <f t="shared" si="3"/>
        <v>2.8867513459481291</v>
      </c>
      <c r="F27" s="46">
        <f t="shared" si="2"/>
        <v>50.000001851851771</v>
      </c>
      <c r="G27" s="141" t="s">
        <v>171</v>
      </c>
      <c r="J27" s="140">
        <v>40</v>
      </c>
      <c r="K27" s="140">
        <v>2.06</v>
      </c>
    </row>
    <row r="28" spans="1:23" x14ac:dyDescent="0.25">
      <c r="A28" s="78" t="str">
        <f>Resultados!$Y$19</f>
        <v>Error de abbe (µm)</v>
      </c>
      <c r="B28" s="136">
        <f>Resultados!Y22</f>
        <v>2.8867512390314194</v>
      </c>
      <c r="C28" s="80">
        <v>1</v>
      </c>
      <c r="D28" s="79">
        <v>1</v>
      </c>
      <c r="E28" s="137">
        <f t="shared" si="3"/>
        <v>2.8867512390314194</v>
      </c>
      <c r="F28" s="46">
        <f t="shared" si="2"/>
        <v>49.999998148148237</v>
      </c>
      <c r="G28" s="141">
        <v>50</v>
      </c>
      <c r="J28" s="140">
        <v>45</v>
      </c>
      <c r="K28" s="140">
        <v>2.06</v>
      </c>
    </row>
    <row r="29" spans="1:23" x14ac:dyDescent="0.25">
      <c r="E29" s="137">
        <f>SQRT(SUMSQ(E19:E28))</f>
        <v>4.0826869480832642</v>
      </c>
      <c r="F29" s="128">
        <f>SUM(F19:F28)</f>
        <v>100.01000000037038</v>
      </c>
      <c r="G29" s="129">
        <f>(E29^4)/(((E19^4)/G19)+((E20^4)/G20)+((E21^4)/G21)+0+((E23^4)/G23)+0+((E24^4)/G24)+0+((E26^4)/G26)+0+((E28^4)/G28))</f>
        <v>200.04001681925973</v>
      </c>
      <c r="J29" s="140">
        <v>50</v>
      </c>
      <c r="K29" s="140">
        <v>2.0499999999999998</v>
      </c>
    </row>
    <row r="30" spans="1:23" ht="15" x14ac:dyDescent="0.25">
      <c r="F30" s="130" t="s">
        <v>169</v>
      </c>
      <c r="G30" s="131">
        <f>G29</f>
        <v>200.04001681925973</v>
      </c>
      <c r="J30" s="140">
        <v>100</v>
      </c>
      <c r="K30" s="140">
        <v>2.0249999999999999</v>
      </c>
    </row>
    <row r="31" spans="1:23" x14ac:dyDescent="0.25">
      <c r="F31" s="132" t="s">
        <v>170</v>
      </c>
      <c r="G31" s="133">
        <f>IF(G30&gt;100,2,VLOOKUP(G30,$J$4:$K$30,2))</f>
        <v>2</v>
      </c>
      <c r="J31" s="141" t="s">
        <v>171</v>
      </c>
      <c r="K31" s="142">
        <v>2</v>
      </c>
    </row>
    <row r="33" spans="1:7" ht="17.399999999999999" x14ac:dyDescent="0.3">
      <c r="A33" s="170" t="s">
        <v>188</v>
      </c>
      <c r="B33" s="170"/>
      <c r="C33" s="125"/>
      <c r="D33" s="125"/>
      <c r="E33" s="125"/>
    </row>
    <row r="34" spans="1:7" ht="28.8" x14ac:dyDescent="0.25">
      <c r="A34" s="126" t="s">
        <v>191</v>
      </c>
      <c r="B34" s="134" t="s">
        <v>190</v>
      </c>
      <c r="C34" s="126" t="s">
        <v>164</v>
      </c>
      <c r="D34" s="127" t="s">
        <v>165</v>
      </c>
      <c r="E34" s="127" t="s">
        <v>166</v>
      </c>
      <c r="F34" s="126" t="s">
        <v>167</v>
      </c>
      <c r="G34" s="127" t="s">
        <v>168</v>
      </c>
    </row>
    <row r="35" spans="1:7" x14ac:dyDescent="0.25">
      <c r="A35" s="78" t="s">
        <v>616</v>
      </c>
      <c r="B35" s="143">
        <f>Resultados!P23</f>
        <v>0</v>
      </c>
      <c r="C35" s="80">
        <f>Resultados!P35</f>
        <v>1.0000283199</v>
      </c>
      <c r="D35" s="79">
        <v>1</v>
      </c>
      <c r="E35" s="137">
        <f>B35*C35</f>
        <v>0</v>
      </c>
      <c r="F35" s="46">
        <f t="shared" ref="F35:F44" si="4">E35^2/$E$13^2*100</f>
        <v>0</v>
      </c>
      <c r="G35" s="141">
        <v>4</v>
      </c>
    </row>
    <row r="36" spans="1:7" x14ac:dyDescent="0.25">
      <c r="A36" s="209" t="s">
        <v>617</v>
      </c>
      <c r="B36" s="210">
        <f>Resultados!Q23</f>
        <v>6.6395280956806967E-7</v>
      </c>
      <c r="C36" s="210">
        <f>Resultados!R35</f>
        <v>0</v>
      </c>
      <c r="D36" s="135" t="s">
        <v>621</v>
      </c>
      <c r="E36" s="137">
        <f t="shared" ref="E36:E44" si="5">B36*C36</f>
        <v>0</v>
      </c>
      <c r="F36" s="46">
        <f t="shared" si="4"/>
        <v>0</v>
      </c>
      <c r="G36" s="141">
        <v>50</v>
      </c>
    </row>
    <row r="37" spans="1:7" ht="13.8" x14ac:dyDescent="0.25">
      <c r="A37" s="211" t="s">
        <v>618</v>
      </c>
      <c r="B37" s="210">
        <f>Resultados!R23</f>
        <v>1.4297550792589164</v>
      </c>
      <c r="C37" s="210">
        <f>Resultados!R35</f>
        <v>0</v>
      </c>
      <c r="D37" s="212" t="s">
        <v>622</v>
      </c>
      <c r="E37" s="137">
        <f t="shared" si="5"/>
        <v>0</v>
      </c>
      <c r="F37" s="46">
        <f t="shared" si="4"/>
        <v>0</v>
      </c>
      <c r="G37" s="141">
        <v>50</v>
      </c>
    </row>
    <row r="38" spans="1:7" x14ac:dyDescent="0.25">
      <c r="A38" s="78" t="s">
        <v>192</v>
      </c>
      <c r="B38" s="210">
        <f>Resultados!S23</f>
        <v>0</v>
      </c>
      <c r="C38" s="210">
        <f>Resultados!S35</f>
        <v>-1.0000283199</v>
      </c>
      <c r="D38" s="79">
        <v>1</v>
      </c>
      <c r="E38" s="137">
        <f t="shared" si="5"/>
        <v>0</v>
      </c>
      <c r="F38" s="46">
        <f t="shared" si="4"/>
        <v>0</v>
      </c>
      <c r="G38" s="141" t="s">
        <v>171</v>
      </c>
    </row>
    <row r="39" spans="1:7" x14ac:dyDescent="0.25">
      <c r="A39" s="209" t="s">
        <v>619</v>
      </c>
      <c r="B39" s="210">
        <f>Resultados!T23</f>
        <v>6.6395280956806967E-7</v>
      </c>
      <c r="C39" s="210">
        <f>Resultados!T35</f>
        <v>0</v>
      </c>
      <c r="D39" s="135" t="s">
        <v>621</v>
      </c>
      <c r="E39" s="137">
        <f t="shared" si="5"/>
        <v>0</v>
      </c>
      <c r="F39" s="46">
        <f t="shared" si="4"/>
        <v>0</v>
      </c>
      <c r="G39" s="141">
        <v>50</v>
      </c>
    </row>
    <row r="40" spans="1:7" ht="13.8" x14ac:dyDescent="0.25">
      <c r="A40" s="211" t="s">
        <v>620</v>
      </c>
      <c r="B40" s="210">
        <f>Resultados!U23</f>
        <v>1.4297550792589164</v>
      </c>
      <c r="C40" s="210">
        <f>Resultados!U35</f>
        <v>0</v>
      </c>
      <c r="D40" s="212" t="s">
        <v>622</v>
      </c>
      <c r="E40" s="137">
        <f t="shared" si="5"/>
        <v>0</v>
      </c>
      <c r="F40" s="46">
        <f t="shared" si="4"/>
        <v>0</v>
      </c>
      <c r="G40" s="141">
        <v>50</v>
      </c>
    </row>
    <row r="41" spans="1:7" x14ac:dyDescent="0.25">
      <c r="A41" s="78" t="s">
        <v>193</v>
      </c>
      <c r="B41" s="136">
        <f>Resultados!V23</f>
        <v>4.0824829046386304E-2</v>
      </c>
      <c r="C41" s="80">
        <v>1</v>
      </c>
      <c r="D41" s="79">
        <v>1</v>
      </c>
      <c r="E41" s="137">
        <f t="shared" si="5"/>
        <v>4.0824829046386304E-2</v>
      </c>
      <c r="F41" s="46">
        <f t="shared" si="4"/>
        <v>1.0000000370370354E-2</v>
      </c>
      <c r="G41" s="141" t="s">
        <v>171</v>
      </c>
    </row>
    <row r="42" spans="1:7" x14ac:dyDescent="0.25">
      <c r="A42" s="78" t="s">
        <v>194</v>
      </c>
      <c r="B42" s="136">
        <f>Resultados!W23</f>
        <v>0</v>
      </c>
      <c r="C42" s="80">
        <v>1</v>
      </c>
      <c r="D42" s="79">
        <v>1</v>
      </c>
      <c r="E42" s="137">
        <f t="shared" si="5"/>
        <v>0</v>
      </c>
      <c r="F42" s="46">
        <f t="shared" si="4"/>
        <v>0</v>
      </c>
      <c r="G42" s="79">
        <v>50</v>
      </c>
    </row>
    <row r="43" spans="1:7" x14ac:dyDescent="0.25">
      <c r="A43" s="78" t="s">
        <v>195</v>
      </c>
      <c r="B43" s="136">
        <f>Resultados!X23</f>
        <v>2.8867513459481291</v>
      </c>
      <c r="C43" s="80">
        <v>1</v>
      </c>
      <c r="D43" s="79">
        <v>1</v>
      </c>
      <c r="E43" s="137">
        <f t="shared" si="5"/>
        <v>2.8867513459481291</v>
      </c>
      <c r="F43" s="46">
        <f t="shared" si="4"/>
        <v>50.000001851851771</v>
      </c>
      <c r="G43" s="141" t="s">
        <v>171</v>
      </c>
    </row>
    <row r="44" spans="1:7" x14ac:dyDescent="0.25">
      <c r="A44" s="78" t="str">
        <f>Resultados!$Y$19</f>
        <v>Error de abbe (µm)</v>
      </c>
      <c r="B44" s="136">
        <f>Resultados!Y23</f>
        <v>2.8867512390314194</v>
      </c>
      <c r="C44" s="80">
        <v>1</v>
      </c>
      <c r="D44" s="79">
        <v>1</v>
      </c>
      <c r="E44" s="137">
        <f t="shared" si="5"/>
        <v>2.8867512390314194</v>
      </c>
      <c r="F44" s="46">
        <f t="shared" si="4"/>
        <v>49.999998148148237</v>
      </c>
      <c r="G44" s="141">
        <v>50</v>
      </c>
    </row>
    <row r="45" spans="1:7" x14ac:dyDescent="0.25">
      <c r="E45" s="137">
        <f>SQRT(SUMSQ(E35:E44))</f>
        <v>4.0826869480832642</v>
      </c>
      <c r="F45" s="128">
        <f>SUM(F35:F44)</f>
        <v>100.01000000037038</v>
      </c>
      <c r="G45" s="129">
        <f>(E45^4)/(((E35^4)/G35)+((E36^4)/G36)+((E37^4)/G37)+0+((E39^4)/G39)+0+((E40^4)/G40)+0+((E42^4)/G42)+0+((E44^4)/G44))</f>
        <v>200.04001681925973</v>
      </c>
    </row>
    <row r="46" spans="1:7" ht="15" x14ac:dyDescent="0.25">
      <c r="F46" s="130" t="s">
        <v>169</v>
      </c>
      <c r="G46" s="131">
        <f>G45</f>
        <v>200.04001681925973</v>
      </c>
    </row>
    <row r="47" spans="1:7" x14ac:dyDescent="0.25">
      <c r="F47" s="132" t="s">
        <v>170</v>
      </c>
      <c r="G47" s="133">
        <f>IF(G46&gt;100,2,VLOOKUP(G46,$J$4:$K$30,2))</f>
        <v>2</v>
      </c>
    </row>
    <row r="48" spans="1:7" ht="17.399999999999999" x14ac:dyDescent="0.3">
      <c r="A48" s="170" t="s">
        <v>623</v>
      </c>
      <c r="B48" s="170"/>
      <c r="C48" s="125"/>
      <c r="D48" s="125"/>
      <c r="E48" s="125"/>
    </row>
    <row r="49" spans="1:7" ht="28.8" x14ac:dyDescent="0.25">
      <c r="A49" s="126" t="s">
        <v>191</v>
      </c>
      <c r="B49" s="134" t="s">
        <v>190</v>
      </c>
      <c r="C49" s="126" t="s">
        <v>164</v>
      </c>
      <c r="D49" s="127" t="s">
        <v>165</v>
      </c>
      <c r="E49" s="127" t="s">
        <v>166</v>
      </c>
      <c r="F49" s="126" t="s">
        <v>167</v>
      </c>
      <c r="G49" s="127" t="s">
        <v>168</v>
      </c>
    </row>
    <row r="50" spans="1:7" x14ac:dyDescent="0.25">
      <c r="A50" s="78" t="s">
        <v>616</v>
      </c>
      <c r="B50" s="143">
        <f>Resultados!P24</f>
        <v>0</v>
      </c>
      <c r="C50" s="80">
        <f>Resultados!P36</f>
        <v>1.0000283199</v>
      </c>
      <c r="D50" s="79">
        <v>1</v>
      </c>
      <c r="E50" s="137">
        <f>B50*C50</f>
        <v>0</v>
      </c>
      <c r="F50" s="46">
        <f t="shared" ref="F50:F59" si="6">E50^2/$E$13^2*100</f>
        <v>0</v>
      </c>
      <c r="G50" s="141">
        <v>4</v>
      </c>
    </row>
    <row r="51" spans="1:7" x14ac:dyDescent="0.25">
      <c r="A51" s="209" t="s">
        <v>617</v>
      </c>
      <c r="B51" s="210">
        <f>Resultados!Q24</f>
        <v>6.6395280956806967E-7</v>
      </c>
      <c r="C51" s="210">
        <f>Resultados!R36</f>
        <v>0</v>
      </c>
      <c r="D51" s="135" t="s">
        <v>621</v>
      </c>
      <c r="E51" s="137">
        <f t="shared" ref="E51:E59" si="7">B51*C51</f>
        <v>0</v>
      </c>
      <c r="F51" s="46">
        <f t="shared" si="6"/>
        <v>0</v>
      </c>
      <c r="G51" s="141">
        <v>50</v>
      </c>
    </row>
    <row r="52" spans="1:7" ht="13.8" x14ac:dyDescent="0.25">
      <c r="A52" s="211" t="s">
        <v>618</v>
      </c>
      <c r="B52" s="210">
        <f>Resultados!R24</f>
        <v>1.4297550792589164</v>
      </c>
      <c r="C52" s="210">
        <f>Resultados!R36</f>
        <v>0</v>
      </c>
      <c r="D52" s="212" t="s">
        <v>622</v>
      </c>
      <c r="E52" s="137">
        <f t="shared" si="7"/>
        <v>0</v>
      </c>
      <c r="F52" s="46">
        <f t="shared" si="6"/>
        <v>0</v>
      </c>
      <c r="G52" s="141">
        <v>50</v>
      </c>
    </row>
    <row r="53" spans="1:7" x14ac:dyDescent="0.25">
      <c r="A53" s="78" t="s">
        <v>192</v>
      </c>
      <c r="B53" s="210">
        <f>Resultados!S24</f>
        <v>0</v>
      </c>
      <c r="C53" s="210">
        <f>Resultados!S36</f>
        <v>-1.0000283199</v>
      </c>
      <c r="D53" s="79">
        <v>1</v>
      </c>
      <c r="E53" s="137">
        <f t="shared" si="7"/>
        <v>0</v>
      </c>
      <c r="F53" s="46">
        <f t="shared" si="6"/>
        <v>0</v>
      </c>
      <c r="G53" s="141" t="s">
        <v>171</v>
      </c>
    </row>
    <row r="54" spans="1:7" x14ac:dyDescent="0.25">
      <c r="A54" s="209" t="s">
        <v>619</v>
      </c>
      <c r="B54" s="210">
        <f>Resultados!T24</f>
        <v>6.6395280956806967E-7</v>
      </c>
      <c r="C54" s="210">
        <f>Resultados!T36</f>
        <v>0</v>
      </c>
      <c r="D54" s="135" t="s">
        <v>621</v>
      </c>
      <c r="E54" s="137">
        <f t="shared" si="7"/>
        <v>0</v>
      </c>
      <c r="F54" s="46">
        <f t="shared" si="6"/>
        <v>0</v>
      </c>
      <c r="G54" s="141">
        <v>50</v>
      </c>
    </row>
    <row r="55" spans="1:7" ht="13.8" x14ac:dyDescent="0.25">
      <c r="A55" s="211" t="s">
        <v>620</v>
      </c>
      <c r="B55" s="210">
        <f>Resultados!U24</f>
        <v>1.4297550792589164</v>
      </c>
      <c r="C55" s="210">
        <f>Resultados!U36</f>
        <v>0</v>
      </c>
      <c r="D55" s="212" t="s">
        <v>622</v>
      </c>
      <c r="E55" s="137">
        <f t="shared" si="7"/>
        <v>0</v>
      </c>
      <c r="F55" s="46">
        <f t="shared" si="6"/>
        <v>0</v>
      </c>
      <c r="G55" s="141">
        <v>50</v>
      </c>
    </row>
    <row r="56" spans="1:7" x14ac:dyDescent="0.25">
      <c r="A56" s="78" t="s">
        <v>193</v>
      </c>
      <c r="B56" s="136">
        <f>Resultados!V24</f>
        <v>4.0824829046386304E-2</v>
      </c>
      <c r="C56" s="80">
        <v>1</v>
      </c>
      <c r="D56" s="79">
        <v>1</v>
      </c>
      <c r="E56" s="137">
        <f t="shared" si="7"/>
        <v>4.0824829046386304E-2</v>
      </c>
      <c r="F56" s="46">
        <f t="shared" si="6"/>
        <v>1.0000000370370354E-2</v>
      </c>
      <c r="G56" s="141" t="s">
        <v>171</v>
      </c>
    </row>
    <row r="57" spans="1:7" x14ac:dyDescent="0.25">
      <c r="A57" s="78" t="s">
        <v>194</v>
      </c>
      <c r="B57" s="136">
        <f>Resultados!W24</f>
        <v>0</v>
      </c>
      <c r="C57" s="80">
        <v>1</v>
      </c>
      <c r="D57" s="79">
        <v>1</v>
      </c>
      <c r="E57" s="137">
        <f t="shared" si="7"/>
        <v>0</v>
      </c>
      <c r="F57" s="46">
        <f t="shared" si="6"/>
        <v>0</v>
      </c>
      <c r="G57" s="79">
        <v>50</v>
      </c>
    </row>
    <row r="58" spans="1:7" x14ac:dyDescent="0.25">
      <c r="A58" s="78" t="s">
        <v>195</v>
      </c>
      <c r="B58" s="136">
        <f>Resultados!X24</f>
        <v>2.8867513459481291</v>
      </c>
      <c r="C58" s="80">
        <v>1</v>
      </c>
      <c r="D58" s="79">
        <v>1</v>
      </c>
      <c r="E58" s="137">
        <f t="shared" si="7"/>
        <v>2.8867513459481291</v>
      </c>
      <c r="F58" s="46">
        <f t="shared" si="6"/>
        <v>50.000001851851771</v>
      </c>
      <c r="G58" s="141" t="s">
        <v>171</v>
      </c>
    </row>
    <row r="59" spans="1:7" x14ac:dyDescent="0.25">
      <c r="A59" s="78" t="str">
        <f>Resultados!$Y$19</f>
        <v>Error de abbe (µm)</v>
      </c>
      <c r="B59" s="136">
        <f>Resultados!Y24</f>
        <v>2.8867512390314194</v>
      </c>
      <c r="C59" s="80">
        <v>1</v>
      </c>
      <c r="D59" s="79">
        <v>1</v>
      </c>
      <c r="E59" s="137">
        <f t="shared" si="7"/>
        <v>2.8867512390314194</v>
      </c>
      <c r="F59" s="46">
        <f t="shared" si="6"/>
        <v>49.999998148148237</v>
      </c>
      <c r="G59" s="141">
        <v>50</v>
      </c>
    </row>
    <row r="60" spans="1:7" x14ac:dyDescent="0.25">
      <c r="E60" s="137">
        <f>SQRT(SUMSQ(E50:E59))</f>
        <v>4.0826869480832642</v>
      </c>
      <c r="F60" s="128">
        <f>SUM(F50:F59)</f>
        <v>100.01000000037038</v>
      </c>
      <c r="G60" s="129">
        <f>(E60^4)/(((E50^4)/G50)+((E51^4)/G51)+((E52^4)/G52)+0+((E54^4)/G54)+0+((E55^4)/G55)+0+((E57^4)/G57)+0+((E59^4)/G59))</f>
        <v>200.04001681925973</v>
      </c>
    </row>
    <row r="61" spans="1:7" ht="15" x14ac:dyDescent="0.25">
      <c r="F61" s="130" t="s">
        <v>169</v>
      </c>
      <c r="G61" s="131">
        <f>G60</f>
        <v>200.04001681925973</v>
      </c>
    </row>
    <row r="62" spans="1:7" x14ac:dyDescent="0.25">
      <c r="F62" s="132" t="s">
        <v>170</v>
      </c>
      <c r="G62" s="133">
        <f>IF(G61&gt;100,2,VLOOKUP(G61,$J$4:$K$30,2))</f>
        <v>2</v>
      </c>
    </row>
    <row r="63" spans="1:7" ht="17.399999999999999" x14ac:dyDescent="0.3">
      <c r="A63" s="170" t="s">
        <v>624</v>
      </c>
      <c r="B63" s="170"/>
      <c r="C63" s="125"/>
      <c r="D63" s="125"/>
      <c r="E63" s="125"/>
    </row>
    <row r="64" spans="1:7" ht="28.8" x14ac:dyDescent="0.25">
      <c r="A64" s="126" t="s">
        <v>191</v>
      </c>
      <c r="B64" s="134" t="s">
        <v>190</v>
      </c>
      <c r="C64" s="126" t="s">
        <v>164</v>
      </c>
      <c r="D64" s="127" t="s">
        <v>165</v>
      </c>
      <c r="E64" s="127" t="s">
        <v>166</v>
      </c>
      <c r="F64" s="126" t="s">
        <v>167</v>
      </c>
      <c r="G64" s="127" t="s">
        <v>168</v>
      </c>
    </row>
    <row r="65" spans="1:7" x14ac:dyDescent="0.25">
      <c r="A65" s="78" t="s">
        <v>616</v>
      </c>
      <c r="B65" s="143">
        <f>Resultados!P25</f>
        <v>0</v>
      </c>
      <c r="C65" s="80">
        <f>Resultados!P37</f>
        <v>1.0000283199</v>
      </c>
      <c r="D65" s="79">
        <v>1</v>
      </c>
      <c r="E65" s="137">
        <f>B65*C65</f>
        <v>0</v>
      </c>
      <c r="F65" s="46">
        <f t="shared" ref="F65:F74" si="8">E65^2/$E$13^2*100</f>
        <v>0</v>
      </c>
      <c r="G65" s="141">
        <v>4</v>
      </c>
    </row>
    <row r="66" spans="1:7" x14ac:dyDescent="0.25">
      <c r="A66" s="209" t="s">
        <v>617</v>
      </c>
      <c r="B66" s="210">
        <f>Resultados!Q25</f>
        <v>6.6395280956806967E-7</v>
      </c>
      <c r="C66" s="210">
        <f>Resultados!R37</f>
        <v>0</v>
      </c>
      <c r="D66" s="135" t="s">
        <v>621</v>
      </c>
      <c r="E66" s="137">
        <f t="shared" ref="E66:E74" si="9">B66*C66</f>
        <v>0</v>
      </c>
      <c r="F66" s="46">
        <f t="shared" si="8"/>
        <v>0</v>
      </c>
      <c r="G66" s="141">
        <v>50</v>
      </c>
    </row>
    <row r="67" spans="1:7" ht="13.8" x14ac:dyDescent="0.25">
      <c r="A67" s="211" t="s">
        <v>618</v>
      </c>
      <c r="B67" s="210">
        <f>Resultados!R25</f>
        <v>1.4297550792589164</v>
      </c>
      <c r="C67" s="210">
        <f>Resultados!R37</f>
        <v>0</v>
      </c>
      <c r="D67" s="212" t="s">
        <v>622</v>
      </c>
      <c r="E67" s="137">
        <f t="shared" si="9"/>
        <v>0</v>
      </c>
      <c r="F67" s="46">
        <f t="shared" si="8"/>
        <v>0</v>
      </c>
      <c r="G67" s="141">
        <v>50</v>
      </c>
    </row>
    <row r="68" spans="1:7" x14ac:dyDescent="0.25">
      <c r="A68" s="78" t="s">
        <v>192</v>
      </c>
      <c r="B68" s="210">
        <f>Resultados!S25</f>
        <v>0</v>
      </c>
      <c r="C68" s="210">
        <f>Resultados!S37</f>
        <v>-1.0000283199</v>
      </c>
      <c r="D68" s="79">
        <v>1</v>
      </c>
      <c r="E68" s="137">
        <f t="shared" si="9"/>
        <v>0</v>
      </c>
      <c r="F68" s="46">
        <f t="shared" si="8"/>
        <v>0</v>
      </c>
      <c r="G68" s="141" t="s">
        <v>171</v>
      </c>
    </row>
    <row r="69" spans="1:7" x14ac:dyDescent="0.25">
      <c r="A69" s="209" t="s">
        <v>619</v>
      </c>
      <c r="B69" s="210">
        <f>Resultados!T25</f>
        <v>6.6395280956806967E-7</v>
      </c>
      <c r="C69" s="210">
        <f>Resultados!T37</f>
        <v>0</v>
      </c>
      <c r="D69" s="135" t="s">
        <v>621</v>
      </c>
      <c r="E69" s="137">
        <f t="shared" si="9"/>
        <v>0</v>
      </c>
      <c r="F69" s="46">
        <f t="shared" si="8"/>
        <v>0</v>
      </c>
      <c r="G69" s="141">
        <v>50</v>
      </c>
    </row>
    <row r="70" spans="1:7" ht="13.8" x14ac:dyDescent="0.25">
      <c r="A70" s="211" t="s">
        <v>620</v>
      </c>
      <c r="B70" s="210">
        <f>Resultados!U25</f>
        <v>1.4297550792589164</v>
      </c>
      <c r="C70" s="210">
        <f>Resultados!U37</f>
        <v>0</v>
      </c>
      <c r="D70" s="212" t="s">
        <v>622</v>
      </c>
      <c r="E70" s="137">
        <f t="shared" si="9"/>
        <v>0</v>
      </c>
      <c r="F70" s="46">
        <f t="shared" si="8"/>
        <v>0</v>
      </c>
      <c r="G70" s="141">
        <v>50</v>
      </c>
    </row>
    <row r="71" spans="1:7" x14ac:dyDescent="0.25">
      <c r="A71" s="78" t="s">
        <v>193</v>
      </c>
      <c r="B71" s="136">
        <f>Resultados!V25</f>
        <v>4.0824829046386304E-2</v>
      </c>
      <c r="C71" s="80">
        <v>1</v>
      </c>
      <c r="D71" s="79">
        <v>1</v>
      </c>
      <c r="E71" s="137">
        <f t="shared" si="9"/>
        <v>4.0824829046386304E-2</v>
      </c>
      <c r="F71" s="46">
        <f t="shared" si="8"/>
        <v>1.0000000370370354E-2</v>
      </c>
      <c r="G71" s="141" t="s">
        <v>171</v>
      </c>
    </row>
    <row r="72" spans="1:7" x14ac:dyDescent="0.25">
      <c r="A72" s="78" t="s">
        <v>194</v>
      </c>
      <c r="B72" s="136">
        <f>Resultados!W25</f>
        <v>0</v>
      </c>
      <c r="C72" s="80">
        <v>1</v>
      </c>
      <c r="D72" s="79">
        <v>1</v>
      </c>
      <c r="E72" s="137">
        <f t="shared" si="9"/>
        <v>0</v>
      </c>
      <c r="F72" s="46">
        <f t="shared" si="8"/>
        <v>0</v>
      </c>
      <c r="G72" s="79">
        <v>50</v>
      </c>
    </row>
    <row r="73" spans="1:7" x14ac:dyDescent="0.25">
      <c r="A73" s="78" t="s">
        <v>195</v>
      </c>
      <c r="B73" s="136">
        <f>Resultados!X25</f>
        <v>2.8867513459481291</v>
      </c>
      <c r="C73" s="80">
        <v>1</v>
      </c>
      <c r="D73" s="79">
        <v>1</v>
      </c>
      <c r="E73" s="137">
        <f t="shared" si="9"/>
        <v>2.8867513459481291</v>
      </c>
      <c r="F73" s="46">
        <f t="shared" si="8"/>
        <v>50.000001851851771</v>
      </c>
      <c r="G73" s="141" t="s">
        <v>171</v>
      </c>
    </row>
    <row r="74" spans="1:7" x14ac:dyDescent="0.25">
      <c r="A74" s="78" t="str">
        <f>Resultados!$Y$19</f>
        <v>Error de abbe (µm)</v>
      </c>
      <c r="B74" s="136">
        <f>Resultados!Y25</f>
        <v>2.8867512390314194</v>
      </c>
      <c r="C74" s="80">
        <v>1</v>
      </c>
      <c r="D74" s="79">
        <v>1</v>
      </c>
      <c r="E74" s="137">
        <f t="shared" si="9"/>
        <v>2.8867512390314194</v>
      </c>
      <c r="F74" s="46">
        <f t="shared" si="8"/>
        <v>49.999998148148237</v>
      </c>
      <c r="G74" s="141">
        <v>50</v>
      </c>
    </row>
    <row r="75" spans="1:7" x14ac:dyDescent="0.25">
      <c r="E75" s="137">
        <f>SQRT(SUMSQ(E65:E74))</f>
        <v>4.0826869480832642</v>
      </c>
      <c r="F75" s="128">
        <f>SUM(F65:F74)</f>
        <v>100.01000000037038</v>
      </c>
      <c r="G75" s="129">
        <f>(E75^4)/(((E65^4)/G65)+((E66^4)/G66)+((E67^4)/G67)+0+((E69^4)/G69)+0+((E70^4)/G70)+0+((E72^4)/G72)+0+((E74^4)/G74))</f>
        <v>200.04001681925973</v>
      </c>
    </row>
    <row r="76" spans="1:7" ht="15" x14ac:dyDescent="0.25">
      <c r="F76" s="130" t="s">
        <v>169</v>
      </c>
      <c r="G76" s="131">
        <f>G75</f>
        <v>200.04001681925973</v>
      </c>
    </row>
    <row r="77" spans="1:7" x14ac:dyDescent="0.25">
      <c r="F77" s="132" t="s">
        <v>170</v>
      </c>
      <c r="G77" s="133">
        <f>IF(G76&gt;100,2,VLOOKUP(G76,$J$4:$K$30,2))</f>
        <v>2</v>
      </c>
    </row>
    <row r="78" spans="1:7" ht="17.399999999999999" x14ac:dyDescent="0.3">
      <c r="A78" s="170" t="s">
        <v>625</v>
      </c>
      <c r="B78" s="170"/>
      <c r="C78" s="125"/>
      <c r="D78" s="125"/>
      <c r="E78" s="125"/>
    </row>
    <row r="79" spans="1:7" ht="28.8" x14ac:dyDescent="0.25">
      <c r="A79" s="126" t="s">
        <v>191</v>
      </c>
      <c r="B79" s="134" t="s">
        <v>190</v>
      </c>
      <c r="C79" s="126" t="s">
        <v>164</v>
      </c>
      <c r="D79" s="127" t="s">
        <v>165</v>
      </c>
      <c r="E79" s="127" t="s">
        <v>166</v>
      </c>
      <c r="F79" s="126" t="s">
        <v>167</v>
      </c>
      <c r="G79" s="127" t="s">
        <v>168</v>
      </c>
    </row>
    <row r="80" spans="1:7" x14ac:dyDescent="0.25">
      <c r="A80" s="78" t="s">
        <v>616</v>
      </c>
      <c r="B80" s="143">
        <f>Resultados!P26</f>
        <v>0</v>
      </c>
      <c r="C80" s="80">
        <f>Resultados!P38</f>
        <v>1.0000283199</v>
      </c>
      <c r="D80" s="79">
        <v>1</v>
      </c>
      <c r="E80" s="137">
        <f>B80*C80</f>
        <v>0</v>
      </c>
      <c r="F80" s="46">
        <f t="shared" ref="F80:F89" si="10">E80^2/$E$13^2*100</f>
        <v>0</v>
      </c>
      <c r="G80" s="141">
        <v>4</v>
      </c>
    </row>
    <row r="81" spans="1:7" x14ac:dyDescent="0.25">
      <c r="A81" s="209" t="s">
        <v>617</v>
      </c>
      <c r="B81" s="210">
        <f>Resultados!Q26</f>
        <v>6.6395280956806967E-7</v>
      </c>
      <c r="C81" s="210">
        <f>Resultados!R38</f>
        <v>0</v>
      </c>
      <c r="D81" s="135" t="s">
        <v>621</v>
      </c>
      <c r="E81" s="137">
        <f t="shared" ref="E81:E89" si="11">B81*C81</f>
        <v>0</v>
      </c>
      <c r="F81" s="46">
        <f t="shared" si="10"/>
        <v>0</v>
      </c>
      <c r="G81" s="141">
        <v>50</v>
      </c>
    </row>
    <row r="82" spans="1:7" ht="13.8" x14ac:dyDescent="0.25">
      <c r="A82" s="211" t="s">
        <v>618</v>
      </c>
      <c r="B82" s="210">
        <f>Resultados!R26</f>
        <v>1.4297550792589164</v>
      </c>
      <c r="C82" s="210">
        <f>Resultados!R38</f>
        <v>0</v>
      </c>
      <c r="D82" s="212" t="s">
        <v>622</v>
      </c>
      <c r="E82" s="137">
        <f t="shared" si="11"/>
        <v>0</v>
      </c>
      <c r="F82" s="46">
        <f t="shared" si="10"/>
        <v>0</v>
      </c>
      <c r="G82" s="141">
        <v>50</v>
      </c>
    </row>
    <row r="83" spans="1:7" x14ac:dyDescent="0.25">
      <c r="A83" s="78" t="s">
        <v>192</v>
      </c>
      <c r="B83" s="210">
        <f>Resultados!S26</f>
        <v>0</v>
      </c>
      <c r="C83" s="210">
        <f>Resultados!S38</f>
        <v>-1.0000283199</v>
      </c>
      <c r="D83" s="79">
        <v>1</v>
      </c>
      <c r="E83" s="137">
        <f t="shared" si="11"/>
        <v>0</v>
      </c>
      <c r="F83" s="46">
        <f t="shared" si="10"/>
        <v>0</v>
      </c>
      <c r="G83" s="141" t="s">
        <v>171</v>
      </c>
    </row>
    <row r="84" spans="1:7" x14ac:dyDescent="0.25">
      <c r="A84" s="209" t="s">
        <v>619</v>
      </c>
      <c r="B84" s="210">
        <f>Resultados!T26</f>
        <v>6.6395280956806967E-7</v>
      </c>
      <c r="C84" s="210">
        <f>Resultados!T38</f>
        <v>0</v>
      </c>
      <c r="D84" s="135" t="s">
        <v>621</v>
      </c>
      <c r="E84" s="137">
        <f t="shared" si="11"/>
        <v>0</v>
      </c>
      <c r="F84" s="46">
        <f t="shared" si="10"/>
        <v>0</v>
      </c>
      <c r="G84" s="141">
        <v>50</v>
      </c>
    </row>
    <row r="85" spans="1:7" ht="13.8" x14ac:dyDescent="0.25">
      <c r="A85" s="211" t="s">
        <v>620</v>
      </c>
      <c r="B85" s="210">
        <f>Resultados!U26</f>
        <v>1.4297550792589164</v>
      </c>
      <c r="C85" s="210">
        <f>Resultados!U38</f>
        <v>0</v>
      </c>
      <c r="D85" s="212" t="s">
        <v>622</v>
      </c>
      <c r="E85" s="137">
        <f t="shared" si="11"/>
        <v>0</v>
      </c>
      <c r="F85" s="46">
        <f t="shared" si="10"/>
        <v>0</v>
      </c>
      <c r="G85" s="141">
        <v>50</v>
      </c>
    </row>
    <row r="86" spans="1:7" x14ac:dyDescent="0.25">
      <c r="A86" s="78" t="s">
        <v>193</v>
      </c>
      <c r="B86" s="136">
        <f>Resultados!V26</f>
        <v>4.0824829046386304E-2</v>
      </c>
      <c r="C86" s="80">
        <v>1</v>
      </c>
      <c r="D86" s="79">
        <v>1</v>
      </c>
      <c r="E86" s="137">
        <f t="shared" si="11"/>
        <v>4.0824829046386304E-2</v>
      </c>
      <c r="F86" s="46">
        <f t="shared" si="10"/>
        <v>1.0000000370370354E-2</v>
      </c>
      <c r="G86" s="141" t="s">
        <v>171</v>
      </c>
    </row>
    <row r="87" spans="1:7" x14ac:dyDescent="0.25">
      <c r="A87" s="78" t="s">
        <v>194</v>
      </c>
      <c r="B87" s="136">
        <f>Resultados!W26</f>
        <v>0</v>
      </c>
      <c r="C87" s="80">
        <v>1</v>
      </c>
      <c r="D87" s="79">
        <v>1</v>
      </c>
      <c r="E87" s="137">
        <f t="shared" si="11"/>
        <v>0</v>
      </c>
      <c r="F87" s="46">
        <f t="shared" si="10"/>
        <v>0</v>
      </c>
      <c r="G87" s="79">
        <v>50</v>
      </c>
    </row>
    <row r="88" spans="1:7" x14ac:dyDescent="0.25">
      <c r="A88" s="78" t="s">
        <v>195</v>
      </c>
      <c r="B88" s="136">
        <f>Resultados!X26</f>
        <v>2.8867513459481291</v>
      </c>
      <c r="C88" s="80">
        <v>1</v>
      </c>
      <c r="D88" s="79">
        <v>1</v>
      </c>
      <c r="E88" s="137">
        <f t="shared" si="11"/>
        <v>2.8867513459481291</v>
      </c>
      <c r="F88" s="46">
        <f t="shared" si="10"/>
        <v>50.000001851851771</v>
      </c>
      <c r="G88" s="141" t="s">
        <v>171</v>
      </c>
    </row>
    <row r="89" spans="1:7" x14ac:dyDescent="0.25">
      <c r="A89" s="78" t="str">
        <f>Resultados!$Y$19</f>
        <v>Error de abbe (µm)</v>
      </c>
      <c r="B89" s="136">
        <f>Resultados!Y26</f>
        <v>2.8867512390314194</v>
      </c>
      <c r="C89" s="80">
        <v>1</v>
      </c>
      <c r="D89" s="79">
        <v>1</v>
      </c>
      <c r="E89" s="137">
        <f t="shared" si="11"/>
        <v>2.8867512390314194</v>
      </c>
      <c r="F89" s="46">
        <f t="shared" si="10"/>
        <v>49.999998148148237</v>
      </c>
      <c r="G89" s="141">
        <v>50</v>
      </c>
    </row>
    <row r="90" spans="1:7" x14ac:dyDescent="0.25">
      <c r="E90" s="137">
        <f>SQRT(SUMSQ(E80:E89))</f>
        <v>4.0826869480832642</v>
      </c>
      <c r="F90" s="128">
        <f>SUM(F80:F89)</f>
        <v>100.01000000037038</v>
      </c>
      <c r="G90" s="129">
        <f>(E90^4)/(((E80^4)/G80)+((E81^4)/G81)+((E82^4)/G82)+0+((E84^4)/G84)+0+((E85^4)/G85)+0+((E87^4)/G87)+0+((E89^4)/G89))</f>
        <v>200.04001681925973</v>
      </c>
    </row>
    <row r="91" spans="1:7" ht="15" x14ac:dyDescent="0.25">
      <c r="F91" s="130" t="s">
        <v>169</v>
      </c>
      <c r="G91" s="131">
        <f>G90</f>
        <v>200.04001681925973</v>
      </c>
    </row>
    <row r="92" spans="1:7" x14ac:dyDescent="0.25">
      <c r="F92" s="132" t="s">
        <v>170</v>
      </c>
      <c r="G92" s="133">
        <f>IF(G91&gt;100,2,VLOOKUP(G91,$J$4:$K$30,2))</f>
        <v>2</v>
      </c>
    </row>
    <row r="93" spans="1:7" ht="17.399999999999999" x14ac:dyDescent="0.3">
      <c r="A93" s="170" t="s">
        <v>626</v>
      </c>
      <c r="B93" s="170"/>
      <c r="C93" s="125"/>
      <c r="D93" s="125"/>
      <c r="E93" s="125"/>
    </row>
    <row r="94" spans="1:7" ht="28.8" x14ac:dyDescent="0.25">
      <c r="A94" s="126" t="s">
        <v>191</v>
      </c>
      <c r="B94" s="134" t="s">
        <v>190</v>
      </c>
      <c r="C94" s="126" t="s">
        <v>164</v>
      </c>
      <c r="D94" s="127" t="s">
        <v>165</v>
      </c>
      <c r="E94" s="127" t="s">
        <v>166</v>
      </c>
      <c r="F94" s="126" t="s">
        <v>167</v>
      </c>
      <c r="G94" s="127" t="s">
        <v>168</v>
      </c>
    </row>
    <row r="95" spans="1:7" x14ac:dyDescent="0.25">
      <c r="A95" s="78" t="s">
        <v>616</v>
      </c>
      <c r="B95" s="143">
        <f>Resultados!P27</f>
        <v>0</v>
      </c>
      <c r="C95" s="80">
        <f>Resultados!P39</f>
        <v>1.0000283199</v>
      </c>
      <c r="D95" s="79">
        <v>1</v>
      </c>
      <c r="E95" s="137">
        <f>B95*C95</f>
        <v>0</v>
      </c>
      <c r="F95" s="46">
        <f t="shared" ref="F95:F104" si="12">E95^2/$E$13^2*100</f>
        <v>0</v>
      </c>
      <c r="G95" s="141">
        <v>4</v>
      </c>
    </row>
    <row r="96" spans="1:7" x14ac:dyDescent="0.25">
      <c r="A96" s="209" t="s">
        <v>617</v>
      </c>
      <c r="B96" s="210">
        <f>Resultados!Q27</f>
        <v>6.6395280956806967E-7</v>
      </c>
      <c r="C96" s="210">
        <f>Resultados!R39</f>
        <v>0</v>
      </c>
      <c r="D96" s="135" t="s">
        <v>621</v>
      </c>
      <c r="E96" s="137">
        <f t="shared" ref="E96:E104" si="13">B96*C96</f>
        <v>0</v>
      </c>
      <c r="F96" s="46">
        <f t="shared" si="12"/>
        <v>0</v>
      </c>
      <c r="G96" s="141">
        <v>50</v>
      </c>
    </row>
    <row r="97" spans="1:7" ht="13.8" x14ac:dyDescent="0.25">
      <c r="A97" s="211" t="s">
        <v>618</v>
      </c>
      <c r="B97" s="210">
        <f>Resultados!R27</f>
        <v>1.4297550792589164</v>
      </c>
      <c r="C97" s="210">
        <f>Resultados!R39</f>
        <v>0</v>
      </c>
      <c r="D97" s="212" t="s">
        <v>622</v>
      </c>
      <c r="E97" s="137">
        <f t="shared" si="13"/>
        <v>0</v>
      </c>
      <c r="F97" s="46">
        <f t="shared" si="12"/>
        <v>0</v>
      </c>
      <c r="G97" s="141">
        <v>50</v>
      </c>
    </row>
    <row r="98" spans="1:7" x14ac:dyDescent="0.25">
      <c r="A98" s="78" t="s">
        <v>192</v>
      </c>
      <c r="B98" s="210">
        <f>Resultados!S27</f>
        <v>0</v>
      </c>
      <c r="C98" s="210">
        <f>Resultados!S39</f>
        <v>-1.0000283199</v>
      </c>
      <c r="D98" s="79">
        <v>1</v>
      </c>
      <c r="E98" s="137">
        <f t="shared" si="13"/>
        <v>0</v>
      </c>
      <c r="F98" s="46">
        <f t="shared" si="12"/>
        <v>0</v>
      </c>
      <c r="G98" s="141" t="s">
        <v>171</v>
      </c>
    </row>
    <row r="99" spans="1:7" x14ac:dyDescent="0.25">
      <c r="A99" s="209" t="s">
        <v>619</v>
      </c>
      <c r="B99" s="210">
        <f>Resultados!T27</f>
        <v>6.6395280956806967E-7</v>
      </c>
      <c r="C99" s="210">
        <f>Resultados!T39</f>
        <v>0</v>
      </c>
      <c r="D99" s="135" t="s">
        <v>621</v>
      </c>
      <c r="E99" s="137">
        <f t="shared" si="13"/>
        <v>0</v>
      </c>
      <c r="F99" s="46">
        <f t="shared" si="12"/>
        <v>0</v>
      </c>
      <c r="G99" s="141">
        <v>50</v>
      </c>
    </row>
    <row r="100" spans="1:7" ht="13.8" x14ac:dyDescent="0.25">
      <c r="A100" s="211" t="s">
        <v>620</v>
      </c>
      <c r="B100" s="210">
        <f>Resultados!U27</f>
        <v>1.4297550792589164</v>
      </c>
      <c r="C100" s="210">
        <f>Resultados!U39</f>
        <v>0</v>
      </c>
      <c r="D100" s="212" t="s">
        <v>622</v>
      </c>
      <c r="E100" s="137">
        <f t="shared" si="13"/>
        <v>0</v>
      </c>
      <c r="F100" s="46">
        <f t="shared" si="12"/>
        <v>0</v>
      </c>
      <c r="G100" s="141">
        <v>50</v>
      </c>
    </row>
    <row r="101" spans="1:7" x14ac:dyDescent="0.25">
      <c r="A101" s="78" t="s">
        <v>193</v>
      </c>
      <c r="B101" s="136">
        <f>Resultados!V27</f>
        <v>4.0824829046386304E-2</v>
      </c>
      <c r="C101" s="80">
        <v>1</v>
      </c>
      <c r="D101" s="79">
        <v>1</v>
      </c>
      <c r="E101" s="137">
        <f t="shared" si="13"/>
        <v>4.0824829046386304E-2</v>
      </c>
      <c r="F101" s="46">
        <f t="shared" si="12"/>
        <v>1.0000000370370354E-2</v>
      </c>
      <c r="G101" s="141" t="s">
        <v>171</v>
      </c>
    </row>
    <row r="102" spans="1:7" x14ac:dyDescent="0.25">
      <c r="A102" s="78" t="s">
        <v>194</v>
      </c>
      <c r="B102" s="136">
        <f>Resultados!W27</f>
        <v>0</v>
      </c>
      <c r="C102" s="80">
        <v>1</v>
      </c>
      <c r="D102" s="79">
        <v>1</v>
      </c>
      <c r="E102" s="137">
        <f t="shared" si="13"/>
        <v>0</v>
      </c>
      <c r="F102" s="46">
        <f t="shared" si="12"/>
        <v>0</v>
      </c>
      <c r="G102" s="79">
        <v>50</v>
      </c>
    </row>
    <row r="103" spans="1:7" x14ac:dyDescent="0.25">
      <c r="A103" s="78" t="s">
        <v>195</v>
      </c>
      <c r="B103" s="136">
        <f>Resultados!X27</f>
        <v>2.8867513459481291</v>
      </c>
      <c r="C103" s="80">
        <v>1</v>
      </c>
      <c r="D103" s="79">
        <v>1</v>
      </c>
      <c r="E103" s="137">
        <f t="shared" si="13"/>
        <v>2.8867513459481291</v>
      </c>
      <c r="F103" s="46">
        <f t="shared" si="12"/>
        <v>50.000001851851771</v>
      </c>
      <c r="G103" s="141" t="s">
        <v>171</v>
      </c>
    </row>
    <row r="104" spans="1:7" x14ac:dyDescent="0.25">
      <c r="A104" s="78" t="str">
        <f>Resultados!$Y$19</f>
        <v>Error de abbe (µm)</v>
      </c>
      <c r="B104" s="136">
        <f>Resultados!Y27</f>
        <v>2.8867512390314194</v>
      </c>
      <c r="C104" s="80">
        <v>1</v>
      </c>
      <c r="D104" s="79">
        <v>1</v>
      </c>
      <c r="E104" s="137">
        <f t="shared" si="13"/>
        <v>2.8867512390314194</v>
      </c>
      <c r="F104" s="46">
        <f t="shared" si="12"/>
        <v>49.999998148148237</v>
      </c>
      <c r="G104" s="141">
        <v>50</v>
      </c>
    </row>
    <row r="105" spans="1:7" x14ac:dyDescent="0.25">
      <c r="E105" s="137">
        <f>SQRT(SUMSQ(E95:E104))</f>
        <v>4.0826869480832642</v>
      </c>
      <c r="F105" s="128">
        <f>SUM(F95:F104)</f>
        <v>100.01000000037038</v>
      </c>
      <c r="G105" s="129">
        <f>(E105^4)/(((E95^4)/G95)+((E96^4)/G96)+((E97^4)/G97)+0+((E99^4)/G99)+0+((E100^4)/G100)+0+((E102^4)/G102)+0+((E104^4)/G104))</f>
        <v>200.04001681925973</v>
      </c>
    </row>
    <row r="106" spans="1:7" ht="15" x14ac:dyDescent="0.25">
      <c r="F106" s="130" t="s">
        <v>169</v>
      </c>
      <c r="G106" s="131">
        <f>G105</f>
        <v>200.04001681925973</v>
      </c>
    </row>
    <row r="107" spans="1:7" x14ac:dyDescent="0.25">
      <c r="F107" s="132" t="s">
        <v>170</v>
      </c>
      <c r="G107" s="133">
        <f>IF(G106&gt;100,2,VLOOKUP(G106,$J$4:$K$30,2))</f>
        <v>2</v>
      </c>
    </row>
    <row r="108" spans="1:7" ht="17.399999999999999" x14ac:dyDescent="0.3">
      <c r="A108" s="213" t="s">
        <v>627</v>
      </c>
      <c r="B108" s="213"/>
      <c r="C108" s="214"/>
      <c r="D108" s="214"/>
      <c r="E108" s="214"/>
      <c r="F108" s="215"/>
      <c r="G108" s="215"/>
    </row>
    <row r="109" spans="1:7" ht="28.8" x14ac:dyDescent="0.25">
      <c r="A109" s="216" t="s">
        <v>191</v>
      </c>
      <c r="B109" s="217" t="s">
        <v>190</v>
      </c>
      <c r="C109" s="216" t="s">
        <v>164</v>
      </c>
      <c r="D109" s="218" t="s">
        <v>165</v>
      </c>
      <c r="E109" s="218" t="s">
        <v>166</v>
      </c>
      <c r="F109" s="216" t="s">
        <v>167</v>
      </c>
      <c r="G109" s="218" t="s">
        <v>168</v>
      </c>
    </row>
    <row r="110" spans="1:7" x14ac:dyDescent="0.25">
      <c r="A110" s="219" t="s">
        <v>616</v>
      </c>
      <c r="B110" s="220">
        <f>Resultados!P28</f>
        <v>0</v>
      </c>
      <c r="C110" s="221">
        <f>Resultados!P40</f>
        <v>0</v>
      </c>
      <c r="D110" s="222">
        <v>1</v>
      </c>
      <c r="E110" s="223">
        <f>B110*C110</f>
        <v>0</v>
      </c>
      <c r="F110" s="224">
        <f t="shared" ref="F110:F119" si="14">E110^2/$E$13^2*100</f>
        <v>0</v>
      </c>
      <c r="G110" s="225">
        <v>4</v>
      </c>
    </row>
    <row r="111" spans="1:7" x14ac:dyDescent="0.25">
      <c r="A111" s="226" t="s">
        <v>617</v>
      </c>
      <c r="B111" s="227">
        <f>Resultados!Q28</f>
        <v>0</v>
      </c>
      <c r="C111" s="227">
        <f>Resultados!R40</f>
        <v>0</v>
      </c>
      <c r="D111" s="228" t="s">
        <v>621</v>
      </c>
      <c r="E111" s="223">
        <f t="shared" ref="E111:E119" si="15">B111*C111</f>
        <v>0</v>
      </c>
      <c r="F111" s="224">
        <f t="shared" si="14"/>
        <v>0</v>
      </c>
      <c r="G111" s="225">
        <v>50</v>
      </c>
    </row>
    <row r="112" spans="1:7" ht="13.8" x14ac:dyDescent="0.25">
      <c r="A112" s="229" t="s">
        <v>618</v>
      </c>
      <c r="B112" s="227">
        <f>Resultados!R28</f>
        <v>0</v>
      </c>
      <c r="C112" s="227">
        <f>Resultados!R40</f>
        <v>0</v>
      </c>
      <c r="D112" s="230" t="s">
        <v>622</v>
      </c>
      <c r="E112" s="223">
        <f t="shared" si="15"/>
        <v>0</v>
      </c>
      <c r="F112" s="224">
        <f t="shared" si="14"/>
        <v>0</v>
      </c>
      <c r="G112" s="225">
        <v>50</v>
      </c>
    </row>
    <row r="113" spans="1:7" x14ac:dyDescent="0.25">
      <c r="A113" s="219" t="s">
        <v>192</v>
      </c>
      <c r="B113" s="227">
        <f>Resultados!S28</f>
        <v>0</v>
      </c>
      <c r="C113" s="227">
        <f>Resultados!S40</f>
        <v>0</v>
      </c>
      <c r="D113" s="222">
        <v>1</v>
      </c>
      <c r="E113" s="223">
        <f t="shared" si="15"/>
        <v>0</v>
      </c>
      <c r="F113" s="224">
        <f t="shared" si="14"/>
        <v>0</v>
      </c>
      <c r="G113" s="225" t="s">
        <v>171</v>
      </c>
    </row>
    <row r="114" spans="1:7" x14ac:dyDescent="0.25">
      <c r="A114" s="226" t="s">
        <v>619</v>
      </c>
      <c r="B114" s="227">
        <f>Resultados!T28</f>
        <v>0</v>
      </c>
      <c r="C114" s="227">
        <f>Resultados!T40</f>
        <v>0</v>
      </c>
      <c r="D114" s="228" t="s">
        <v>621</v>
      </c>
      <c r="E114" s="223">
        <f t="shared" si="15"/>
        <v>0</v>
      </c>
      <c r="F114" s="224">
        <f t="shared" si="14"/>
        <v>0</v>
      </c>
      <c r="G114" s="225">
        <v>50</v>
      </c>
    </row>
    <row r="115" spans="1:7" ht="13.8" x14ac:dyDescent="0.25">
      <c r="A115" s="229" t="s">
        <v>620</v>
      </c>
      <c r="B115" s="227">
        <f>Resultados!U28</f>
        <v>0</v>
      </c>
      <c r="C115" s="227">
        <f>Resultados!U40</f>
        <v>0</v>
      </c>
      <c r="D115" s="230" t="s">
        <v>622</v>
      </c>
      <c r="E115" s="223">
        <f t="shared" si="15"/>
        <v>0</v>
      </c>
      <c r="F115" s="224">
        <f t="shared" si="14"/>
        <v>0</v>
      </c>
      <c r="G115" s="225">
        <v>50</v>
      </c>
    </row>
    <row r="116" spans="1:7" x14ac:dyDescent="0.25">
      <c r="A116" s="219" t="s">
        <v>193</v>
      </c>
      <c r="B116" s="231">
        <f>Resultados!V28</f>
        <v>0</v>
      </c>
      <c r="C116" s="221">
        <v>1</v>
      </c>
      <c r="D116" s="222">
        <v>1</v>
      </c>
      <c r="E116" s="223">
        <f t="shared" si="15"/>
        <v>0</v>
      </c>
      <c r="F116" s="224">
        <f t="shared" si="14"/>
        <v>0</v>
      </c>
      <c r="G116" s="225" t="s">
        <v>171</v>
      </c>
    </row>
    <row r="117" spans="1:7" x14ac:dyDescent="0.25">
      <c r="A117" s="219" t="s">
        <v>194</v>
      </c>
      <c r="B117" s="231">
        <f>Resultados!W28</f>
        <v>0</v>
      </c>
      <c r="C117" s="221">
        <v>1</v>
      </c>
      <c r="D117" s="222">
        <v>1</v>
      </c>
      <c r="E117" s="223">
        <f t="shared" si="15"/>
        <v>0</v>
      </c>
      <c r="F117" s="224">
        <f t="shared" si="14"/>
        <v>0</v>
      </c>
      <c r="G117" s="222">
        <v>50</v>
      </c>
    </row>
    <row r="118" spans="1:7" x14ac:dyDescent="0.25">
      <c r="A118" s="219" t="s">
        <v>195</v>
      </c>
      <c r="B118" s="231">
        <f>Resultados!X28</f>
        <v>0</v>
      </c>
      <c r="C118" s="221">
        <v>1</v>
      </c>
      <c r="D118" s="222">
        <v>1</v>
      </c>
      <c r="E118" s="223">
        <f t="shared" si="15"/>
        <v>0</v>
      </c>
      <c r="F118" s="224">
        <f t="shared" si="14"/>
        <v>0</v>
      </c>
      <c r="G118" s="225" t="s">
        <v>171</v>
      </c>
    </row>
    <row r="119" spans="1:7" x14ac:dyDescent="0.25">
      <c r="A119" s="219" t="str">
        <f>Resultados!$Y$19</f>
        <v>Error de abbe (µm)</v>
      </c>
      <c r="B119" s="231">
        <f>Resultados!Y28</f>
        <v>0</v>
      </c>
      <c r="C119" s="221">
        <v>1</v>
      </c>
      <c r="D119" s="222">
        <v>1</v>
      </c>
      <c r="E119" s="223">
        <f t="shared" si="15"/>
        <v>0</v>
      </c>
      <c r="F119" s="224">
        <f t="shared" si="14"/>
        <v>0</v>
      </c>
      <c r="G119" s="225">
        <v>50</v>
      </c>
    </row>
    <row r="120" spans="1:7" x14ac:dyDescent="0.25">
      <c r="A120" s="215"/>
      <c r="B120" s="215"/>
      <c r="C120" s="215"/>
      <c r="D120" s="215"/>
      <c r="E120" s="223">
        <f>SQRT(SUMSQ(E110:E119))</f>
        <v>0</v>
      </c>
      <c r="F120" s="232">
        <f>SUM(F110:F119)</f>
        <v>0</v>
      </c>
      <c r="G120" s="233" t="e">
        <f>(E120^4)/(((E110^4)/G110)+((E111^4)/G111)+((E112^4)/G112)+0+((E114^4)/G114)+0+((E115^4)/G115)+0+((E117^4)/G117)+0+((E119^4)/G119))</f>
        <v>#DIV/0!</v>
      </c>
    </row>
    <row r="121" spans="1:7" ht="15" x14ac:dyDescent="0.25">
      <c r="A121" s="215"/>
      <c r="B121" s="215"/>
      <c r="C121" s="215"/>
      <c r="D121" s="215"/>
      <c r="E121" s="215"/>
      <c r="F121" s="234" t="s">
        <v>169</v>
      </c>
      <c r="G121" s="235" t="e">
        <f>G120</f>
        <v>#DIV/0!</v>
      </c>
    </row>
    <row r="122" spans="1:7" x14ac:dyDescent="0.25">
      <c r="A122" s="215"/>
      <c r="B122" s="215"/>
      <c r="C122" s="215"/>
      <c r="D122" s="215"/>
      <c r="E122" s="215"/>
      <c r="F122" s="236" t="s">
        <v>170</v>
      </c>
      <c r="G122" s="237" t="e">
        <f>IF(G121&gt;100,2,VLOOKUP(G121,$J$4:$K$30,2))</f>
        <v>#DIV/0!</v>
      </c>
    </row>
    <row r="123" spans="1:7" ht="17.399999999999999" x14ac:dyDescent="0.3">
      <c r="A123" s="213" t="s">
        <v>628</v>
      </c>
      <c r="B123" s="213"/>
      <c r="C123" s="214"/>
      <c r="D123" s="214"/>
      <c r="E123" s="214"/>
      <c r="F123" s="215"/>
      <c r="G123" s="215"/>
    </row>
    <row r="124" spans="1:7" ht="28.8" x14ac:dyDescent="0.25">
      <c r="A124" s="216" t="s">
        <v>191</v>
      </c>
      <c r="B124" s="217" t="s">
        <v>190</v>
      </c>
      <c r="C124" s="216" t="s">
        <v>164</v>
      </c>
      <c r="D124" s="218" t="s">
        <v>165</v>
      </c>
      <c r="E124" s="218" t="s">
        <v>166</v>
      </c>
      <c r="F124" s="216" t="s">
        <v>167</v>
      </c>
      <c r="G124" s="218" t="s">
        <v>168</v>
      </c>
    </row>
    <row r="125" spans="1:7" x14ac:dyDescent="0.25">
      <c r="A125" s="219" t="s">
        <v>616</v>
      </c>
      <c r="B125" s="220">
        <f>Resultados!P43</f>
        <v>0</v>
      </c>
      <c r="C125" s="221">
        <f>Resultados!P55</f>
        <v>0</v>
      </c>
      <c r="D125" s="222">
        <v>1</v>
      </c>
      <c r="E125" s="223">
        <f>B125*C125</f>
        <v>0</v>
      </c>
      <c r="F125" s="224">
        <f t="shared" ref="F125:F134" si="16">E125^2/$E$13^2*100</f>
        <v>0</v>
      </c>
      <c r="G125" s="225">
        <v>4</v>
      </c>
    </row>
    <row r="126" spans="1:7" x14ac:dyDescent="0.25">
      <c r="A126" s="226" t="s">
        <v>617</v>
      </c>
      <c r="B126" s="227">
        <f>Resultados!Q43</f>
        <v>0</v>
      </c>
      <c r="C126" s="227">
        <f>Resultados!R55</f>
        <v>1</v>
      </c>
      <c r="D126" s="228" t="s">
        <v>621</v>
      </c>
      <c r="E126" s="223">
        <f t="shared" ref="E126:E134" si="17">B126*C126</f>
        <v>0</v>
      </c>
      <c r="F126" s="224">
        <f t="shared" si="16"/>
        <v>0</v>
      </c>
      <c r="G126" s="225">
        <v>50</v>
      </c>
    </row>
    <row r="127" spans="1:7" ht="13.8" x14ac:dyDescent="0.25">
      <c r="A127" s="229" t="s">
        <v>618</v>
      </c>
      <c r="B127" s="227">
        <f>Resultados!R43</f>
        <v>0</v>
      </c>
      <c r="C127" s="227">
        <f>Resultados!R55</f>
        <v>1</v>
      </c>
      <c r="D127" s="230" t="s">
        <v>622</v>
      </c>
      <c r="E127" s="223">
        <f t="shared" si="17"/>
        <v>0</v>
      </c>
      <c r="F127" s="224">
        <f t="shared" si="16"/>
        <v>0</v>
      </c>
      <c r="G127" s="225">
        <v>50</v>
      </c>
    </row>
    <row r="128" spans="1:7" x14ac:dyDescent="0.25">
      <c r="A128" s="219" t="s">
        <v>192</v>
      </c>
      <c r="B128" s="227" t="str">
        <f>Resultados!S43</f>
        <v>〖Δt〗</v>
      </c>
      <c r="C128" s="227" t="str">
        <f>Resultados!S55</f>
        <v>NI-MCPPT-02</v>
      </c>
      <c r="D128" s="222">
        <v>1</v>
      </c>
      <c r="E128" s="223" t="e">
        <f t="shared" si="17"/>
        <v>#VALUE!</v>
      </c>
      <c r="F128" s="224" t="e">
        <f t="shared" si="16"/>
        <v>#VALUE!</v>
      </c>
      <c r="G128" s="225" t="s">
        <v>171</v>
      </c>
    </row>
    <row r="129" spans="1:7" x14ac:dyDescent="0.25">
      <c r="A129" s="226" t="s">
        <v>619</v>
      </c>
      <c r="B129" s="227">
        <f>Resultados!T43</f>
        <v>2.4626000000000019</v>
      </c>
      <c r="C129" s="227" t="str">
        <f>Resultados!T55</f>
        <v xml:space="preserve">Testo 608-H1 </v>
      </c>
      <c r="D129" s="228" t="s">
        <v>621</v>
      </c>
      <c r="E129" s="223" t="e">
        <f t="shared" si="17"/>
        <v>#VALUE!</v>
      </c>
      <c r="F129" s="224" t="e">
        <f t="shared" si="16"/>
        <v>#VALUE!</v>
      </c>
      <c r="G129" s="225">
        <v>50</v>
      </c>
    </row>
    <row r="130" spans="1:7" ht="13.8" x14ac:dyDescent="0.25">
      <c r="A130" s="229" t="s">
        <v>620</v>
      </c>
      <c r="B130" s="227" t="str">
        <f>Resultados!U43</f>
        <v>°C</v>
      </c>
      <c r="C130" s="227">
        <f>Resultados!U55</f>
        <v>50</v>
      </c>
      <c r="D130" s="230" t="s">
        <v>622</v>
      </c>
      <c r="E130" s="223" t="e">
        <f t="shared" si="17"/>
        <v>#VALUE!</v>
      </c>
      <c r="F130" s="224" t="e">
        <f t="shared" si="16"/>
        <v>#VALUE!</v>
      </c>
      <c r="G130" s="225">
        <v>50</v>
      </c>
    </row>
    <row r="131" spans="1:7" x14ac:dyDescent="0.25">
      <c r="A131" s="219" t="s">
        <v>193</v>
      </c>
      <c r="B131" s="231">
        <f>Resultados!V43</f>
        <v>0</v>
      </c>
      <c r="C131" s="221">
        <v>1</v>
      </c>
      <c r="D131" s="222">
        <v>1</v>
      </c>
      <c r="E131" s="223">
        <f t="shared" si="17"/>
        <v>0</v>
      </c>
      <c r="F131" s="224">
        <f t="shared" si="16"/>
        <v>0</v>
      </c>
      <c r="G131" s="225" t="s">
        <v>171</v>
      </c>
    </row>
    <row r="132" spans="1:7" x14ac:dyDescent="0.25">
      <c r="A132" s="219" t="s">
        <v>194</v>
      </c>
      <c r="B132" s="231">
        <f>Resultados!W43</f>
        <v>0</v>
      </c>
      <c r="C132" s="221">
        <v>1</v>
      </c>
      <c r="D132" s="222">
        <v>1</v>
      </c>
      <c r="E132" s="223">
        <f t="shared" si="17"/>
        <v>0</v>
      </c>
      <c r="F132" s="224">
        <f t="shared" si="16"/>
        <v>0</v>
      </c>
      <c r="G132" s="222">
        <v>50</v>
      </c>
    </row>
    <row r="133" spans="1:7" x14ac:dyDescent="0.25">
      <c r="A133" s="219" t="s">
        <v>195</v>
      </c>
      <c r="B133" s="231">
        <f>Resultados!X43</f>
        <v>0</v>
      </c>
      <c r="C133" s="221">
        <v>1</v>
      </c>
      <c r="D133" s="222">
        <v>1</v>
      </c>
      <c r="E133" s="223">
        <f t="shared" si="17"/>
        <v>0</v>
      </c>
      <c r="F133" s="224">
        <f t="shared" si="16"/>
        <v>0</v>
      </c>
      <c r="G133" s="225" t="s">
        <v>171</v>
      </c>
    </row>
    <row r="134" spans="1:7" x14ac:dyDescent="0.25">
      <c r="A134" s="219" t="str">
        <f>Resultados!$Y$19</f>
        <v>Error de abbe (µm)</v>
      </c>
      <c r="B134" s="231">
        <f>Resultados!Y43</f>
        <v>0</v>
      </c>
      <c r="C134" s="221">
        <v>1</v>
      </c>
      <c r="D134" s="222">
        <v>1</v>
      </c>
      <c r="E134" s="223">
        <f t="shared" si="17"/>
        <v>0</v>
      </c>
      <c r="F134" s="224">
        <f t="shared" si="16"/>
        <v>0</v>
      </c>
      <c r="G134" s="225">
        <v>50</v>
      </c>
    </row>
    <row r="135" spans="1:7" x14ac:dyDescent="0.25">
      <c r="A135" s="215"/>
      <c r="B135" s="215"/>
      <c r="C135" s="215"/>
      <c r="D135" s="215"/>
      <c r="E135" s="223" t="e">
        <f>SQRT(SUMSQ(E125:E134))</f>
        <v>#VALUE!</v>
      </c>
      <c r="F135" s="232" t="e">
        <f>SUM(F125:F134)</f>
        <v>#VALUE!</v>
      </c>
      <c r="G135" s="233" t="e">
        <f>(E135^4)/(((E125^4)/G125)+((E126^4)/G126)+((E127^4)/G127)+0+((E129^4)/G129)+0+((E130^4)/G130)+0+((E132^4)/G132)+0+((E134^4)/G134))</f>
        <v>#VALUE!</v>
      </c>
    </row>
    <row r="136" spans="1:7" ht="15" x14ac:dyDescent="0.25">
      <c r="A136" s="215"/>
      <c r="B136" s="215"/>
      <c r="C136" s="215"/>
      <c r="D136" s="215"/>
      <c r="E136" s="215"/>
      <c r="F136" s="234" t="s">
        <v>169</v>
      </c>
      <c r="G136" s="235" t="e">
        <f>G135</f>
        <v>#VALUE!</v>
      </c>
    </row>
    <row r="137" spans="1:7" x14ac:dyDescent="0.25">
      <c r="A137" s="215"/>
      <c r="B137" s="215"/>
      <c r="C137" s="215"/>
      <c r="D137" s="215"/>
      <c r="E137" s="215"/>
      <c r="F137" s="236" t="s">
        <v>170</v>
      </c>
      <c r="G137" s="237" t="e">
        <f>IF(G136&gt;100,2,VLOOKUP(G136,$J$4:$K$30,2))</f>
        <v>#VALUE!</v>
      </c>
    </row>
    <row r="138" spans="1:7" ht="17.399999999999999" x14ac:dyDescent="0.3">
      <c r="A138" s="213" t="s">
        <v>629</v>
      </c>
      <c r="B138" s="213"/>
      <c r="C138" s="214"/>
      <c r="D138" s="214"/>
      <c r="E138" s="214"/>
      <c r="F138" s="215"/>
      <c r="G138" s="215"/>
    </row>
    <row r="139" spans="1:7" ht="28.8" x14ac:dyDescent="0.25">
      <c r="A139" s="216" t="s">
        <v>191</v>
      </c>
      <c r="B139" s="217" t="s">
        <v>190</v>
      </c>
      <c r="C139" s="216" t="s">
        <v>164</v>
      </c>
      <c r="D139" s="218" t="s">
        <v>165</v>
      </c>
      <c r="E139" s="218" t="s">
        <v>166</v>
      </c>
      <c r="F139" s="216" t="s">
        <v>167</v>
      </c>
      <c r="G139" s="218" t="s">
        <v>168</v>
      </c>
    </row>
    <row r="140" spans="1:7" x14ac:dyDescent="0.25">
      <c r="A140" s="219" t="s">
        <v>616</v>
      </c>
      <c r="B140" s="220">
        <f>Resultados!P58</f>
        <v>0</v>
      </c>
      <c r="C140" s="221">
        <f>Resultados!P70</f>
        <v>0</v>
      </c>
      <c r="D140" s="222">
        <v>1</v>
      </c>
      <c r="E140" s="223">
        <f>B140*C140</f>
        <v>0</v>
      </c>
      <c r="F140" s="224">
        <f t="shared" ref="F140:F149" si="18">E140^2/$E$13^2*100</f>
        <v>0</v>
      </c>
      <c r="G140" s="225">
        <v>4</v>
      </c>
    </row>
    <row r="141" spans="1:7" x14ac:dyDescent="0.25">
      <c r="A141" s="226" t="s">
        <v>617</v>
      </c>
      <c r="B141" s="227">
        <f>Resultados!Q58</f>
        <v>0</v>
      </c>
      <c r="C141" s="227">
        <f>Resultados!R70</f>
        <v>0</v>
      </c>
      <c r="D141" s="228" t="s">
        <v>621</v>
      </c>
      <c r="E141" s="223">
        <f t="shared" ref="E141:E149" si="19">B141*C141</f>
        <v>0</v>
      </c>
      <c r="F141" s="224">
        <f t="shared" si="18"/>
        <v>0</v>
      </c>
      <c r="G141" s="225">
        <v>50</v>
      </c>
    </row>
    <row r="142" spans="1:7" ht="13.8" x14ac:dyDescent="0.25">
      <c r="A142" s="229" t="s">
        <v>618</v>
      </c>
      <c r="B142" s="227">
        <f>Resultados!R58</f>
        <v>4</v>
      </c>
      <c r="C142" s="227">
        <f>Resultados!R70</f>
        <v>0</v>
      </c>
      <c r="D142" s="230" t="s">
        <v>622</v>
      </c>
      <c r="E142" s="223">
        <f t="shared" si="19"/>
        <v>0</v>
      </c>
      <c r="F142" s="224">
        <f t="shared" si="18"/>
        <v>0</v>
      </c>
      <c r="G142" s="225">
        <v>50</v>
      </c>
    </row>
    <row r="143" spans="1:7" x14ac:dyDescent="0.25">
      <c r="A143" s="219" t="s">
        <v>192</v>
      </c>
      <c r="B143" s="227" t="str">
        <f>Resultados!S58</f>
        <v>NI-MCPPT-05</v>
      </c>
      <c r="C143" s="227">
        <f>Resultados!S70</f>
        <v>0</v>
      </c>
      <c r="D143" s="222">
        <v>1</v>
      </c>
      <c r="E143" s="223" t="e">
        <f t="shared" si="19"/>
        <v>#VALUE!</v>
      </c>
      <c r="F143" s="224" t="e">
        <f t="shared" si="18"/>
        <v>#VALUE!</v>
      </c>
      <c r="G143" s="225" t="s">
        <v>171</v>
      </c>
    </row>
    <row r="144" spans="1:7" x14ac:dyDescent="0.25">
      <c r="A144" s="226" t="s">
        <v>619</v>
      </c>
      <c r="B144" s="227" t="str">
        <f>Resultados!T58</f>
        <v xml:space="preserve">Fluke 971 </v>
      </c>
      <c r="C144" s="227">
        <f>Resultados!T70</f>
        <v>0</v>
      </c>
      <c r="D144" s="228" t="s">
        <v>621</v>
      </c>
      <c r="E144" s="223" t="e">
        <f t="shared" si="19"/>
        <v>#VALUE!</v>
      </c>
      <c r="F144" s="224" t="e">
        <f t="shared" si="18"/>
        <v>#VALUE!</v>
      </c>
      <c r="G144" s="225">
        <v>50</v>
      </c>
    </row>
    <row r="145" spans="1:7" ht="13.8" x14ac:dyDescent="0.25">
      <c r="A145" s="229" t="s">
        <v>620</v>
      </c>
      <c r="B145" s="227">
        <f>Resultados!U58</f>
        <v>60</v>
      </c>
      <c r="C145" s="227">
        <f>Resultados!U70</f>
        <v>22.35</v>
      </c>
      <c r="D145" s="230" t="s">
        <v>622</v>
      </c>
      <c r="E145" s="223">
        <f t="shared" si="19"/>
        <v>1341</v>
      </c>
      <c r="F145" s="224">
        <f t="shared" si="18"/>
        <v>10789686.399617981</v>
      </c>
      <c r="G145" s="225">
        <v>50</v>
      </c>
    </row>
    <row r="146" spans="1:7" x14ac:dyDescent="0.25">
      <c r="A146" s="219" t="s">
        <v>193</v>
      </c>
      <c r="B146" s="231">
        <f>Resultados!V58</f>
        <v>0.1</v>
      </c>
      <c r="C146" s="221">
        <v>1</v>
      </c>
      <c r="D146" s="222">
        <v>1</v>
      </c>
      <c r="E146" s="223">
        <f t="shared" si="19"/>
        <v>0.1</v>
      </c>
      <c r="F146" s="224">
        <f t="shared" si="18"/>
        <v>6.0000002222222126E-2</v>
      </c>
      <c r="G146" s="225" t="s">
        <v>171</v>
      </c>
    </row>
    <row r="147" spans="1:7" x14ac:dyDescent="0.25">
      <c r="A147" s="219" t="s">
        <v>194</v>
      </c>
      <c r="B147" s="231">
        <f>Resultados!W58</f>
        <v>0.1</v>
      </c>
      <c r="C147" s="221">
        <v>1</v>
      </c>
      <c r="D147" s="222">
        <v>1</v>
      </c>
      <c r="E147" s="223">
        <f t="shared" si="19"/>
        <v>0.1</v>
      </c>
      <c r="F147" s="224">
        <f t="shared" si="18"/>
        <v>6.0000002222222126E-2</v>
      </c>
      <c r="G147" s="222">
        <v>50</v>
      </c>
    </row>
    <row r="148" spans="1:7" x14ac:dyDescent="0.25">
      <c r="A148" s="219" t="s">
        <v>195</v>
      </c>
      <c r="B148" s="231">
        <f>Resultados!X58</f>
        <v>0.5</v>
      </c>
      <c r="C148" s="221">
        <v>1</v>
      </c>
      <c r="D148" s="222">
        <v>1</v>
      </c>
      <c r="E148" s="223">
        <f t="shared" si="19"/>
        <v>0.5</v>
      </c>
      <c r="F148" s="224">
        <f t="shared" si="18"/>
        <v>1.5000000555555528</v>
      </c>
      <c r="G148" s="225" t="s">
        <v>171</v>
      </c>
    </row>
    <row r="149" spans="1:7" x14ac:dyDescent="0.25">
      <c r="A149" s="219" t="str">
        <f>Resultados!$Y$19</f>
        <v>Error de abbe (µm)</v>
      </c>
      <c r="B149" s="231">
        <f>Resultados!Y58</f>
        <v>2.5</v>
      </c>
      <c r="C149" s="221">
        <v>1</v>
      </c>
      <c r="D149" s="222">
        <v>1</v>
      </c>
      <c r="E149" s="223">
        <f t="shared" si="19"/>
        <v>2.5</v>
      </c>
      <c r="F149" s="224">
        <f t="shared" si="18"/>
        <v>37.500001388888819</v>
      </c>
      <c r="G149" s="225">
        <v>50</v>
      </c>
    </row>
    <row r="150" spans="1:7" x14ac:dyDescent="0.25">
      <c r="A150" s="215"/>
      <c r="B150" s="215"/>
      <c r="C150" s="215"/>
      <c r="D150" s="215"/>
      <c r="E150" s="223" t="e">
        <f>SQRT(SUMSQ(E140:E149))</f>
        <v>#VALUE!</v>
      </c>
      <c r="F150" s="232" t="e">
        <f>SUM(F140:F149)</f>
        <v>#VALUE!</v>
      </c>
      <c r="G150" s="233" t="e">
        <f>(E150^4)/(((E140^4)/G140)+((E141^4)/G141)+((E142^4)/G142)+0+((E144^4)/G144)+0+((E145^4)/G145)+0+((E147^4)/G147)+0+((E149^4)/G149))</f>
        <v>#VALUE!</v>
      </c>
    </row>
    <row r="151" spans="1:7" ht="15" x14ac:dyDescent="0.25">
      <c r="A151" s="215"/>
      <c r="B151" s="215"/>
      <c r="C151" s="215"/>
      <c r="D151" s="215"/>
      <c r="E151" s="215"/>
      <c r="F151" s="234" t="s">
        <v>169</v>
      </c>
      <c r="G151" s="235" t="e">
        <f>G150</f>
        <v>#VALUE!</v>
      </c>
    </row>
    <row r="152" spans="1:7" x14ac:dyDescent="0.25">
      <c r="A152" s="215"/>
      <c r="B152" s="215"/>
      <c r="C152" s="215"/>
      <c r="D152" s="215"/>
      <c r="E152" s="215"/>
      <c r="F152" s="236" t="s">
        <v>170</v>
      </c>
      <c r="G152" s="237" t="e">
        <f>IF(G151&gt;100,2,VLOOKUP(G151,$J$4:$K$30,2))</f>
        <v>#VALUE!</v>
      </c>
    </row>
    <row r="153" spans="1:7" ht="17.399999999999999" x14ac:dyDescent="0.3">
      <c r="A153" s="213" t="s">
        <v>630</v>
      </c>
      <c r="B153" s="213"/>
      <c r="C153" s="214"/>
      <c r="D153" s="214"/>
      <c r="E153" s="214"/>
      <c r="F153" s="215"/>
      <c r="G153" s="215"/>
    </row>
    <row r="154" spans="1:7" ht="28.8" x14ac:dyDescent="0.25">
      <c r="A154" s="216" t="s">
        <v>191</v>
      </c>
      <c r="B154" s="217" t="s">
        <v>190</v>
      </c>
      <c r="C154" s="216" t="s">
        <v>164</v>
      </c>
      <c r="D154" s="218" t="s">
        <v>165</v>
      </c>
      <c r="E154" s="218" t="s">
        <v>166</v>
      </c>
      <c r="F154" s="216" t="s">
        <v>167</v>
      </c>
      <c r="G154" s="218" t="s">
        <v>168</v>
      </c>
    </row>
    <row r="155" spans="1:7" x14ac:dyDescent="0.25">
      <c r="A155" s="219" t="s">
        <v>616</v>
      </c>
      <c r="B155" s="220">
        <f>Resultados!P73</f>
        <v>0</v>
      </c>
      <c r="C155" s="221">
        <f>Resultados!P85</f>
        <v>0</v>
      </c>
      <c r="D155" s="222">
        <v>1</v>
      </c>
      <c r="E155" s="223">
        <f>B155*C155</f>
        <v>0</v>
      </c>
      <c r="F155" s="224">
        <f t="shared" ref="F155:F164" si="20">E155^2/$E$13^2*100</f>
        <v>0</v>
      </c>
      <c r="G155" s="225">
        <v>4</v>
      </c>
    </row>
    <row r="156" spans="1:7" x14ac:dyDescent="0.25">
      <c r="A156" s="226" t="s">
        <v>617</v>
      </c>
      <c r="B156" s="227">
        <f>Resultados!Q73</f>
        <v>0</v>
      </c>
      <c r="C156" s="227">
        <f>Resultados!R85</f>
        <v>0</v>
      </c>
      <c r="D156" s="228" t="s">
        <v>621</v>
      </c>
      <c r="E156" s="223">
        <f t="shared" ref="E156:E164" si="21">B156*C156</f>
        <v>0</v>
      </c>
      <c r="F156" s="224">
        <f t="shared" si="20"/>
        <v>0</v>
      </c>
      <c r="G156" s="225">
        <v>50</v>
      </c>
    </row>
    <row r="157" spans="1:7" ht="13.8" x14ac:dyDescent="0.25">
      <c r="A157" s="229" t="s">
        <v>618</v>
      </c>
      <c r="B157" s="227">
        <f>Resultados!R73</f>
        <v>0</v>
      </c>
      <c r="C157" s="227">
        <f>Resultados!R85</f>
        <v>0</v>
      </c>
      <c r="D157" s="230" t="s">
        <v>622</v>
      </c>
      <c r="E157" s="223">
        <f t="shared" si="21"/>
        <v>0</v>
      </c>
      <c r="F157" s="224">
        <f t="shared" si="20"/>
        <v>0</v>
      </c>
      <c r="G157" s="225">
        <v>50</v>
      </c>
    </row>
    <row r="158" spans="1:7" x14ac:dyDescent="0.25">
      <c r="A158" s="219" t="s">
        <v>192</v>
      </c>
      <c r="B158" s="227" t="str">
        <f>Resultados!S73</f>
        <v xml:space="preserve">Testo 608-H1 </v>
      </c>
      <c r="C158" s="227">
        <f>Resultados!S85</f>
        <v>0</v>
      </c>
      <c r="D158" s="222">
        <v>1</v>
      </c>
      <c r="E158" s="223" t="e">
        <f t="shared" si="21"/>
        <v>#VALUE!</v>
      </c>
      <c r="F158" s="224" t="e">
        <f t="shared" si="20"/>
        <v>#VALUE!</v>
      </c>
      <c r="G158" s="225" t="s">
        <v>171</v>
      </c>
    </row>
    <row r="159" spans="1:7" x14ac:dyDescent="0.25">
      <c r="A159" s="226" t="s">
        <v>619</v>
      </c>
      <c r="B159" s="227">
        <f>Resultados!T73</f>
        <v>0</v>
      </c>
      <c r="C159" s="227" t="str">
        <f>Resultados!T85</f>
        <v>termometro</v>
      </c>
      <c r="D159" s="228" t="s">
        <v>621</v>
      </c>
      <c r="E159" s="223" t="e">
        <f t="shared" si="21"/>
        <v>#VALUE!</v>
      </c>
      <c r="F159" s="224" t="e">
        <f t="shared" si="20"/>
        <v>#VALUE!</v>
      </c>
      <c r="G159" s="225">
        <v>50</v>
      </c>
    </row>
    <row r="160" spans="1:7" ht="13.8" x14ac:dyDescent="0.25">
      <c r="A160" s="229" t="s">
        <v>620</v>
      </c>
      <c r="B160" s="227">
        <f>Resultados!U73</f>
        <v>0</v>
      </c>
      <c r="C160" s="227">
        <f>Resultados!U85</f>
        <v>0</v>
      </c>
      <c r="D160" s="230" t="s">
        <v>622</v>
      </c>
      <c r="E160" s="223">
        <f t="shared" si="21"/>
        <v>0</v>
      </c>
      <c r="F160" s="224">
        <f t="shared" si="20"/>
        <v>0</v>
      </c>
      <c r="G160" s="225">
        <v>50</v>
      </c>
    </row>
    <row r="161" spans="1:7" x14ac:dyDescent="0.25">
      <c r="A161" s="219" t="s">
        <v>193</v>
      </c>
      <c r="B161" s="231">
        <f>Resultados!V73</f>
        <v>0</v>
      </c>
      <c r="C161" s="221">
        <v>1</v>
      </c>
      <c r="D161" s="222">
        <v>1</v>
      </c>
      <c r="E161" s="223">
        <f t="shared" si="21"/>
        <v>0</v>
      </c>
      <c r="F161" s="224">
        <f t="shared" si="20"/>
        <v>0</v>
      </c>
      <c r="G161" s="225" t="s">
        <v>171</v>
      </c>
    </row>
    <row r="162" spans="1:7" x14ac:dyDescent="0.25">
      <c r="A162" s="219" t="s">
        <v>194</v>
      </c>
      <c r="B162" s="231">
        <f>Resultados!W73</f>
        <v>0</v>
      </c>
      <c r="C162" s="221">
        <v>1</v>
      </c>
      <c r="D162" s="222">
        <v>1</v>
      </c>
      <c r="E162" s="223">
        <f t="shared" si="21"/>
        <v>0</v>
      </c>
      <c r="F162" s="224">
        <f t="shared" si="20"/>
        <v>0</v>
      </c>
      <c r="G162" s="222">
        <v>50</v>
      </c>
    </row>
    <row r="163" spans="1:7" x14ac:dyDescent="0.25">
      <c r="A163" s="219" t="s">
        <v>195</v>
      </c>
      <c r="B163" s="231">
        <f>Resultados!X73</f>
        <v>0</v>
      </c>
      <c r="C163" s="221">
        <v>1</v>
      </c>
      <c r="D163" s="222">
        <v>1</v>
      </c>
      <c r="E163" s="223">
        <f t="shared" si="21"/>
        <v>0</v>
      </c>
      <c r="F163" s="224">
        <f t="shared" si="20"/>
        <v>0</v>
      </c>
      <c r="G163" s="225" t="s">
        <v>171</v>
      </c>
    </row>
    <row r="164" spans="1:7" x14ac:dyDescent="0.25">
      <c r="A164" s="219" t="str">
        <f>Resultados!$Y$19</f>
        <v>Error de abbe (µm)</v>
      </c>
      <c r="B164" s="231">
        <f>Resultados!Y73</f>
        <v>0</v>
      </c>
      <c r="C164" s="221">
        <v>1</v>
      </c>
      <c r="D164" s="222">
        <v>1</v>
      </c>
      <c r="E164" s="223">
        <f t="shared" si="21"/>
        <v>0</v>
      </c>
      <c r="F164" s="224">
        <f t="shared" si="20"/>
        <v>0</v>
      </c>
      <c r="G164" s="225">
        <v>50</v>
      </c>
    </row>
    <row r="165" spans="1:7" x14ac:dyDescent="0.25">
      <c r="A165" s="215"/>
      <c r="B165" s="215"/>
      <c r="C165" s="215"/>
      <c r="D165" s="215"/>
      <c r="E165" s="223" t="e">
        <f>SQRT(SUMSQ(E155:E164))</f>
        <v>#VALUE!</v>
      </c>
      <c r="F165" s="232" t="e">
        <f>SUM(F155:F164)</f>
        <v>#VALUE!</v>
      </c>
      <c r="G165" s="233" t="e">
        <f>(E165^4)/(((E155^4)/G155)+((E156^4)/G156)+((E157^4)/G157)+0+((E159^4)/G159)+0+((E160^4)/G160)+0+((E162^4)/G162)+0+((E164^4)/G164))</f>
        <v>#VALUE!</v>
      </c>
    </row>
    <row r="166" spans="1:7" ht="15" x14ac:dyDescent="0.25">
      <c r="A166" s="215"/>
      <c r="B166" s="215"/>
      <c r="C166" s="215"/>
      <c r="D166" s="215"/>
      <c r="E166" s="215"/>
      <c r="F166" s="234" t="s">
        <v>169</v>
      </c>
      <c r="G166" s="235" t="e">
        <f>G165</f>
        <v>#VALUE!</v>
      </c>
    </row>
    <row r="167" spans="1:7" x14ac:dyDescent="0.25">
      <c r="A167" s="215"/>
      <c r="B167" s="215"/>
      <c r="C167" s="215"/>
      <c r="D167" s="215"/>
      <c r="E167" s="215"/>
      <c r="F167" s="236" t="s">
        <v>170</v>
      </c>
      <c r="G167" s="237" t="e">
        <f>IF(G166&gt;100,2,VLOOKUP(G166,$J$4:$K$30,2))</f>
        <v>#VALUE!</v>
      </c>
    </row>
  </sheetData>
  <mergeCells count="2">
    <mergeCell ref="J2:K2"/>
    <mergeCell ref="A1:B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2:AK83"/>
  <sheetViews>
    <sheetView topLeftCell="A25" zoomScale="85" zoomScaleNormal="85" workbookViewId="0">
      <selection activeCell="Q37" sqref="Q37"/>
    </sheetView>
  </sheetViews>
  <sheetFormatPr baseColWidth="10" defaultColWidth="11.44140625" defaultRowHeight="13.2" x14ac:dyDescent="0.25"/>
  <cols>
    <col min="1" max="1" width="4.5546875" style="61" customWidth="1"/>
    <col min="2" max="2" width="9.88671875" style="61" bestFit="1" customWidth="1"/>
    <col min="3" max="3" width="9" style="61" customWidth="1"/>
    <col min="4" max="4" width="13.44140625" style="61" customWidth="1"/>
    <col min="5" max="5" width="12" style="61" customWidth="1"/>
    <col min="6" max="6" width="13.6640625" style="61" bestFit="1" customWidth="1"/>
    <col min="7" max="9" width="13.6640625" style="61" customWidth="1"/>
    <col min="10" max="10" width="11.44140625" style="61"/>
    <col min="11" max="11" width="18" style="61" bestFit="1" customWidth="1"/>
    <col min="12" max="13" width="11.44140625" style="61"/>
    <col min="14" max="14" width="12.33203125" style="61" bestFit="1" customWidth="1"/>
    <col min="15" max="15" width="18" style="61" bestFit="1" customWidth="1"/>
    <col min="16" max="18" width="11.44140625" style="61"/>
    <col min="19" max="19" width="18" style="61" bestFit="1" customWidth="1"/>
    <col min="20" max="29" width="11.44140625" style="61"/>
    <col min="30" max="30" width="14.109375" style="61" bestFit="1" customWidth="1"/>
    <col min="31" max="31" width="11.88671875" style="61" customWidth="1"/>
    <col min="32" max="32" width="11.44140625" style="61"/>
    <col min="33" max="33" width="13.5546875" style="61" bestFit="1" customWidth="1"/>
    <col min="34" max="16384" width="11.44140625" style="61"/>
  </cols>
  <sheetData>
    <row r="2" spans="1:37" x14ac:dyDescent="0.25">
      <c r="H2" s="172"/>
    </row>
    <row r="3" spans="1:37" x14ac:dyDescent="0.25">
      <c r="K3" s="571" t="s">
        <v>104</v>
      </c>
      <c r="L3" s="571"/>
      <c r="M3" s="571"/>
      <c r="N3" s="149"/>
      <c r="O3" s="571" t="s">
        <v>105</v>
      </c>
      <c r="P3" s="571"/>
      <c r="Q3" s="571"/>
      <c r="R3" s="149"/>
      <c r="S3" s="571" t="s">
        <v>136</v>
      </c>
      <c r="T3" s="571"/>
      <c r="U3" s="571"/>
      <c r="V3" s="571"/>
      <c r="W3" s="571"/>
      <c r="X3" s="571"/>
      <c r="Y3" s="149"/>
      <c r="Z3" s="658" t="s">
        <v>651</v>
      </c>
      <c r="AA3" s="658"/>
      <c r="AB3" s="658"/>
      <c r="AC3" s="658"/>
      <c r="AD3" s="658"/>
      <c r="AE3" s="658"/>
      <c r="AF3" s="658"/>
      <c r="AG3" s="658"/>
    </row>
    <row r="5" spans="1:37" ht="26.4" x14ac:dyDescent="0.25">
      <c r="A5" s="571" t="s">
        <v>60</v>
      </c>
      <c r="B5" s="149"/>
      <c r="C5" s="81" t="s">
        <v>83</v>
      </c>
      <c r="D5" s="659" t="s">
        <v>84</v>
      </c>
      <c r="E5" s="81" t="s">
        <v>1364</v>
      </c>
      <c r="F5" s="81" t="s">
        <v>61</v>
      </c>
      <c r="G5" s="81" t="s">
        <v>842</v>
      </c>
      <c r="H5" s="149" t="s">
        <v>150</v>
      </c>
      <c r="I5" s="81" t="s">
        <v>152</v>
      </c>
      <c r="K5" s="67"/>
      <c r="L5" s="68" t="str">
        <f>IF(L6&lt;2,"N/A",IF(L6&lt;49,"BP - "&amp;VLOOKUP(L6,$A$7:$E$60,3,FALSE),IF(OR(L6=49,L6=51,L6=53),"L1 - "&amp;VLOOKUP(L6,$A$7:$E$60,3,FALSE),IF(OR(L6=50,L6=52,L6=54),"L2 - "&amp;VLOOKUP(L6,$A$7:$E$60,3,FALSE)))))</f>
        <v>BP - 0</v>
      </c>
      <c r="M5" s="68" t="str">
        <f>IF(M6&lt;2,"N/A",IF(M6&lt;49,"BP - "&amp;VLOOKUP(M6,$A$7:$E$60,3,FALSE),IF(OR(M6=49,M6=51,M6=53),"L1 - "&amp;VLOOKUP(M6,$A$7:$E$60,3,FALSE),IF(OR(M6=50,M6=52,M6=54),"L2 - "&amp;VLOOKUP(M6,$A$7:$E$60,3,FALSE)))))</f>
        <v>BP - 0</v>
      </c>
      <c r="N5" s="69" t="s">
        <v>100</v>
      </c>
      <c r="O5" s="67"/>
      <c r="P5" s="343"/>
      <c r="Q5" s="69" t="s">
        <v>100</v>
      </c>
      <c r="R5" s="76"/>
      <c r="S5" s="67"/>
      <c r="T5" s="68" t="str">
        <f>IF(T6&lt;2,"N/A",IF(T6&lt;49,"BP - "&amp;VLOOKUP(T6,$A$7:$E$60,3,FALSE),IF(OR(T6=49,T6=51,T6=53),"L1 - "&amp;VLOOKUP(T6,$A$7:$E$60,3,FALSE),IF(OR(T6=50,T6=52,T6=54),"L2 - "&amp;VLOOKUP(T6,$A$7:$E$60,3,FALSE)))))</f>
        <v>BP - 0</v>
      </c>
      <c r="U5" s="68" t="str">
        <f>IF(U6&lt;2,"N/A",IF(U6&lt;49,"BP - "&amp;VLOOKUP(U6,$A$7:$E$60,3,FALSE),IF(OR(U6=49,U6=51,U6=53),"L1 - "&amp;VLOOKUP(U6,$A$7:$E$60,3,FALSE),IF(OR(U6=50,U6=52,U6=54),"L2 - "&amp;VLOOKUP(U6,$A$7:$E$60,3,FALSE)))))</f>
        <v>BP - 0</v>
      </c>
      <c r="V5" s="68" t="str">
        <f>IF(V6&lt;2,"N/A",IF(V6&lt;49,"BP - "&amp;VLOOKUP(V6,$A$7:$E$60,3,FALSE),IF(OR(V6=49,V6=51,V6=53),"L1 - "&amp;VLOOKUP(V6,$A$7:$E$60,3,FALSE),IF(OR(V6=50,V6=52,V6=54),"L2 - "&amp;VLOOKUP(V6,$A$7:$E$60,3,FALSE)))))</f>
        <v>BP - 0</v>
      </c>
      <c r="W5" s="68" t="str">
        <f>IF(W6&lt;2,"N/A",IF(W6&lt;49,"BP - "&amp;VLOOKUP(W6,$A$7:$E$60,3,FALSE),IF(OR(W6=49,W6=51,W6=53),"L1 - "&amp;VLOOKUP(W6,$A$7:$E$60,3,FALSE),IF(OR(W6=50,W6=52,W6=54),"L2 - "&amp;VLOOKUP(W6,$A$7:$E$60,3,FALSE)))))</f>
        <v>BP - 0</v>
      </c>
      <c r="X5" s="69" t="s">
        <v>100</v>
      </c>
      <c r="AA5" s="291" t="s">
        <v>151</v>
      </c>
      <c r="AB5" s="292">
        <v>2022</v>
      </c>
      <c r="AC5" s="292">
        <v>2019</v>
      </c>
      <c r="AD5" s="292" t="s">
        <v>150</v>
      </c>
      <c r="AE5" s="291" t="s">
        <v>152</v>
      </c>
      <c r="AF5" s="293" t="s">
        <v>154</v>
      </c>
      <c r="AG5" s="292" t="s">
        <v>156</v>
      </c>
    </row>
    <row r="6" spans="1:37" ht="13.8" x14ac:dyDescent="0.25">
      <c r="A6" s="571"/>
      <c r="B6" s="149"/>
      <c r="C6" s="149" t="s">
        <v>45</v>
      </c>
      <c r="D6" s="659"/>
      <c r="E6" s="165" t="s">
        <v>155</v>
      </c>
      <c r="F6" s="149" t="s">
        <v>155</v>
      </c>
      <c r="G6" s="149" t="s">
        <v>155</v>
      </c>
      <c r="H6" s="149" t="s">
        <v>155</v>
      </c>
      <c r="I6" s="149" t="s">
        <v>155</v>
      </c>
      <c r="K6" s="70"/>
      <c r="L6" s="3">
        <v>30</v>
      </c>
      <c r="M6" s="3">
        <v>30</v>
      </c>
      <c r="N6" s="71"/>
      <c r="O6" s="70"/>
      <c r="P6" s="344">
        <v>1</v>
      </c>
      <c r="Q6" s="71"/>
      <c r="S6" s="70"/>
      <c r="T6" s="3">
        <v>30</v>
      </c>
      <c r="U6" s="3">
        <v>30</v>
      </c>
      <c r="V6" s="3">
        <v>30</v>
      </c>
      <c r="W6" s="3">
        <v>30</v>
      </c>
      <c r="X6" s="71"/>
      <c r="AA6" s="291"/>
      <c r="AB6" s="294" t="s">
        <v>155</v>
      </c>
      <c r="AC6" s="294" t="s">
        <v>155</v>
      </c>
      <c r="AD6" s="294" t="s">
        <v>155</v>
      </c>
      <c r="AE6" s="294" t="s">
        <v>155</v>
      </c>
      <c r="AF6" s="294" t="s">
        <v>155</v>
      </c>
      <c r="AG6" s="294" t="s">
        <v>155</v>
      </c>
      <c r="AK6" s="85"/>
    </row>
    <row r="7" spans="1:37" x14ac:dyDescent="0.25">
      <c r="A7" s="83">
        <v>1</v>
      </c>
      <c r="B7" s="85" t="s">
        <v>843</v>
      </c>
      <c r="C7" s="85">
        <v>0.5</v>
      </c>
      <c r="D7" s="399" t="s">
        <v>1363</v>
      </c>
      <c r="E7" s="380">
        <v>-0.01</v>
      </c>
      <c r="F7" s="76">
        <v>8.5999999999999993E-2</v>
      </c>
      <c r="G7" s="380">
        <v>-0.03</v>
      </c>
      <c r="H7" s="85">
        <f>ABS(E7-G7)</f>
        <v>1.9999999999999997E-2</v>
      </c>
      <c r="I7" s="380">
        <f>H7/SQRT(3)</f>
        <v>1.1547005383792514E-2</v>
      </c>
      <c r="K7" s="244" t="s">
        <v>98</v>
      </c>
      <c r="L7" s="244">
        <f>IF(L6&lt;2,"N/A",VLOOKUP(L6,$A$7:$E$60,3,FALSE))</f>
        <v>0</v>
      </c>
      <c r="M7" s="244">
        <f>IF(M6&lt;2,"N/A",VLOOKUP(M6,$A$7:$E$60,3,FALSE))</f>
        <v>0</v>
      </c>
      <c r="N7" s="244">
        <f>SUM(L7:M7)</f>
        <v>0</v>
      </c>
      <c r="O7" s="70" t="s">
        <v>98</v>
      </c>
      <c r="P7" s="150" t="str">
        <f>IF(P6&lt;2,"N/A",VLOOKUP(P6,$A$44:$E$50,2,FALSE))</f>
        <v>N/A</v>
      </c>
      <c r="Q7" s="71" t="str">
        <f>P7</f>
        <v>N/A</v>
      </c>
      <c r="S7" s="70" t="s">
        <v>98</v>
      </c>
      <c r="T7" s="61">
        <f>IF(T6&lt;0,"N/A",VLOOKUP(T6,$A$7:$E$60,3,FALSE))</f>
        <v>0</v>
      </c>
      <c r="U7" s="61">
        <f t="shared" ref="U7:W7" si="0">IF(U6&lt;0,"N/A",VLOOKUP(U6,$A$7:$E$60,3,FALSE))</f>
        <v>0</v>
      </c>
      <c r="V7" s="61">
        <f t="shared" si="0"/>
        <v>0</v>
      </c>
      <c r="W7" s="61">
        <f t="shared" si="0"/>
        <v>0</v>
      </c>
      <c r="X7" s="71">
        <f>SUM(T7:W7)</f>
        <v>0</v>
      </c>
      <c r="Y7" s="61">
        <f>COUNT(T7:V7)</f>
        <v>3</v>
      </c>
      <c r="AA7" s="292">
        <v>0.5</v>
      </c>
      <c r="AB7" s="292">
        <v>-0.01</v>
      </c>
      <c r="AC7" s="292">
        <v>-0.03</v>
      </c>
      <c r="AD7" s="295">
        <f>ABS(AB7-AC7)</f>
        <v>1.9999999999999997E-2</v>
      </c>
      <c r="AE7" s="296">
        <f t="shared" ref="AE7:AE35" si="1">AD7/SQRT(3)</f>
        <v>1.1547005383792514E-2</v>
      </c>
      <c r="AF7" s="293">
        <v>0.12</v>
      </c>
      <c r="AG7" s="293">
        <f t="shared" ref="AG7:AG9" si="2">AF7/3*1000</f>
        <v>40</v>
      </c>
      <c r="AH7" s="76"/>
      <c r="AK7" s="85"/>
    </row>
    <row r="8" spans="1:37" x14ac:dyDescent="0.25">
      <c r="A8" s="76">
        <v>2</v>
      </c>
      <c r="B8" s="85" t="s">
        <v>108</v>
      </c>
      <c r="C8" s="76">
        <v>1</v>
      </c>
      <c r="D8" s="76" t="s">
        <v>198</v>
      </c>
      <c r="E8" s="400">
        <v>4.0000000000000001E-3</v>
      </c>
      <c r="F8" s="76">
        <v>8.5999999999999993E-2</v>
      </c>
      <c r="G8" s="400">
        <v>-7.0000000000000007E-2</v>
      </c>
      <c r="H8" s="85">
        <f t="shared" ref="H8:H35" si="3">ABS(E8-G8)</f>
        <v>7.400000000000001E-2</v>
      </c>
      <c r="I8" s="380">
        <f>H8/SQRT(3)</f>
        <v>4.2723919920032313E-2</v>
      </c>
      <c r="K8" s="243" t="s">
        <v>634</v>
      </c>
      <c r="L8" s="244">
        <f>IF(L6&lt;2,"N/A",VLOOKUP(L6,$A$7:$E$60,5,FALSE))</f>
        <v>0</v>
      </c>
      <c r="M8" s="244">
        <f>IF(M6&lt;2,"N/A",VLOOKUP(M6,$A$7:$E$60,5,FALSE))</f>
        <v>0</v>
      </c>
      <c r="N8" s="244">
        <f>SUM(L8:M8)</f>
        <v>0</v>
      </c>
      <c r="O8" s="238" t="s">
        <v>633</v>
      </c>
      <c r="P8" s="85" t="str">
        <f>IF(P6&lt;2,"N/A",VLOOKUP(P6,$A$44:$E$50,4,FALSE))</f>
        <v>N/A</v>
      </c>
      <c r="Q8" s="239" t="str">
        <f>P8</f>
        <v>N/A</v>
      </c>
      <c r="S8" s="173" t="s">
        <v>634</v>
      </c>
      <c r="T8" s="61">
        <f>IF(T6&lt;0,"N/A",VLOOKUP(T6,$A$7:$E$60,5,FALSE))</f>
        <v>0</v>
      </c>
      <c r="U8" s="61">
        <f t="shared" ref="U8:W8" si="4">IF(U6&lt;0,"N/A",VLOOKUP(U6,$A$7:$E$60,5,FALSE))</f>
        <v>0</v>
      </c>
      <c r="V8" s="61">
        <f t="shared" si="4"/>
        <v>0</v>
      </c>
      <c r="W8" s="61">
        <f t="shared" si="4"/>
        <v>0</v>
      </c>
      <c r="X8" s="71">
        <f>SUM(T8:W8)</f>
        <v>0</v>
      </c>
      <c r="AA8" s="292">
        <v>1</v>
      </c>
      <c r="AB8" s="292">
        <v>4.0000000000000001E-3</v>
      </c>
      <c r="AC8" s="292">
        <v>-7.0000000000000007E-2</v>
      </c>
      <c r="AD8" s="295">
        <f t="shared" ref="AD8:AD35" si="5">ABS(AB8-AC8)</f>
        <v>7.400000000000001E-2</v>
      </c>
      <c r="AE8" s="296">
        <f t="shared" si="1"/>
        <v>4.2723919920032313E-2</v>
      </c>
      <c r="AF8" s="293">
        <v>0.12</v>
      </c>
      <c r="AG8" s="293">
        <f t="shared" si="2"/>
        <v>40</v>
      </c>
      <c r="AH8" s="76" t="str">
        <f>IF(ABS(AD8)&gt;AG8,"No Cumple","")</f>
        <v/>
      </c>
      <c r="AK8" s="85"/>
    </row>
    <row r="9" spans="1:37" x14ac:dyDescent="0.25">
      <c r="A9" s="83">
        <v>3</v>
      </c>
      <c r="B9" s="85" t="s">
        <v>107</v>
      </c>
      <c r="C9" s="76">
        <v>1.5</v>
      </c>
      <c r="D9" s="76" t="s">
        <v>199</v>
      </c>
      <c r="E9" s="400">
        <v>3.5999999999999997E-2</v>
      </c>
      <c r="F9" s="76">
        <v>8.5999999999999993E-2</v>
      </c>
      <c r="G9" s="400">
        <v>0.01</v>
      </c>
      <c r="H9" s="85">
        <f t="shared" si="3"/>
        <v>2.5999999999999995E-2</v>
      </c>
      <c r="I9" s="380">
        <f t="shared" ref="I9:I35" si="6">H9/SQRT(3)</f>
        <v>1.5011106998930268E-2</v>
      </c>
      <c r="K9" s="243" t="s">
        <v>631</v>
      </c>
      <c r="L9" s="244">
        <f>IF(L6&lt;2,"N/A",VLOOKUP(L6,$A$8:$I$60,6,FALSE)/2)</f>
        <v>0</v>
      </c>
      <c r="M9" s="244">
        <f>IF(M6&lt;2,"N/A",VLOOKUP(M6,$A$7:$F$60,6,FALSE)/2)</f>
        <v>0</v>
      </c>
      <c r="N9" s="245">
        <f>SUM(L9:M9)</f>
        <v>0</v>
      </c>
      <c r="O9" s="150" t="s">
        <v>636</v>
      </c>
      <c r="P9" s="85" t="str">
        <f>IF(P6&lt;2,"N/A",VLOOKUP(P6,$A$44:$E$50,5,FALSE))</f>
        <v>N/A</v>
      </c>
      <c r="Q9" s="61" t="str">
        <f>P9</f>
        <v>N/A</v>
      </c>
      <c r="S9" s="173" t="s">
        <v>631</v>
      </c>
      <c r="T9" s="61">
        <f>IF(T6&lt;0,"N/A",VLOOKUP(T6,$A$7:$F$60,6,FALSE)/2)</f>
        <v>0</v>
      </c>
      <c r="U9" s="61">
        <f t="shared" ref="U9:W9" si="7">IF(U6&lt;0,"N/A",VLOOKUP(U6,$A$7:$F$60,6,FALSE)/2)</f>
        <v>0</v>
      </c>
      <c r="V9" s="61">
        <f t="shared" si="7"/>
        <v>0</v>
      </c>
      <c r="W9" s="61">
        <f t="shared" si="7"/>
        <v>0</v>
      </c>
      <c r="X9" s="284">
        <f>SUM(T9:W9)</f>
        <v>0</v>
      </c>
      <c r="AA9" s="292">
        <v>1.5</v>
      </c>
      <c r="AB9" s="292">
        <v>3.5999999999999997E-2</v>
      </c>
      <c r="AC9" s="292">
        <v>0.01</v>
      </c>
      <c r="AD9" s="295">
        <f t="shared" si="5"/>
        <v>2.5999999999999995E-2</v>
      </c>
      <c r="AE9" s="296">
        <f t="shared" si="1"/>
        <v>1.5011106998930268E-2</v>
      </c>
      <c r="AF9" s="293">
        <v>0.12</v>
      </c>
      <c r="AG9" s="293">
        <f t="shared" si="2"/>
        <v>40</v>
      </c>
      <c r="AH9" s="76" t="str">
        <f t="shared" ref="AH9:AH35" si="8">IF(ABS(AD9)&gt;AG9,"No Cumple","")</f>
        <v/>
      </c>
      <c r="AK9" s="85"/>
    </row>
    <row r="10" spans="1:37" ht="26.4" x14ac:dyDescent="0.25">
      <c r="A10" s="76">
        <v>4</v>
      </c>
      <c r="B10" s="85" t="s">
        <v>109</v>
      </c>
      <c r="C10" s="76">
        <v>2</v>
      </c>
      <c r="D10" s="76" t="s">
        <v>200</v>
      </c>
      <c r="E10" s="400">
        <v>2.1000000000000001E-2</v>
      </c>
      <c r="F10" s="76">
        <v>8.6999999999999994E-2</v>
      </c>
      <c r="G10" s="400">
        <v>-0.02</v>
      </c>
      <c r="H10" s="85">
        <f t="shared" si="3"/>
        <v>4.1000000000000002E-2</v>
      </c>
      <c r="I10" s="380">
        <f t="shared" si="6"/>
        <v>2.3671361036774658E-2</v>
      </c>
      <c r="P10" s="150"/>
      <c r="S10" s="174" t="s">
        <v>632</v>
      </c>
      <c r="T10" s="283">
        <f>IF(T6&lt;0,"N/A",VLOOKUP(T6,$A$7:$I$60,9,FALSE))</f>
        <v>0</v>
      </c>
      <c r="U10" s="283">
        <f t="shared" ref="U10:W10" si="9">IF(U6&lt;0,"N/A",VLOOKUP(U6,$A$7:$I$60,9,FALSE))</f>
        <v>0</v>
      </c>
      <c r="V10" s="283">
        <f t="shared" si="9"/>
        <v>0</v>
      </c>
      <c r="W10" s="283">
        <f t="shared" si="9"/>
        <v>0</v>
      </c>
      <c r="X10" s="284">
        <f>SUM(T10:W10)</f>
        <v>0</v>
      </c>
      <c r="AA10" s="292">
        <v>2</v>
      </c>
      <c r="AB10" s="292">
        <v>2.1000000000000001E-2</v>
      </c>
      <c r="AC10" s="292">
        <v>-0.02</v>
      </c>
      <c r="AD10" s="295">
        <f t="shared" si="5"/>
        <v>4.1000000000000002E-2</v>
      </c>
      <c r="AE10" s="296">
        <f t="shared" si="1"/>
        <v>2.3671361036774658E-2</v>
      </c>
      <c r="AF10" s="293">
        <v>0.12</v>
      </c>
      <c r="AG10" s="293">
        <f t="shared" ref="AG10:AG35" si="10">AF10/3*1000</f>
        <v>40</v>
      </c>
      <c r="AH10" s="76" t="str">
        <f t="shared" si="8"/>
        <v/>
      </c>
      <c r="AK10" s="85"/>
    </row>
    <row r="11" spans="1:37" x14ac:dyDescent="0.25">
      <c r="A11" s="83">
        <v>5</v>
      </c>
      <c r="B11" s="85" t="s">
        <v>226</v>
      </c>
      <c r="C11" s="76">
        <v>2.5</v>
      </c>
      <c r="D11" s="76" t="s">
        <v>201</v>
      </c>
      <c r="E11" s="400">
        <v>-0.02</v>
      </c>
      <c r="F11" s="76">
        <v>8.5999999999999993E-2</v>
      </c>
      <c r="G11" s="400">
        <v>-0.05</v>
      </c>
      <c r="H11" s="85">
        <f t="shared" si="3"/>
        <v>3.0000000000000002E-2</v>
      </c>
      <c r="I11" s="380">
        <f t="shared" si="6"/>
        <v>1.7320508075688777E-2</v>
      </c>
      <c r="P11" s="150"/>
      <c r="AA11" s="292">
        <v>2.5</v>
      </c>
      <c r="AB11" s="292">
        <v>-0.02</v>
      </c>
      <c r="AC11" s="292">
        <v>-0.05</v>
      </c>
      <c r="AD11" s="295">
        <f t="shared" si="5"/>
        <v>3.0000000000000002E-2</v>
      </c>
      <c r="AE11" s="296">
        <f t="shared" si="1"/>
        <v>1.7320508075688777E-2</v>
      </c>
      <c r="AF11" s="293">
        <v>0.12</v>
      </c>
      <c r="AG11" s="293">
        <f t="shared" si="10"/>
        <v>40</v>
      </c>
      <c r="AH11" s="76" t="str">
        <f t="shared" si="8"/>
        <v/>
      </c>
      <c r="AK11" s="85"/>
    </row>
    <row r="12" spans="1:37" x14ac:dyDescent="0.25">
      <c r="A12" s="76">
        <v>6</v>
      </c>
      <c r="B12" s="85" t="s">
        <v>110</v>
      </c>
      <c r="C12" s="76">
        <v>3</v>
      </c>
      <c r="D12" s="76" t="s">
        <v>202</v>
      </c>
      <c r="E12" s="400">
        <v>0</v>
      </c>
      <c r="F12" s="76">
        <v>8.5999999999999993E-2</v>
      </c>
      <c r="G12" s="400">
        <v>-0.03</v>
      </c>
      <c r="H12" s="85">
        <f t="shared" si="3"/>
        <v>0.03</v>
      </c>
      <c r="I12" s="380">
        <f t="shared" si="6"/>
        <v>1.7320508075688773E-2</v>
      </c>
      <c r="K12" s="67"/>
      <c r="L12" s="68" t="str">
        <f>IF(L13&lt;2,"N/A",IF(L13&lt;49,"BP - "&amp;VLOOKUP(L13,$A$7:$E$60,3,FALSE),IF(OR(L13=49,L13=51,L13=53),"L1 - "&amp;VLOOKUP(L13,$A$7:$E$60,3,FALSE),IF(OR(L13=50,L13=52,L13=54),"L2 - "&amp;VLOOKUP(L13,$A$7:$E$60,3,FALSE)))))</f>
        <v>BP - 0</v>
      </c>
      <c r="M12" s="68" t="str">
        <f>IF(M13&lt;2,"N/A",IF(M13&lt;49,"BP - "&amp;VLOOKUP(M13,$A$7:$E$60,3,FALSE),IF(OR(M13=49,M13=51,M13=53),"L1 - "&amp;VLOOKUP(M13,$A$7:$E$60,3,FALSE),IF(OR(M13=50,M13=52,M13=54),"L2 - "&amp;VLOOKUP(M13,$A$7:$E$60,3,FALSE)))))</f>
        <v>BP - 0</v>
      </c>
      <c r="N12" s="69" t="s">
        <v>100</v>
      </c>
      <c r="O12" s="67"/>
      <c r="P12" s="343"/>
      <c r="Q12" s="69" t="s">
        <v>100</v>
      </c>
      <c r="R12" s="76"/>
      <c r="AA12" s="292">
        <v>3</v>
      </c>
      <c r="AB12" s="292">
        <v>0</v>
      </c>
      <c r="AC12" s="292">
        <v>-0.03</v>
      </c>
      <c r="AD12" s="295">
        <f t="shared" si="5"/>
        <v>0.03</v>
      </c>
      <c r="AE12" s="296">
        <f t="shared" si="1"/>
        <v>1.7320508075688773E-2</v>
      </c>
      <c r="AF12" s="293">
        <v>0.12</v>
      </c>
      <c r="AG12" s="293">
        <f t="shared" si="10"/>
        <v>40</v>
      </c>
      <c r="AH12" s="76" t="str">
        <f t="shared" si="8"/>
        <v/>
      </c>
      <c r="AK12" s="85"/>
    </row>
    <row r="13" spans="1:37" x14ac:dyDescent="0.25">
      <c r="A13" s="83">
        <v>7</v>
      </c>
      <c r="B13" s="85" t="s">
        <v>227</v>
      </c>
      <c r="C13" s="76">
        <v>3.5</v>
      </c>
      <c r="D13" s="76" t="s">
        <v>203</v>
      </c>
      <c r="E13" s="400">
        <v>-3.5999999999999997E-2</v>
      </c>
      <c r="F13" s="76">
        <v>8.5999999999999993E-2</v>
      </c>
      <c r="G13" s="400">
        <v>-0.05</v>
      </c>
      <c r="H13" s="85">
        <f t="shared" si="3"/>
        <v>1.4000000000000005E-2</v>
      </c>
      <c r="I13" s="380">
        <f t="shared" si="6"/>
        <v>8.0829037686547638E-3</v>
      </c>
      <c r="K13" s="70"/>
      <c r="L13" s="3">
        <v>30</v>
      </c>
      <c r="M13" s="3">
        <v>30</v>
      </c>
      <c r="N13" s="71"/>
      <c r="O13" s="70"/>
      <c r="P13" s="344">
        <v>1</v>
      </c>
      <c r="Q13" s="71"/>
      <c r="S13" s="67"/>
      <c r="T13" s="68" t="str">
        <f>IF(T14&lt;2,"N/A",IF(T14&lt;49,"BP - "&amp;VLOOKUP(T14,$A$7:$E$60,3,FALSE),IF(OR(T14=49,T14=51,T14=53),"L1 - "&amp;VLOOKUP(T14,$A$7:$E$60,3,FALSE),IF(OR(T14=50,T14=52,T14=54),"L2 - "&amp;VLOOKUP(T14,$A$7:$E$60,3,FALSE)))))</f>
        <v>BP - 0</v>
      </c>
      <c r="U13" s="68" t="str">
        <f>IF(U14&lt;2,"N/A",IF(U14&lt;49,"BP - "&amp;VLOOKUP(U14,$A$7:$E$60,3,FALSE),IF(OR(U14=49,U14=51,U14=53),"L1 - "&amp;VLOOKUP(U14,$A$7:$E$60,3,FALSE),IF(OR(U14=50,U14=52,U14=54),"L2 - "&amp;VLOOKUP(U14,$A$7:$E$60,3,FALSE)))))</f>
        <v>BP - 0</v>
      </c>
      <c r="V13" s="68" t="str">
        <f>IF(V14&lt;2,"N/A",IF(V14&lt;49,"BP - "&amp;VLOOKUP(V14,$A$7:$E$60,3,FALSE),IF(OR(V14=49,V14=51,V14=53),"L1 - "&amp;VLOOKUP(V14,$A$7:$E$60,3,FALSE),IF(OR(V14=50,V14=52,V14=54),"L2 - "&amp;VLOOKUP(V14,$A$7:$E$60,3,FALSE)))))</f>
        <v>BP - 0</v>
      </c>
      <c r="W13" s="68" t="str">
        <f>IF(W14&lt;2,"N/A",IF(W14&lt;49,"BP - "&amp;VLOOKUP(W14,$A$7:$E$60,3,FALSE),IF(OR(W14=49,W14=51,W14=53),"L1 - "&amp;VLOOKUP(W14,$A$7:$E$60,3,FALSE),IF(OR(W14=50,W14=52,W14=54),"L2 - "&amp;VLOOKUP(W14,$A$7:$E$60,3,FALSE)))))</f>
        <v>BP - 0</v>
      </c>
      <c r="X13" s="69" t="s">
        <v>100</v>
      </c>
      <c r="AA13" s="292">
        <v>3.5</v>
      </c>
      <c r="AB13" s="292">
        <v>-3.5999999999999997E-2</v>
      </c>
      <c r="AC13" s="292">
        <v>-0.05</v>
      </c>
      <c r="AD13" s="295">
        <f t="shared" si="5"/>
        <v>1.4000000000000005E-2</v>
      </c>
      <c r="AE13" s="296">
        <f t="shared" si="1"/>
        <v>8.0829037686547638E-3</v>
      </c>
      <c r="AF13" s="293">
        <v>0.12</v>
      </c>
      <c r="AG13" s="293">
        <f t="shared" si="10"/>
        <v>40</v>
      </c>
      <c r="AH13" s="76" t="str">
        <f t="shared" si="8"/>
        <v/>
      </c>
      <c r="AK13" s="85"/>
    </row>
    <row r="14" spans="1:37" x14ac:dyDescent="0.25">
      <c r="A14" s="76">
        <v>8</v>
      </c>
      <c r="B14" s="85" t="s">
        <v>111</v>
      </c>
      <c r="C14" s="76">
        <v>4</v>
      </c>
      <c r="D14" s="76" t="s">
        <v>204</v>
      </c>
      <c r="E14" s="400">
        <v>5.0000000000000001E-3</v>
      </c>
      <c r="F14" s="76">
        <v>8.6999999999999994E-2</v>
      </c>
      <c r="G14" s="400">
        <v>0.01</v>
      </c>
      <c r="H14" s="85">
        <f t="shared" si="3"/>
        <v>5.0000000000000001E-3</v>
      </c>
      <c r="I14" s="380">
        <f t="shared" si="6"/>
        <v>2.886751345948129E-3</v>
      </c>
      <c r="K14" s="244" t="s">
        <v>98</v>
      </c>
      <c r="L14" s="244">
        <f>IF(L13&lt;2,"N/A",VLOOKUP(L13,$A$7:$E$60,3,FALSE))</f>
        <v>0</v>
      </c>
      <c r="M14" s="244">
        <f>IF(M13&lt;2,"N/A",VLOOKUP(M13,$A$7:$E$60,3,FALSE))</f>
        <v>0</v>
      </c>
      <c r="N14" s="244">
        <f>SUM(L14:M14)</f>
        <v>0</v>
      </c>
      <c r="O14" s="70" t="s">
        <v>98</v>
      </c>
      <c r="P14" s="205" t="str">
        <f>IF(P13&lt;2,"N/A",VLOOKUP(P13,'Datos Patrones'!$A$44:$F$50,2,FALSE))</f>
        <v>N/A</v>
      </c>
      <c r="Q14" s="241" t="str">
        <f>P14</f>
        <v>N/A</v>
      </c>
      <c r="S14" s="70"/>
      <c r="T14" s="3">
        <v>30</v>
      </c>
      <c r="U14" s="3">
        <v>30</v>
      </c>
      <c r="V14" s="3">
        <v>30</v>
      </c>
      <c r="W14" s="3">
        <v>30</v>
      </c>
      <c r="X14" s="71"/>
      <c r="AA14" s="292">
        <v>4</v>
      </c>
      <c r="AB14" s="292">
        <v>5.0000000000000001E-3</v>
      </c>
      <c r="AC14" s="292">
        <v>0.01</v>
      </c>
      <c r="AD14" s="295">
        <f t="shared" si="5"/>
        <v>5.0000000000000001E-3</v>
      </c>
      <c r="AE14" s="296">
        <f t="shared" si="1"/>
        <v>2.886751345948129E-3</v>
      </c>
      <c r="AF14" s="293">
        <v>0.12</v>
      </c>
      <c r="AG14" s="293">
        <f t="shared" si="10"/>
        <v>40</v>
      </c>
      <c r="AH14" s="76" t="str">
        <f t="shared" si="8"/>
        <v/>
      </c>
      <c r="AK14" s="85"/>
    </row>
    <row r="15" spans="1:37" x14ac:dyDescent="0.25">
      <c r="A15" s="83">
        <v>9</v>
      </c>
      <c r="B15" s="85" t="s">
        <v>228</v>
      </c>
      <c r="C15" s="76">
        <v>4.5</v>
      </c>
      <c r="D15" s="76" t="s">
        <v>205</v>
      </c>
      <c r="E15" s="400">
        <v>0.05</v>
      </c>
      <c r="F15" s="76">
        <v>8.5999999999999993E-2</v>
      </c>
      <c r="G15" s="400">
        <v>0.03</v>
      </c>
      <c r="H15" s="85">
        <f t="shared" si="3"/>
        <v>2.0000000000000004E-2</v>
      </c>
      <c r="I15" s="380">
        <f t="shared" si="6"/>
        <v>1.1547005383792518E-2</v>
      </c>
      <c r="K15" s="243" t="s">
        <v>634</v>
      </c>
      <c r="L15" s="244">
        <f>IF(L13&lt;2,"N/A",VLOOKUP(L13,$A$7:$E$60,5,FALSE))</f>
        <v>0</v>
      </c>
      <c r="M15" s="244">
        <f>IF(M13&lt;2,"N/A",VLOOKUP(M13,$A$7:$E$60,5,FALSE))</f>
        <v>0</v>
      </c>
      <c r="N15" s="244">
        <f>SUM(L15:M15)</f>
        <v>0</v>
      </c>
      <c r="O15" s="238" t="s">
        <v>633</v>
      </c>
      <c r="P15" s="205" t="str">
        <f>IF(P13&lt;2,"N/A",VLOOKUP(P13,'Datos Patrones'!$A$44:$F$50,4,FALSE))</f>
        <v>N/A</v>
      </c>
      <c r="Q15" s="239" t="str">
        <f>P15</f>
        <v>N/A</v>
      </c>
      <c r="S15" s="70" t="s">
        <v>98</v>
      </c>
      <c r="T15" s="61">
        <f>IF(T14&lt;0,"N/A",VLOOKUP(T14,$A$7:$E$60,3,FALSE))</f>
        <v>0</v>
      </c>
      <c r="U15" s="61">
        <f t="shared" ref="U15:W15" si="11">IF(U14&lt;0,"N/A",VLOOKUP(U14,$A$7:$E$60,3,FALSE))</f>
        <v>0</v>
      </c>
      <c r="V15" s="61">
        <f t="shared" si="11"/>
        <v>0</v>
      </c>
      <c r="W15" s="61">
        <f t="shared" si="11"/>
        <v>0</v>
      </c>
      <c r="X15" s="71">
        <f>SUM(T15:W15)</f>
        <v>0</v>
      </c>
      <c r="Y15" s="61">
        <f>COUNT(T15:V15)</f>
        <v>3</v>
      </c>
      <c r="AA15" s="292">
        <v>4.5</v>
      </c>
      <c r="AB15" s="292">
        <v>0.05</v>
      </c>
      <c r="AC15" s="292">
        <v>0.03</v>
      </c>
      <c r="AD15" s="295">
        <f t="shared" si="5"/>
        <v>2.0000000000000004E-2</v>
      </c>
      <c r="AE15" s="296">
        <f t="shared" si="1"/>
        <v>1.1547005383792518E-2</v>
      </c>
      <c r="AF15" s="293">
        <v>0.12</v>
      </c>
      <c r="AG15" s="293">
        <f t="shared" si="10"/>
        <v>40</v>
      </c>
      <c r="AH15" s="76" t="str">
        <f t="shared" si="8"/>
        <v/>
      </c>
      <c r="AK15" s="85"/>
    </row>
    <row r="16" spans="1:37" x14ac:dyDescent="0.25">
      <c r="A16" s="76">
        <v>10</v>
      </c>
      <c r="B16" s="85" t="s">
        <v>112</v>
      </c>
      <c r="C16" s="76">
        <v>5</v>
      </c>
      <c r="D16" s="76" t="s">
        <v>206</v>
      </c>
      <c r="E16" s="400">
        <v>4.8000000000000001E-2</v>
      </c>
      <c r="F16" s="76">
        <v>8.5999999999999993E-2</v>
      </c>
      <c r="G16" s="400">
        <v>-0.04</v>
      </c>
      <c r="H16" s="85">
        <f t="shared" si="3"/>
        <v>8.7999999999999995E-2</v>
      </c>
      <c r="I16" s="380">
        <f t="shared" si="6"/>
        <v>5.0806823688687067E-2</v>
      </c>
      <c r="K16" s="243" t="s">
        <v>631</v>
      </c>
      <c r="L16" s="244">
        <f>IF(L13&lt;2,"N/A",VLOOKUP(L13,$A$7:$I$60,6,FALSE)/2)</f>
        <v>0</v>
      </c>
      <c r="M16" s="244">
        <f>IF(M13&lt;2,"N/A",VLOOKUP(M13,$A$7:$F$60,6,FALSE)/2)</f>
        <v>0</v>
      </c>
      <c r="N16" s="245">
        <f>SUM(L16:M16)</f>
        <v>0</v>
      </c>
      <c r="O16" s="150" t="s">
        <v>636</v>
      </c>
      <c r="P16" s="205" t="str">
        <f>IF(P13&lt;2,"N/A",VLOOKUP(P13,'Datos Patrones'!$A$44:$F$50,5,FALSE))</f>
        <v>N/A</v>
      </c>
      <c r="Q16" s="240" t="str">
        <f>P16</f>
        <v>N/A</v>
      </c>
      <c r="S16" s="173" t="s">
        <v>634</v>
      </c>
      <c r="T16" s="61">
        <f>IF(T14&lt;0,"N/A",VLOOKUP(T14,$A$7:$E$60,5,FALSE))</f>
        <v>0</v>
      </c>
      <c r="U16" s="61">
        <f t="shared" ref="U16:W16" si="12">IF(U14&lt;0,"N/A",VLOOKUP(U14,$A$7:$E$60,5,FALSE))</f>
        <v>0</v>
      </c>
      <c r="V16" s="61">
        <f t="shared" si="12"/>
        <v>0</v>
      </c>
      <c r="W16" s="61">
        <f t="shared" si="12"/>
        <v>0</v>
      </c>
      <c r="X16" s="71">
        <f>SUM(T16:W16)</f>
        <v>0</v>
      </c>
      <c r="AA16" s="292">
        <v>5</v>
      </c>
      <c r="AB16" s="292">
        <v>4.8000000000000001E-2</v>
      </c>
      <c r="AC16" s="292">
        <v>-0.04</v>
      </c>
      <c r="AD16" s="295">
        <f t="shared" si="5"/>
        <v>8.7999999999999995E-2</v>
      </c>
      <c r="AE16" s="296">
        <f t="shared" si="1"/>
        <v>5.0806823688687067E-2</v>
      </c>
      <c r="AF16" s="293">
        <v>0.12</v>
      </c>
      <c r="AG16" s="293">
        <f t="shared" si="10"/>
        <v>40</v>
      </c>
      <c r="AH16" s="76" t="str">
        <f t="shared" si="8"/>
        <v/>
      </c>
      <c r="AK16" s="85"/>
    </row>
    <row r="17" spans="1:37" x14ac:dyDescent="0.25">
      <c r="A17" s="83">
        <v>11</v>
      </c>
      <c r="B17" s="85" t="s">
        <v>229</v>
      </c>
      <c r="C17" s="76">
        <v>5.5</v>
      </c>
      <c r="D17" s="76" t="s">
        <v>207</v>
      </c>
      <c r="E17" s="400">
        <v>0.02</v>
      </c>
      <c r="F17" s="76">
        <v>8.5999999999999993E-2</v>
      </c>
      <c r="G17" s="400">
        <v>-0.02</v>
      </c>
      <c r="H17" s="85">
        <f t="shared" si="3"/>
        <v>0.04</v>
      </c>
      <c r="I17" s="380">
        <f t="shared" si="6"/>
        <v>2.3094010767585032E-2</v>
      </c>
      <c r="P17" s="150"/>
      <c r="S17" s="173" t="s">
        <v>631</v>
      </c>
      <c r="T17" s="61">
        <f>IF(T14&lt;0,"N/A",VLOOKUP(T14,$A$7:$F$60,6,FALSE)/2)</f>
        <v>0</v>
      </c>
      <c r="U17" s="61">
        <f t="shared" ref="U17:W17" si="13">IF(U14&lt;0,"N/A",VLOOKUP(U14,$A$7:$F$60,6,FALSE)/2)</f>
        <v>0</v>
      </c>
      <c r="V17" s="61">
        <f t="shared" si="13"/>
        <v>0</v>
      </c>
      <c r="W17" s="61">
        <f t="shared" si="13"/>
        <v>0</v>
      </c>
      <c r="X17" s="61">
        <f>SUM(T17:W17)</f>
        <v>0</v>
      </c>
      <c r="AA17" s="292">
        <v>5.5</v>
      </c>
      <c r="AB17" s="292">
        <v>0.02</v>
      </c>
      <c r="AC17" s="292">
        <v>-0.02</v>
      </c>
      <c r="AD17" s="295">
        <f t="shared" si="5"/>
        <v>0.04</v>
      </c>
      <c r="AE17" s="296">
        <f t="shared" si="1"/>
        <v>2.3094010767585032E-2</v>
      </c>
      <c r="AF17" s="293">
        <v>0.12</v>
      </c>
      <c r="AG17" s="293">
        <f t="shared" si="10"/>
        <v>40</v>
      </c>
      <c r="AH17" s="76" t="str">
        <f t="shared" si="8"/>
        <v/>
      </c>
      <c r="AK17" s="85"/>
    </row>
    <row r="18" spans="1:37" ht="26.4" x14ac:dyDescent="0.25">
      <c r="A18" s="76">
        <v>12</v>
      </c>
      <c r="B18" s="85" t="s">
        <v>113</v>
      </c>
      <c r="C18" s="76">
        <v>6</v>
      </c>
      <c r="D18" s="76" t="s">
        <v>208</v>
      </c>
      <c r="E18" s="400">
        <v>0</v>
      </c>
      <c r="F18" s="76">
        <v>8.5999999999999993E-2</v>
      </c>
      <c r="G18" s="400">
        <v>0.11</v>
      </c>
      <c r="H18" s="85">
        <f t="shared" si="3"/>
        <v>0.11</v>
      </c>
      <c r="I18" s="380">
        <f t="shared" si="6"/>
        <v>6.3508529610858844E-2</v>
      </c>
      <c r="P18" s="150"/>
      <c r="S18" s="174" t="s">
        <v>632</v>
      </c>
      <c r="T18" s="298">
        <f>IF(T14&lt;0,"N/A",VLOOKUP(T14,$A$7:$I$60,9,FALSE))</f>
        <v>0</v>
      </c>
      <c r="U18" s="298">
        <f t="shared" ref="U18:W18" si="14">IF(U14&lt;0,"N/A",VLOOKUP(U14,$A$7:$I$60,9,FALSE))</f>
        <v>0</v>
      </c>
      <c r="V18" s="298">
        <f t="shared" si="14"/>
        <v>0</v>
      </c>
      <c r="W18" s="298">
        <f t="shared" si="14"/>
        <v>0</v>
      </c>
      <c r="X18" s="339">
        <f>SUM(T18:W18)</f>
        <v>0</v>
      </c>
      <c r="AA18" s="292">
        <v>6</v>
      </c>
      <c r="AB18" s="292">
        <v>0</v>
      </c>
      <c r="AC18" s="292">
        <v>0.11</v>
      </c>
      <c r="AD18" s="295">
        <f t="shared" si="5"/>
        <v>0.11</v>
      </c>
      <c r="AE18" s="296">
        <f t="shared" si="1"/>
        <v>6.3508529610858844E-2</v>
      </c>
      <c r="AF18" s="293">
        <v>0.12</v>
      </c>
      <c r="AG18" s="293">
        <f t="shared" si="10"/>
        <v>40</v>
      </c>
      <c r="AH18" s="76" t="str">
        <f t="shared" si="8"/>
        <v/>
      </c>
      <c r="AK18" s="85"/>
    </row>
    <row r="19" spans="1:37" x14ac:dyDescent="0.25">
      <c r="A19" s="83">
        <v>13</v>
      </c>
      <c r="B19" s="85" t="s">
        <v>230</v>
      </c>
      <c r="C19" s="76">
        <v>6.5</v>
      </c>
      <c r="D19" s="76" t="s">
        <v>209</v>
      </c>
      <c r="E19" s="400">
        <v>1.7999999999999999E-2</v>
      </c>
      <c r="F19" s="76">
        <v>8.5999999999999993E-2</v>
      </c>
      <c r="G19" s="400">
        <v>0.04</v>
      </c>
      <c r="H19" s="85">
        <f t="shared" si="3"/>
        <v>2.2000000000000002E-2</v>
      </c>
      <c r="I19" s="380">
        <f t="shared" si="6"/>
        <v>1.2701705922171768E-2</v>
      </c>
      <c r="K19" s="67"/>
      <c r="L19" s="68" t="str">
        <f>IF(L20&lt;2,"N/A",IF(L20&lt;49,"BP - "&amp;VLOOKUP(L20,$A$7:$E$60,3,FALSE),IF(OR(L20=49,L20=51,L20=53),"L1 - "&amp;VLOOKUP(L20,$A$7:$E$60,3,FALSE),IF(OR(L20=50,L20=52,L20=54),"L2 - "&amp;VLOOKUP(L20,$A$7:$E$60,3,FALSE)))))</f>
        <v>BP - 0</v>
      </c>
      <c r="M19" s="68" t="str">
        <f>IF(M20&lt;2,"N/A",IF(M20&lt;49,"BP - "&amp;VLOOKUP(M20,$A$7:$E$60,3,FALSE),IF(OR(M20=49,M20=51,M20=53),"L1 - "&amp;VLOOKUP(M20,$A$7:$E$60,3,FALSE),IF(OR(M20=50,M20=52,M20=54),"L2 - "&amp;VLOOKUP(M20,$A$7:$E$60,3,FALSE)))))</f>
        <v>BP - 0</v>
      </c>
      <c r="N19" s="69" t="s">
        <v>100</v>
      </c>
      <c r="O19" s="67"/>
      <c r="P19" s="343"/>
      <c r="Q19" s="69" t="s">
        <v>100</v>
      </c>
      <c r="R19" s="76"/>
      <c r="AA19" s="292">
        <v>6.5</v>
      </c>
      <c r="AB19" s="292">
        <v>1.7999999999999999E-2</v>
      </c>
      <c r="AC19" s="292">
        <v>0.04</v>
      </c>
      <c r="AD19" s="295">
        <f t="shared" si="5"/>
        <v>2.2000000000000002E-2</v>
      </c>
      <c r="AE19" s="296">
        <f t="shared" si="1"/>
        <v>1.2701705922171768E-2</v>
      </c>
      <c r="AF19" s="293">
        <v>0.12</v>
      </c>
      <c r="AG19" s="293">
        <f t="shared" si="10"/>
        <v>40</v>
      </c>
      <c r="AH19" s="76" t="str">
        <f t="shared" si="8"/>
        <v/>
      </c>
      <c r="AK19" s="85"/>
    </row>
    <row r="20" spans="1:37" x14ac:dyDescent="0.25">
      <c r="A20" s="76">
        <v>14</v>
      </c>
      <c r="B20" s="85" t="s">
        <v>114</v>
      </c>
      <c r="C20" s="76">
        <v>7</v>
      </c>
      <c r="D20" s="76" t="s">
        <v>210</v>
      </c>
      <c r="E20" s="400">
        <v>6.0000000000000001E-3</v>
      </c>
      <c r="F20" s="76">
        <v>8.6999999999999994E-2</v>
      </c>
      <c r="G20" s="400">
        <v>0.01</v>
      </c>
      <c r="H20" s="85">
        <f t="shared" si="3"/>
        <v>4.0000000000000001E-3</v>
      </c>
      <c r="I20" s="380">
        <f t="shared" si="6"/>
        <v>2.3094010767585032E-3</v>
      </c>
      <c r="K20" s="70"/>
      <c r="L20" s="3">
        <v>30</v>
      </c>
      <c r="M20" s="3">
        <v>30</v>
      </c>
      <c r="N20" s="71"/>
      <c r="O20" s="70"/>
      <c r="P20" s="344">
        <v>1</v>
      </c>
      <c r="Q20" s="71"/>
      <c r="AA20" s="292">
        <v>7</v>
      </c>
      <c r="AB20" s="292">
        <v>6.0000000000000001E-3</v>
      </c>
      <c r="AC20" s="292">
        <v>0.01</v>
      </c>
      <c r="AD20" s="295">
        <f t="shared" si="5"/>
        <v>4.0000000000000001E-3</v>
      </c>
      <c r="AE20" s="296">
        <f t="shared" si="1"/>
        <v>2.3094010767585032E-3</v>
      </c>
      <c r="AF20" s="293">
        <v>0.12</v>
      </c>
      <c r="AG20" s="293">
        <f t="shared" si="10"/>
        <v>40</v>
      </c>
      <c r="AH20" s="76" t="str">
        <f t="shared" si="8"/>
        <v/>
      </c>
      <c r="AK20" s="85"/>
    </row>
    <row r="21" spans="1:37" x14ac:dyDescent="0.25">
      <c r="A21" s="83">
        <v>15</v>
      </c>
      <c r="B21" s="85" t="s">
        <v>231</v>
      </c>
      <c r="C21" s="76">
        <v>7.5</v>
      </c>
      <c r="D21" s="76" t="s">
        <v>211</v>
      </c>
      <c r="E21" s="400">
        <v>-4.0000000000000001E-3</v>
      </c>
      <c r="F21" s="76">
        <v>8.5999999999999993E-2</v>
      </c>
      <c r="G21" s="400">
        <v>0.03</v>
      </c>
      <c r="H21" s="85">
        <f t="shared" si="3"/>
        <v>3.4000000000000002E-2</v>
      </c>
      <c r="I21" s="380">
        <f t="shared" si="6"/>
        <v>1.9629909152447278E-2</v>
      </c>
      <c r="K21" s="244" t="s">
        <v>98</v>
      </c>
      <c r="L21" s="244">
        <f>IF(L20&lt;2,"N/A",VLOOKUP(L20,$A$7:$E$60,3,FALSE))</f>
        <v>0</v>
      </c>
      <c r="M21" s="244">
        <f>IF(M20&lt;2,"N/A",VLOOKUP(M20,$A$7:$E$60,3,FALSE))</f>
        <v>0</v>
      </c>
      <c r="N21" s="244">
        <f>SUM(L21:M21)</f>
        <v>0</v>
      </c>
      <c r="O21" s="70" t="s">
        <v>98</v>
      </c>
      <c r="P21" s="205" t="str">
        <f>IF(P20&lt;2,"N/A",VLOOKUP(P20,'Datos Patrones'!$A$44:$F$50,2,FALSE))</f>
        <v>N/A</v>
      </c>
      <c r="Q21" s="71" t="str">
        <f>P21</f>
        <v>N/A</v>
      </c>
      <c r="S21" s="67"/>
      <c r="T21" s="68" t="str">
        <f>IF(T22&lt;2,"N/A",IF(T22&lt;49,"BP - "&amp;VLOOKUP(T22,$A$7:$E$60,3,FALSE),IF(OR(T22=49,T22=51,T22=53),"L1 - "&amp;VLOOKUP(T22,$A$7:$E$60,3,FALSE),IF(OR(T22=50,T22=52,T22=54),"L2 - "&amp;VLOOKUP(T22,$A$7:$E$60,3,FALSE)))))</f>
        <v>BP - 0</v>
      </c>
      <c r="U21" s="68" t="str">
        <f>IF(U22&lt;2,"N/A",IF(U22&lt;49,"BP - "&amp;VLOOKUP(U22,$A$7:$E$60,3,FALSE),IF(OR(U22=49,U22=51,U22=53),"L1 - "&amp;VLOOKUP(U22,$A$7:$E$60,3,FALSE),IF(OR(U22=50,U22=52,U22=54),"L2 - "&amp;VLOOKUP(U22,$A$7:$E$60,3,FALSE)))))</f>
        <v>BP - 0</v>
      </c>
      <c r="V21" s="68" t="str">
        <f>IF(V22&lt;2,"N/A",IF(V22&lt;49,"BP - "&amp;VLOOKUP(V22,$A$7:$E$60,3,FALSE),IF(OR(V22=49,V22=51,V22=53),"L1 - "&amp;VLOOKUP(V22,$A$7:$E$60,3,FALSE),IF(OR(V22=50,V22=52,V22=54),"L2 - "&amp;VLOOKUP(V22,$A$7:$E$60,3,FALSE)))))</f>
        <v>BP - 0</v>
      </c>
      <c r="W21" s="68" t="str">
        <f>IF(W22&lt;2,"N/A",IF(W22&lt;49,"BP - "&amp;VLOOKUP(W22,$A$7:$E$60,3,FALSE),IF(OR(W22=49,W22=51,W22=53),"L1 - "&amp;VLOOKUP(W22,$A$7:$E$60,3,FALSE),IF(OR(W22=50,W22=52,W22=54),"L2 - "&amp;VLOOKUP(W22,$A$7:$E$60,3,FALSE)))))</f>
        <v>BP - 0</v>
      </c>
      <c r="X21" s="69" t="s">
        <v>100</v>
      </c>
      <c r="AA21" s="292">
        <v>7.5</v>
      </c>
      <c r="AB21" s="292">
        <v>-4.0000000000000001E-3</v>
      </c>
      <c r="AC21" s="292">
        <v>0.03</v>
      </c>
      <c r="AD21" s="295">
        <f t="shared" si="5"/>
        <v>3.4000000000000002E-2</v>
      </c>
      <c r="AE21" s="296">
        <f t="shared" si="1"/>
        <v>1.9629909152447278E-2</v>
      </c>
      <c r="AF21" s="293">
        <v>0.12</v>
      </c>
      <c r="AG21" s="293">
        <f t="shared" si="10"/>
        <v>40</v>
      </c>
      <c r="AH21" s="76" t="str">
        <f t="shared" si="8"/>
        <v/>
      </c>
      <c r="AK21" s="85"/>
    </row>
    <row r="22" spans="1:37" x14ac:dyDescent="0.25">
      <c r="A22" s="76">
        <v>16</v>
      </c>
      <c r="B22" s="85" t="s">
        <v>115</v>
      </c>
      <c r="C22" s="76">
        <v>8</v>
      </c>
      <c r="D22" s="76" t="s">
        <v>212</v>
      </c>
      <c r="E22" s="400">
        <v>-2.4E-2</v>
      </c>
      <c r="F22" s="76">
        <v>8.6999999999999994E-2</v>
      </c>
      <c r="G22" s="400">
        <v>0.02</v>
      </c>
      <c r="H22" s="85">
        <f t="shared" si="3"/>
        <v>4.3999999999999997E-2</v>
      </c>
      <c r="I22" s="380">
        <f t="shared" si="6"/>
        <v>2.5403411844343533E-2</v>
      </c>
      <c r="K22" s="243" t="s">
        <v>634</v>
      </c>
      <c r="L22" s="244">
        <f>IF(L20&lt;2,"N/A",VLOOKUP(L20,$A$7:$E$60,5,FALSE))</f>
        <v>0</v>
      </c>
      <c r="M22" s="244">
        <f>IF(M20&lt;2,"N/A",VLOOKUP(M20,$A$7:$E$60,5,FALSE))</f>
        <v>0</v>
      </c>
      <c r="N22" s="244">
        <f>SUM(L22:M22)</f>
        <v>0</v>
      </c>
      <c r="O22" s="238" t="s">
        <v>633</v>
      </c>
      <c r="P22" s="205" t="str">
        <f>IF(P20&lt;2,"N/A",VLOOKUP(P20,'Datos Patrones'!$A$44:$F$50,4,FALSE))</f>
        <v>N/A</v>
      </c>
      <c r="Q22" s="239" t="str">
        <f>P22</f>
        <v>N/A</v>
      </c>
      <c r="S22" s="70"/>
      <c r="T22" s="3">
        <v>30</v>
      </c>
      <c r="U22" s="3">
        <v>30</v>
      </c>
      <c r="V22" s="3">
        <v>30</v>
      </c>
      <c r="W22" s="3">
        <v>30</v>
      </c>
      <c r="X22" s="71"/>
      <c r="AA22" s="292">
        <v>8</v>
      </c>
      <c r="AB22" s="292">
        <v>-2.4E-2</v>
      </c>
      <c r="AC22" s="292">
        <v>0.02</v>
      </c>
      <c r="AD22" s="295">
        <f t="shared" si="5"/>
        <v>4.3999999999999997E-2</v>
      </c>
      <c r="AE22" s="296">
        <f t="shared" si="1"/>
        <v>2.5403411844343533E-2</v>
      </c>
      <c r="AF22" s="293">
        <v>0.12</v>
      </c>
      <c r="AG22" s="293">
        <f t="shared" si="10"/>
        <v>40</v>
      </c>
      <c r="AH22" s="76" t="str">
        <f t="shared" si="8"/>
        <v/>
      </c>
      <c r="AK22" s="85"/>
    </row>
    <row r="23" spans="1:37" x14ac:dyDescent="0.25">
      <c r="A23" s="83">
        <v>17</v>
      </c>
      <c r="B23" s="85" t="s">
        <v>232</v>
      </c>
      <c r="C23" s="76">
        <v>8.5</v>
      </c>
      <c r="D23" s="76" t="s">
        <v>213</v>
      </c>
      <c r="E23" s="400">
        <v>2.4E-2</v>
      </c>
      <c r="F23" s="76">
        <v>8.6999999999999994E-2</v>
      </c>
      <c r="G23" s="400">
        <v>0.04</v>
      </c>
      <c r="H23" s="85">
        <f t="shared" si="3"/>
        <v>1.6E-2</v>
      </c>
      <c r="I23" s="380">
        <f t="shared" si="6"/>
        <v>9.2376043070340128E-3</v>
      </c>
      <c r="K23" s="243" t="s">
        <v>631</v>
      </c>
      <c r="L23" s="244">
        <f>IF(L20&lt;2,"N/A",VLOOKUP(L20,$A$7:$F$60,6,FALSE)/2)</f>
        <v>0</v>
      </c>
      <c r="M23" s="244">
        <f>IF(M20&lt;2,"N/A",VLOOKUP(M20,$A$7:$F$60,6,FALSE)/2)</f>
        <v>0</v>
      </c>
      <c r="N23" s="245">
        <f>SUM(L23:M23)</f>
        <v>0</v>
      </c>
      <c r="O23" s="150" t="s">
        <v>636</v>
      </c>
      <c r="P23" s="240" t="str">
        <f>IF(P20&lt;2,"N/A",VLOOKUP(P20,'Datos Patrones'!$A$44:$F$50,5,FALSE))</f>
        <v>N/A</v>
      </c>
      <c r="Q23" s="61" t="str">
        <f>P23</f>
        <v>N/A</v>
      </c>
      <c r="S23" s="70" t="s">
        <v>98</v>
      </c>
      <c r="T23" s="61">
        <f>IF(T22&lt;0,"N/A",VLOOKUP(T22,$A$7:$E$60,3,FALSE))</f>
        <v>0</v>
      </c>
      <c r="U23" s="61">
        <f t="shared" ref="U23:W23" si="15">IF(U22&lt;0,"N/A",VLOOKUP(U22,$A$7:$E$60,3,FALSE))</f>
        <v>0</v>
      </c>
      <c r="V23" s="61">
        <f t="shared" si="15"/>
        <v>0</v>
      </c>
      <c r="W23" s="61">
        <f t="shared" si="15"/>
        <v>0</v>
      </c>
      <c r="X23" s="71">
        <f>SUM(T23:W23)</f>
        <v>0</v>
      </c>
      <c r="Y23" s="61">
        <f>COUNT(T23:V23)</f>
        <v>3</v>
      </c>
      <c r="AA23" s="292">
        <v>8.5</v>
      </c>
      <c r="AB23" s="292">
        <v>2.4E-2</v>
      </c>
      <c r="AC23" s="292">
        <v>0.04</v>
      </c>
      <c r="AD23" s="295">
        <f t="shared" si="5"/>
        <v>1.6E-2</v>
      </c>
      <c r="AE23" s="296">
        <f t="shared" si="1"/>
        <v>9.2376043070340128E-3</v>
      </c>
      <c r="AF23" s="293">
        <v>0.12</v>
      </c>
      <c r="AG23" s="293">
        <f t="shared" si="10"/>
        <v>40</v>
      </c>
      <c r="AH23" s="76" t="str">
        <f t="shared" si="8"/>
        <v/>
      </c>
      <c r="AK23" s="85"/>
    </row>
    <row r="24" spans="1:37" x14ac:dyDescent="0.25">
      <c r="A24" s="76">
        <v>18</v>
      </c>
      <c r="B24" s="85" t="s">
        <v>116</v>
      </c>
      <c r="C24" s="76">
        <v>9</v>
      </c>
      <c r="D24" s="76" t="s">
        <v>214</v>
      </c>
      <c r="E24" s="400">
        <v>4.3999999999999997E-2</v>
      </c>
      <c r="F24" s="76">
        <v>8.6999999999999994E-2</v>
      </c>
      <c r="G24" s="400">
        <v>0</v>
      </c>
      <c r="H24" s="85">
        <f t="shared" si="3"/>
        <v>4.3999999999999997E-2</v>
      </c>
      <c r="I24" s="380">
        <f t="shared" si="6"/>
        <v>2.5403411844343533E-2</v>
      </c>
      <c r="S24" s="173" t="s">
        <v>634</v>
      </c>
      <c r="T24" s="61">
        <f>IF(T22&lt;0,"N/A",VLOOKUP(T22,$A$7:$E$60,5,FALSE))</f>
        <v>0</v>
      </c>
      <c r="U24" s="61">
        <f t="shared" ref="U24:W24" si="16">IF(U22&lt;0,"N/A",VLOOKUP(U22,$A$7:$E$60,5,FALSE))</f>
        <v>0</v>
      </c>
      <c r="V24" s="61">
        <f t="shared" si="16"/>
        <v>0</v>
      </c>
      <c r="W24" s="61">
        <f t="shared" si="16"/>
        <v>0</v>
      </c>
      <c r="X24" s="71">
        <f>SUM(T24:W24)</f>
        <v>0</v>
      </c>
      <c r="AA24" s="292">
        <v>9</v>
      </c>
      <c r="AB24" s="292">
        <v>4.3999999999999997E-2</v>
      </c>
      <c r="AC24" s="292">
        <v>0</v>
      </c>
      <c r="AD24" s="295">
        <f t="shared" si="5"/>
        <v>4.3999999999999997E-2</v>
      </c>
      <c r="AE24" s="296">
        <f t="shared" si="1"/>
        <v>2.5403411844343533E-2</v>
      </c>
      <c r="AF24" s="293">
        <v>0.12</v>
      </c>
      <c r="AG24" s="293">
        <f t="shared" si="10"/>
        <v>40</v>
      </c>
      <c r="AH24" s="76" t="str">
        <f t="shared" si="8"/>
        <v/>
      </c>
      <c r="AK24" s="85"/>
    </row>
    <row r="25" spans="1:37" x14ac:dyDescent="0.25">
      <c r="A25" s="83">
        <v>19</v>
      </c>
      <c r="B25" s="85" t="s">
        <v>233</v>
      </c>
      <c r="C25" s="76">
        <v>9.5</v>
      </c>
      <c r="D25" s="76" t="s">
        <v>215</v>
      </c>
      <c r="E25" s="400">
        <v>3.5999999999999997E-2</v>
      </c>
      <c r="F25" s="76">
        <v>8.6999999999999994E-2</v>
      </c>
      <c r="G25" s="400">
        <v>0.06</v>
      </c>
      <c r="H25" s="85">
        <f t="shared" si="3"/>
        <v>2.4E-2</v>
      </c>
      <c r="I25" s="380">
        <f t="shared" si="6"/>
        <v>1.3856406460551019E-2</v>
      </c>
      <c r="S25" s="173" t="s">
        <v>631</v>
      </c>
      <c r="T25" s="61">
        <f>IF(T22&lt;0,"N/A",VLOOKUP(T22,$A$7:$F$60,6,FALSE)/2)</f>
        <v>0</v>
      </c>
      <c r="U25" s="61">
        <f t="shared" ref="U25:W25" si="17">IF(U22&lt;0,"N/A",VLOOKUP(U22,$A$7:$F$60,6,FALSE)/2)</f>
        <v>0</v>
      </c>
      <c r="V25" s="61">
        <f t="shared" si="17"/>
        <v>0</v>
      </c>
      <c r="W25" s="61">
        <f t="shared" si="17"/>
        <v>0</v>
      </c>
      <c r="X25" s="61">
        <f>SUM(T25:W25)</f>
        <v>0</v>
      </c>
      <c r="AA25" s="292">
        <v>9.5</v>
      </c>
      <c r="AB25" s="292">
        <v>3.5999999999999997E-2</v>
      </c>
      <c r="AC25" s="292">
        <v>0.06</v>
      </c>
      <c r="AD25" s="295">
        <f t="shared" si="5"/>
        <v>2.4E-2</v>
      </c>
      <c r="AE25" s="296">
        <f t="shared" si="1"/>
        <v>1.3856406460551019E-2</v>
      </c>
      <c r="AF25" s="293">
        <v>0.12</v>
      </c>
      <c r="AG25" s="293">
        <f t="shared" si="10"/>
        <v>40</v>
      </c>
      <c r="AH25" s="76" t="str">
        <f t="shared" si="8"/>
        <v/>
      </c>
      <c r="AK25" s="85"/>
    </row>
    <row r="26" spans="1:37" ht="26.4" x14ac:dyDescent="0.25">
      <c r="A26" s="76">
        <v>20</v>
      </c>
      <c r="B26" s="85" t="s">
        <v>117</v>
      </c>
      <c r="C26" s="76">
        <v>10</v>
      </c>
      <c r="D26" s="76" t="s">
        <v>216</v>
      </c>
      <c r="E26" s="400">
        <v>7.1999999999999995E-2</v>
      </c>
      <c r="F26" s="76">
        <v>8.6999999999999994E-2</v>
      </c>
      <c r="G26" s="400">
        <v>0.05</v>
      </c>
      <c r="H26" s="85">
        <f t="shared" si="3"/>
        <v>2.1999999999999992E-2</v>
      </c>
      <c r="I26" s="380">
        <f t="shared" si="6"/>
        <v>1.2701705922171763E-2</v>
      </c>
      <c r="K26" s="299"/>
      <c r="L26" s="300" t="str">
        <f>IF(L27&lt;2,"N/A",IF(L27&lt;49,"BP - "&amp;VLOOKUP(L27,$A$7:$E$60,3,FALSE),IF(OR(L27=49,L27=51,L27=53),"L1 - "&amp;VLOOKUP(L27,$A$7:$E$60,3,FALSE),IF(OR(L27=50,L27=52,L27=54),"L2 - "&amp;VLOOKUP(L27,$A$7:$E$60,3,FALSE)))))</f>
        <v>BP - 0</v>
      </c>
      <c r="M26" s="300" t="str">
        <f>IF(M27&lt;2,"N/A",IF(M27&lt;49,"BP - "&amp;VLOOKUP(M27,$A$7:$E$60,3,FALSE),IF(OR(M27=49,M27=51,M27=53),"L1 - "&amp;VLOOKUP(M27,$A$7:$E$60,3,FALSE),IF(OR(M27=50,M27=52,M27=54),"L2 - "&amp;VLOOKUP(M27,$A$7:$E$60,3,FALSE)))))</f>
        <v>BP - 0</v>
      </c>
      <c r="N26" s="300" t="str">
        <f>IF(N27&lt;2,"N/A",IF(N27&lt;49,"BP - "&amp;VLOOKUP(N27,$A$7:$E$60,3,FALSE),IF(OR(N27=49,N27=51,N27=53),"L1 - "&amp;VLOOKUP(N27,$A$7:$E$60,3,FALSE),IF(OR(N27=50,N27=52,N27=54),"L2 - "&amp;VLOOKUP(N27,$A$7:$E$60,3,FALSE)))))</f>
        <v>N/A</v>
      </c>
      <c r="O26" s="301" t="s">
        <v>100</v>
      </c>
      <c r="P26" s="302"/>
      <c r="S26" s="174" t="s">
        <v>632</v>
      </c>
      <c r="T26" s="73">
        <f>IF(T22&lt;0,"N/A",VLOOKUP(T22,$A$7:$I$60,9,FALSE))</f>
        <v>0</v>
      </c>
      <c r="U26" s="73">
        <f t="shared" ref="U26:W26" si="18">IF(U22&lt;0,"N/A",VLOOKUP(U22,$A$7:$I$60,9,FALSE))</f>
        <v>0</v>
      </c>
      <c r="V26" s="73">
        <f t="shared" si="18"/>
        <v>0</v>
      </c>
      <c r="W26" s="73">
        <f t="shared" si="18"/>
        <v>0</v>
      </c>
      <c r="X26" s="61">
        <f>SUM(T26:W26)</f>
        <v>0</v>
      </c>
      <c r="AA26" s="292">
        <v>10</v>
      </c>
      <c r="AB26" s="292">
        <v>7.1999999999999995E-2</v>
      </c>
      <c r="AC26" s="292">
        <v>0.05</v>
      </c>
      <c r="AD26" s="295">
        <f t="shared" si="5"/>
        <v>2.1999999999999992E-2</v>
      </c>
      <c r="AE26" s="296">
        <f t="shared" si="1"/>
        <v>1.2701705922171763E-2</v>
      </c>
      <c r="AF26" s="293">
        <v>0.12</v>
      </c>
      <c r="AG26" s="293">
        <f t="shared" si="10"/>
        <v>40</v>
      </c>
      <c r="AH26" s="76" t="str">
        <f t="shared" si="8"/>
        <v/>
      </c>
      <c r="AK26" s="85"/>
    </row>
    <row r="27" spans="1:37" x14ac:dyDescent="0.25">
      <c r="A27" s="83">
        <v>21</v>
      </c>
      <c r="B27" s="85" t="s">
        <v>118</v>
      </c>
      <c r="C27" s="76">
        <v>20</v>
      </c>
      <c r="D27" s="76" t="s">
        <v>217</v>
      </c>
      <c r="E27" s="400">
        <v>-1.2E-2</v>
      </c>
      <c r="F27" s="76">
        <v>9.4E-2</v>
      </c>
      <c r="G27" s="400">
        <v>0</v>
      </c>
      <c r="H27" s="85">
        <f t="shared" si="3"/>
        <v>1.2E-2</v>
      </c>
      <c r="I27" s="380">
        <f t="shared" si="6"/>
        <v>6.9282032302755096E-3</v>
      </c>
      <c r="K27" s="303"/>
      <c r="L27" s="304">
        <v>30</v>
      </c>
      <c r="M27" s="304">
        <v>30</v>
      </c>
      <c r="N27" s="304">
        <v>1</v>
      </c>
      <c r="O27" s="305"/>
      <c r="P27" s="302"/>
      <c r="AA27" s="292">
        <v>20</v>
      </c>
      <c r="AB27" s="292">
        <v>-1.2E-2</v>
      </c>
      <c r="AC27" s="292">
        <v>0</v>
      </c>
      <c r="AD27" s="295">
        <f t="shared" si="5"/>
        <v>1.2E-2</v>
      </c>
      <c r="AE27" s="296">
        <f t="shared" si="1"/>
        <v>6.9282032302755096E-3</v>
      </c>
      <c r="AF27" s="293">
        <v>0.12</v>
      </c>
      <c r="AG27" s="293">
        <f t="shared" si="10"/>
        <v>40</v>
      </c>
      <c r="AH27" s="76" t="str">
        <f t="shared" si="8"/>
        <v/>
      </c>
      <c r="AK27" s="85"/>
    </row>
    <row r="28" spans="1:37" x14ac:dyDescent="0.25">
      <c r="A28" s="76">
        <v>22</v>
      </c>
      <c r="B28" s="85" t="s">
        <v>119</v>
      </c>
      <c r="C28" s="76">
        <v>30</v>
      </c>
      <c r="D28" s="76" t="s">
        <v>218</v>
      </c>
      <c r="E28" s="400">
        <v>0.09</v>
      </c>
      <c r="F28" s="76">
        <v>0.12</v>
      </c>
      <c r="G28" s="400">
        <v>0.13</v>
      </c>
      <c r="H28" s="85">
        <f t="shared" si="3"/>
        <v>4.0000000000000008E-2</v>
      </c>
      <c r="I28" s="380">
        <f t="shared" si="6"/>
        <v>2.3094010767585035E-2</v>
      </c>
      <c r="K28" s="310" t="s">
        <v>98</v>
      </c>
      <c r="L28" s="310">
        <f>IF(L27&lt;2,"N/A",VLOOKUP(L27,$A$7:$E$60,3,FALSE))</f>
        <v>0</v>
      </c>
      <c r="M28" s="310">
        <f>IF(M27&lt;2,"N/A",VLOOKUP(M27,$A$7:$E$60,3,FALSE))</f>
        <v>0</v>
      </c>
      <c r="N28" s="310" t="str">
        <f>IF(N27&lt;2,"N/A",VLOOKUP(N27,$A$7:$E$60,3,FALSE))</f>
        <v>N/A</v>
      </c>
      <c r="O28" s="310">
        <f>SUM(L28:N28)</f>
        <v>0</v>
      </c>
      <c r="P28" s="302"/>
      <c r="AA28" s="292">
        <v>30</v>
      </c>
      <c r="AB28" s="292">
        <v>0.09</v>
      </c>
      <c r="AC28" s="292">
        <v>0.13</v>
      </c>
      <c r="AD28" s="295">
        <f t="shared" si="5"/>
        <v>4.0000000000000008E-2</v>
      </c>
      <c r="AE28" s="296">
        <f t="shared" si="1"/>
        <v>2.3094010767585035E-2</v>
      </c>
      <c r="AF28" s="293">
        <v>0.12</v>
      </c>
      <c r="AG28" s="293">
        <f t="shared" si="10"/>
        <v>40</v>
      </c>
      <c r="AH28" s="76" t="str">
        <f t="shared" si="8"/>
        <v/>
      </c>
      <c r="AK28" s="85"/>
    </row>
    <row r="29" spans="1:37" x14ac:dyDescent="0.25">
      <c r="A29" s="83">
        <v>23</v>
      </c>
      <c r="B29" s="85" t="s">
        <v>120</v>
      </c>
      <c r="C29" s="76">
        <v>40</v>
      </c>
      <c r="D29" s="76" t="s">
        <v>219</v>
      </c>
      <c r="E29" s="400">
        <v>0.25</v>
      </c>
      <c r="F29" s="76">
        <v>0.13</v>
      </c>
      <c r="G29" s="400">
        <v>0.15</v>
      </c>
      <c r="H29" s="85">
        <f t="shared" si="3"/>
        <v>0.1</v>
      </c>
      <c r="I29" s="380">
        <f t="shared" si="6"/>
        <v>5.7735026918962581E-2</v>
      </c>
      <c r="K29" s="311" t="s">
        <v>634</v>
      </c>
      <c r="L29" s="310">
        <f>IF(L27&lt;2,"N/A",VLOOKUP(L27,$A$7:$E$60,5,FALSE))</f>
        <v>0</v>
      </c>
      <c r="M29" s="310">
        <f>IF(M27&lt;2,"N/A",VLOOKUP(M27,$A$7:$E$60,5,FALSE))</f>
        <v>0</v>
      </c>
      <c r="N29" s="310" t="str">
        <f>IF(N27&lt;2,"N/A",VLOOKUP(N27,$A$7:$E$60,5,FALSE))</f>
        <v>N/A</v>
      </c>
      <c r="O29" s="310">
        <f>SUM(L29:N29)</f>
        <v>0</v>
      </c>
      <c r="P29" s="302"/>
      <c r="S29" s="67"/>
      <c r="T29" s="68" t="str">
        <f>IF(T30&lt;2,"N/A",IF(T30&lt;49,"BP - "&amp;VLOOKUP(T30,$A$7:$E$60,3,FALSE),IF(OR(T30=49,T30=51,T30=53),"L1 - "&amp;VLOOKUP(T30,$A$7:$E$60,3,FALSE),IF(OR(T30=50,T30=52,T30=54),"L2 - "&amp;VLOOKUP(T30,$A$7:$E$60,3,FALSE)))))</f>
        <v>BP - 0</v>
      </c>
      <c r="U29" s="68" t="str">
        <f>IF(U30&lt;2,"N/A",IF(U30&lt;49,"BP - "&amp;VLOOKUP(U30,$A$7:$E$60,3,FALSE),IF(OR(U30=49,U30=51,U30=53),"L1 - "&amp;VLOOKUP(U30,$A$7:$E$60,3,FALSE),IF(OR(U30=50,U30=52,U30=54),"L2 - "&amp;VLOOKUP(U30,$A$7:$E$60,3,FALSE)))))</f>
        <v>BP - 0</v>
      </c>
      <c r="V29" s="68" t="str">
        <f>IF(V30&lt;2,"N/A",IF(V30&lt;49,"BP - "&amp;VLOOKUP(V30,$A$7:$E$60,3,FALSE),IF(OR(V30=49,V30=51,V30=53),"L1 - "&amp;VLOOKUP(V30,$A$7:$E$60,3,FALSE),IF(OR(V30=50,V30=52,V30=54),"L2 - "&amp;VLOOKUP(V30,$A$7:$E$60,3,FALSE)))))</f>
        <v>BP - 0</v>
      </c>
      <c r="W29" s="68" t="str">
        <f>IF(W30&lt;2,"N/A",IF(W30&lt;49,"BP - "&amp;VLOOKUP(W30,$A$7:$E$60,3,FALSE),IF(OR(W30=49,W30=51,W30=53),"L1 - "&amp;VLOOKUP(W30,$A$7:$E$60,3,FALSE),IF(OR(W30=50,W30=52,W30=54),"L2 - "&amp;VLOOKUP(W30,$A$7:$E$60,3,FALSE)))))</f>
        <v>BP - 0</v>
      </c>
      <c r="X29" s="69" t="s">
        <v>100</v>
      </c>
      <c r="AA29" s="292">
        <v>40</v>
      </c>
      <c r="AB29" s="292">
        <v>0.25</v>
      </c>
      <c r="AC29" s="292">
        <v>0.15</v>
      </c>
      <c r="AD29" s="295">
        <f t="shared" si="5"/>
        <v>0.1</v>
      </c>
      <c r="AE29" s="296">
        <f t="shared" si="1"/>
        <v>5.7735026918962581E-2</v>
      </c>
      <c r="AF29" s="293">
        <v>0.12</v>
      </c>
      <c r="AG29" s="293">
        <f t="shared" si="10"/>
        <v>40</v>
      </c>
      <c r="AH29" s="76" t="str">
        <f t="shared" si="8"/>
        <v/>
      </c>
      <c r="AK29" s="85"/>
    </row>
    <row r="30" spans="1:37" x14ac:dyDescent="0.25">
      <c r="A30" s="76">
        <v>24</v>
      </c>
      <c r="B30" s="85" t="s">
        <v>121</v>
      </c>
      <c r="C30" s="76">
        <v>50</v>
      </c>
      <c r="D30" s="76" t="s">
        <v>220</v>
      </c>
      <c r="E30" s="400">
        <v>0.12</v>
      </c>
      <c r="F30" s="76">
        <v>0.15</v>
      </c>
      <c r="G30" s="400">
        <v>0.22</v>
      </c>
      <c r="H30" s="85">
        <f t="shared" si="3"/>
        <v>0.1</v>
      </c>
      <c r="I30" s="380">
        <f t="shared" si="6"/>
        <v>5.7735026918962581E-2</v>
      </c>
      <c r="K30" s="311" t="s">
        <v>631</v>
      </c>
      <c r="L30" s="310">
        <f>IF(L27&lt;2,"N/A",VLOOKUP(L27,$A$7:$F$60,6,FALSE)/2)</f>
        <v>0</v>
      </c>
      <c r="M30" s="310">
        <f>IF(M27&lt;2,"N/A",VLOOKUP(M27,$A$7:$F$60,6,FALSE)/2)</f>
        <v>0</v>
      </c>
      <c r="N30" s="310" t="str">
        <f>IF(N27&lt;2,"N/A",VLOOKUP(N27,$A$7:$F$60,6,FALSE)/2)</f>
        <v>N/A</v>
      </c>
      <c r="O30" s="310">
        <f>SUM(L30:N30)</f>
        <v>0</v>
      </c>
      <c r="P30" s="302"/>
      <c r="Q30"/>
      <c r="S30" s="70"/>
      <c r="T30" s="3">
        <v>30</v>
      </c>
      <c r="U30" s="3">
        <v>30</v>
      </c>
      <c r="V30" s="3">
        <v>30</v>
      </c>
      <c r="W30" s="3">
        <v>30</v>
      </c>
      <c r="X30" s="71"/>
      <c r="AA30" s="292">
        <v>50</v>
      </c>
      <c r="AB30" s="292">
        <v>0.12</v>
      </c>
      <c r="AC30" s="292">
        <v>0.22</v>
      </c>
      <c r="AD30" s="295">
        <f t="shared" si="5"/>
        <v>0.1</v>
      </c>
      <c r="AE30" s="296">
        <f t="shared" si="1"/>
        <v>5.7735026918962581E-2</v>
      </c>
      <c r="AF30" s="293">
        <v>0.12</v>
      </c>
      <c r="AG30" s="293">
        <f t="shared" si="10"/>
        <v>40</v>
      </c>
      <c r="AH30" s="76" t="str">
        <f t="shared" si="8"/>
        <v/>
      </c>
      <c r="AK30" s="85"/>
    </row>
    <row r="31" spans="1:37" x14ac:dyDescent="0.25">
      <c r="A31" s="83">
        <v>25</v>
      </c>
      <c r="B31" s="85" t="s">
        <v>122</v>
      </c>
      <c r="C31" s="76">
        <v>60</v>
      </c>
      <c r="D31" s="76" t="s">
        <v>221</v>
      </c>
      <c r="E31" s="400">
        <v>0.23</v>
      </c>
      <c r="F31" s="76">
        <v>0.16</v>
      </c>
      <c r="G31" s="400">
        <v>7.0000000000000007E-2</v>
      </c>
      <c r="H31" s="85">
        <f t="shared" si="3"/>
        <v>0.16</v>
      </c>
      <c r="I31" s="380">
        <f t="shared" si="6"/>
        <v>9.2376043070340128E-2</v>
      </c>
      <c r="K31" s="302"/>
      <c r="L31" s="302"/>
      <c r="M31" s="302"/>
      <c r="N31" s="302"/>
      <c r="O31" s="302"/>
      <c r="P31" s="302"/>
      <c r="S31" s="70" t="s">
        <v>98</v>
      </c>
      <c r="T31" s="61">
        <f>IF(T30&lt;0,"N/A",VLOOKUP(T30,$A$7:$E$60,3,FALSE))</f>
        <v>0</v>
      </c>
      <c r="U31" s="61">
        <f t="shared" ref="U31:W31" si="19">IF(U30&lt;0,"N/A",VLOOKUP(U30,$A$7:$E$60,3,FALSE))</f>
        <v>0</v>
      </c>
      <c r="V31" s="61">
        <f t="shared" si="19"/>
        <v>0</v>
      </c>
      <c r="W31" s="61">
        <f t="shared" si="19"/>
        <v>0</v>
      </c>
      <c r="X31" s="71">
        <f>SUM(T31:W31)</f>
        <v>0</v>
      </c>
      <c r="Y31" s="61">
        <f>COUNT(T31:V31)</f>
        <v>3</v>
      </c>
      <c r="AA31" s="292">
        <v>60</v>
      </c>
      <c r="AB31" s="292">
        <v>0.23</v>
      </c>
      <c r="AC31" s="292">
        <v>7.0000000000000007E-2</v>
      </c>
      <c r="AD31" s="295">
        <f t="shared" si="5"/>
        <v>0.16</v>
      </c>
      <c r="AE31" s="296">
        <f t="shared" si="1"/>
        <v>9.2376043070340128E-2</v>
      </c>
      <c r="AF31" s="293">
        <v>0.12</v>
      </c>
      <c r="AG31" s="293">
        <f t="shared" si="10"/>
        <v>40</v>
      </c>
      <c r="AH31" s="76" t="str">
        <f t="shared" si="8"/>
        <v/>
      </c>
      <c r="AK31" s="85"/>
    </row>
    <row r="32" spans="1:37" x14ac:dyDescent="0.25">
      <c r="A32" s="76">
        <v>26</v>
      </c>
      <c r="B32" s="85" t="s">
        <v>123</v>
      </c>
      <c r="C32" s="76">
        <v>70</v>
      </c>
      <c r="D32" s="76" t="s">
        <v>222</v>
      </c>
      <c r="E32" s="400">
        <v>0.02</v>
      </c>
      <c r="F32" s="76">
        <v>0.17</v>
      </c>
      <c r="G32" s="400">
        <v>-0.06</v>
      </c>
      <c r="H32" s="85">
        <f t="shared" si="3"/>
        <v>0.08</v>
      </c>
      <c r="I32" s="380">
        <f t="shared" si="6"/>
        <v>4.6188021535170064E-2</v>
      </c>
      <c r="K32" s="302"/>
      <c r="L32" s="302"/>
      <c r="M32" s="302"/>
      <c r="N32" s="302"/>
      <c r="O32" s="302"/>
      <c r="P32" s="302"/>
      <c r="S32" s="173" t="s">
        <v>634</v>
      </c>
      <c r="T32" s="61">
        <f>IF(T30&lt;0,"N/A",VLOOKUP(T30,$A$7:$E$60,5,FALSE))</f>
        <v>0</v>
      </c>
      <c r="U32" s="61">
        <f t="shared" ref="U32:W32" si="20">IF(U30&lt;0,"N/A",VLOOKUP(U30,$A$7:$E$60,5,FALSE))</f>
        <v>0</v>
      </c>
      <c r="V32" s="61">
        <f t="shared" si="20"/>
        <v>0</v>
      </c>
      <c r="W32" s="61">
        <f t="shared" si="20"/>
        <v>0</v>
      </c>
      <c r="X32" s="71">
        <f>SUM(T32:W32)</f>
        <v>0</v>
      </c>
      <c r="AA32" s="292">
        <v>70</v>
      </c>
      <c r="AB32" s="292">
        <v>0.02</v>
      </c>
      <c r="AC32" s="292">
        <v>-0.06</v>
      </c>
      <c r="AD32" s="295">
        <f t="shared" si="5"/>
        <v>0.08</v>
      </c>
      <c r="AE32" s="296">
        <f t="shared" si="1"/>
        <v>4.6188021535170064E-2</v>
      </c>
      <c r="AF32" s="293">
        <v>0.12</v>
      </c>
      <c r="AG32" s="293">
        <f t="shared" si="10"/>
        <v>40</v>
      </c>
      <c r="AH32" s="76" t="str">
        <f t="shared" si="8"/>
        <v/>
      </c>
      <c r="AK32" s="85"/>
    </row>
    <row r="33" spans="1:37" x14ac:dyDescent="0.25">
      <c r="A33" s="83">
        <v>27</v>
      </c>
      <c r="B33" s="85" t="s">
        <v>124</v>
      </c>
      <c r="C33" s="76">
        <v>80</v>
      </c>
      <c r="D33" s="76" t="s">
        <v>223</v>
      </c>
      <c r="E33" s="400">
        <v>0.11</v>
      </c>
      <c r="F33" s="76">
        <v>0.18</v>
      </c>
      <c r="G33" s="400">
        <v>-0.05</v>
      </c>
      <c r="H33" s="85">
        <f t="shared" si="3"/>
        <v>0.16</v>
      </c>
      <c r="I33" s="380">
        <f t="shared" si="6"/>
        <v>9.2376043070340128E-2</v>
      </c>
      <c r="K33" s="299"/>
      <c r="L33" s="300" t="str">
        <f>IF(L34&lt;2,"N/A",IF(L34&lt;49,"BP - "&amp;VLOOKUP(L34,$A$7:$E$60,3,FALSE),IF(OR(L34=49,L34=51,L34=53),"L1 - "&amp;VLOOKUP(L34,$A$7:$E$60,3,FALSE),IF(OR(L34=50,L34=52,L34=54),"L2 - "&amp;VLOOKUP(L34,$A$7:$E$60,3,FALSE)))))</f>
        <v>BP - 0</v>
      </c>
      <c r="M33" s="300" t="str">
        <f>IF(M34&lt;2,"N/A",IF(M34&lt;49,"BP - "&amp;VLOOKUP(M34,$A$7:$E$60,3,FALSE),IF(OR(M34=49,M34=51,M34=53),"L1 - "&amp;VLOOKUP(M34,$A$7:$E$60,3,FALSE),IF(OR(M34=50,M34=52,M34=54),"L2 - "&amp;VLOOKUP(M34,$A$7:$E$60,3,FALSE)))))</f>
        <v>BP - 0</v>
      </c>
      <c r="N33" s="300" t="str">
        <f>IF(N34&lt;2,"N/A",IF(N34&lt;49,"BP - "&amp;VLOOKUP(N34,$A$7:$E$60,3,FALSE),IF(OR(N34=49,N34=51,N34=53),"L1 - "&amp;VLOOKUP(N34,$A$7:$E$60,3,FALSE),IF(OR(N34=50,N34=52,N34=54),"L2 - "&amp;VLOOKUP(N34,$A$7:$E$60,3,FALSE)))))</f>
        <v>BP - 0</v>
      </c>
      <c r="O33" s="301" t="s">
        <v>100</v>
      </c>
      <c r="P33" s="302"/>
      <c r="S33" s="173" t="s">
        <v>631</v>
      </c>
      <c r="T33" s="61">
        <f>IF(T30&lt;0,"N/A",VLOOKUP(T30,$A$7:$F$60,6,FALSE)/2)</f>
        <v>0</v>
      </c>
      <c r="U33" s="61">
        <f t="shared" ref="U33:W33" si="21">IF(U30&lt;0,"N/A",VLOOKUP(U30,$A$7:$F$60,6,FALSE)/2)</f>
        <v>0</v>
      </c>
      <c r="V33" s="61">
        <f t="shared" si="21"/>
        <v>0</v>
      </c>
      <c r="W33" s="61">
        <f t="shared" si="21"/>
        <v>0</v>
      </c>
      <c r="X33" s="61">
        <f>SUM(T33:W33)</f>
        <v>0</v>
      </c>
      <c r="AA33" s="292">
        <v>80</v>
      </c>
      <c r="AB33" s="292">
        <v>0.11</v>
      </c>
      <c r="AC33" s="292">
        <v>-0.05</v>
      </c>
      <c r="AD33" s="295">
        <f t="shared" si="5"/>
        <v>0.16</v>
      </c>
      <c r="AE33" s="296">
        <f t="shared" si="1"/>
        <v>9.2376043070340128E-2</v>
      </c>
      <c r="AF33" s="293">
        <v>0.12</v>
      </c>
      <c r="AG33" s="293">
        <f t="shared" si="10"/>
        <v>40</v>
      </c>
      <c r="AH33" s="76" t="str">
        <f t="shared" si="8"/>
        <v/>
      </c>
      <c r="AK33" s="85"/>
    </row>
    <row r="34" spans="1:37" ht="26.4" x14ac:dyDescent="0.25">
      <c r="A34" s="76">
        <v>28</v>
      </c>
      <c r="B34" s="85" t="s">
        <v>125</v>
      </c>
      <c r="C34" s="76">
        <v>90</v>
      </c>
      <c r="D34" s="76" t="s">
        <v>224</v>
      </c>
      <c r="E34" s="400">
        <v>0.05</v>
      </c>
      <c r="F34" s="76">
        <v>0.18</v>
      </c>
      <c r="G34" s="400">
        <v>-0.1</v>
      </c>
      <c r="H34" s="85">
        <f t="shared" si="3"/>
        <v>0.15000000000000002</v>
      </c>
      <c r="I34" s="380">
        <f t="shared" si="6"/>
        <v>8.6602540378443879E-2</v>
      </c>
      <c r="K34" s="303"/>
      <c r="L34" s="304">
        <v>30</v>
      </c>
      <c r="M34" s="304">
        <v>30</v>
      </c>
      <c r="N34" s="304">
        <v>30</v>
      </c>
      <c r="O34" s="305"/>
      <c r="P34" s="302"/>
      <c r="S34" s="174" t="s">
        <v>632</v>
      </c>
      <c r="T34" s="73">
        <f>IF(T30&lt;0,"N/A",VLOOKUP(T30,$A$7:$I$60,9,FALSE))</f>
        <v>0</v>
      </c>
      <c r="U34" s="73">
        <f t="shared" ref="U34:W34" si="22">IF(U30&lt;0,"N/A",VLOOKUP(U30,$A$7:$I$60,9,FALSE))</f>
        <v>0</v>
      </c>
      <c r="V34" s="73">
        <f t="shared" si="22"/>
        <v>0</v>
      </c>
      <c r="W34" s="73">
        <f t="shared" si="22"/>
        <v>0</v>
      </c>
      <c r="X34" s="61">
        <f>SUM(T34:W34)</f>
        <v>0</v>
      </c>
      <c r="AA34" s="292">
        <v>90</v>
      </c>
      <c r="AB34" s="292">
        <v>0.05</v>
      </c>
      <c r="AC34" s="292">
        <v>-0.1</v>
      </c>
      <c r="AD34" s="295">
        <f t="shared" si="5"/>
        <v>0.15000000000000002</v>
      </c>
      <c r="AE34" s="296">
        <f t="shared" si="1"/>
        <v>8.6602540378443879E-2</v>
      </c>
      <c r="AF34" s="293">
        <v>0.12</v>
      </c>
      <c r="AG34" s="293">
        <f t="shared" si="10"/>
        <v>40</v>
      </c>
      <c r="AH34" s="76" t="str">
        <f t="shared" si="8"/>
        <v/>
      </c>
      <c r="AK34" s="85"/>
    </row>
    <row r="35" spans="1:37" x14ac:dyDescent="0.25">
      <c r="A35" s="83">
        <v>29</v>
      </c>
      <c r="B35" s="85" t="s">
        <v>126</v>
      </c>
      <c r="C35" s="76">
        <v>100</v>
      </c>
      <c r="D35" s="76" t="s">
        <v>225</v>
      </c>
      <c r="E35" s="400">
        <v>0.2</v>
      </c>
      <c r="F35" s="76">
        <v>0.19</v>
      </c>
      <c r="G35" s="400">
        <v>0.06</v>
      </c>
      <c r="H35" s="85">
        <f t="shared" si="3"/>
        <v>0.14000000000000001</v>
      </c>
      <c r="I35" s="380">
        <f t="shared" si="6"/>
        <v>8.0829037686547617E-2</v>
      </c>
      <c r="K35" s="310" t="s">
        <v>98</v>
      </c>
      <c r="L35" s="310">
        <f>IF(L34&lt;2,"N/A",VLOOKUP(L34,$A$7:$E$60,3,FALSE))</f>
        <v>0</v>
      </c>
      <c r="M35" s="310">
        <f>IF(M34&lt;2,"N/A",VLOOKUP(M34,$A$7:$E$60,3,FALSE))</f>
        <v>0</v>
      </c>
      <c r="N35" s="310">
        <f>IF(N34&lt;2,"N/A",VLOOKUP(N34,$A$7:$E$60,3,FALSE))</f>
        <v>0</v>
      </c>
      <c r="O35" s="310">
        <f>SUM(L35:N35)</f>
        <v>0</v>
      </c>
      <c r="P35" s="302"/>
      <c r="AA35" s="292">
        <v>100</v>
      </c>
      <c r="AB35" s="292">
        <v>0.2</v>
      </c>
      <c r="AC35" s="292">
        <v>0.06</v>
      </c>
      <c r="AD35" s="295">
        <f t="shared" si="5"/>
        <v>0.14000000000000001</v>
      </c>
      <c r="AE35" s="296">
        <f t="shared" si="1"/>
        <v>8.0829037686547617E-2</v>
      </c>
      <c r="AF35" s="293">
        <v>0.12</v>
      </c>
      <c r="AG35" s="293">
        <f t="shared" si="10"/>
        <v>40</v>
      </c>
      <c r="AH35" s="76" t="str">
        <f t="shared" si="8"/>
        <v/>
      </c>
    </row>
    <row r="36" spans="1:37" x14ac:dyDescent="0.25">
      <c r="A36" s="76">
        <v>30</v>
      </c>
      <c r="B36" s="85">
        <v>0</v>
      </c>
      <c r="C36" s="76">
        <v>0</v>
      </c>
      <c r="D36" s="76">
        <v>0</v>
      </c>
      <c r="E36" s="400">
        <v>0</v>
      </c>
      <c r="F36" s="158">
        <v>0</v>
      </c>
      <c r="G36" s="76">
        <v>0</v>
      </c>
      <c r="H36" s="166">
        <v>0</v>
      </c>
      <c r="I36" s="171">
        <v>0</v>
      </c>
      <c r="K36" s="311" t="s">
        <v>634</v>
      </c>
      <c r="L36" s="310">
        <f>IF(L34&lt;2,"N/A",VLOOKUP(L34,$A$7:$E$60,5,FALSE))</f>
        <v>0</v>
      </c>
      <c r="M36" s="310">
        <f>IF(M34&lt;2,"N/A",VLOOKUP(M34,$A$7:$E$60,5,FALSE))</f>
        <v>0</v>
      </c>
      <c r="N36" s="310">
        <f>IF(N34&lt;2,"N/A",VLOOKUP(N34,$A$7:$E$60,5,FALSE))</f>
        <v>0</v>
      </c>
      <c r="O36" s="310">
        <f>SUM(L36:N36)</f>
        <v>0</v>
      </c>
      <c r="P36" s="302"/>
      <c r="AA36" s="292"/>
      <c r="AB36" s="292"/>
      <c r="AC36" s="292">
        <v>0</v>
      </c>
      <c r="AD36" s="297"/>
      <c r="AE36" s="297"/>
      <c r="AF36" s="293"/>
      <c r="AG36" s="293"/>
      <c r="AH36" s="76" t="str">
        <f t="shared" ref="AH36:AH53" si="23">IF(ABS(AD36)&gt;AG36,"No Cumple","")</f>
        <v/>
      </c>
    </row>
    <row r="37" spans="1:37" x14ac:dyDescent="0.25">
      <c r="A37" s="163"/>
      <c r="B37" s="163"/>
      <c r="C37" s="74"/>
      <c r="D37" s="164"/>
      <c r="E37" s="74"/>
      <c r="F37" s="74"/>
      <c r="G37" s="167"/>
      <c r="H37" s="167"/>
      <c r="I37" s="168"/>
      <c r="K37" s="311" t="s">
        <v>631</v>
      </c>
      <c r="L37" s="310">
        <f>IF(L34&lt;2,"N/A",VLOOKUP(L34,$A$7:$F$60,6,FALSE)/2)</f>
        <v>0</v>
      </c>
      <c r="M37" s="310">
        <f>IF(M34&lt;2,"N/A",VLOOKUP(M34,$A$7:$F$60,6,FALSE)/2)</f>
        <v>0</v>
      </c>
      <c r="N37" s="310">
        <f>IF(N34&lt;2,"N/A",VLOOKUP(N34,$A$7:$F$60,6,FALSE)/2)</f>
        <v>0</v>
      </c>
      <c r="O37" s="310">
        <f>SUM(L37:N37)</f>
        <v>0</v>
      </c>
      <c r="P37" s="302"/>
      <c r="S37" s="67"/>
      <c r="T37" s="68" t="str">
        <f>IF(T38&lt;2,"N/A",IF(T38&lt;49,"BP - "&amp;VLOOKUP(T38,$A$7:$E$60,3,FALSE),IF(OR(T38=49,T38=51,T38=53),"L1 - "&amp;VLOOKUP(T38,$A$7:$E$60,3,FALSE),IF(OR(T38=50,T38=52,T38=54),"L2 - "&amp;VLOOKUP(T38,$A$7:$E$60,3,FALSE)))))</f>
        <v>BP - 0</v>
      </c>
      <c r="U37" s="68" t="str">
        <f>IF(U38&lt;2,"N/A",IF(U38&lt;49,"BP - "&amp;VLOOKUP(U38,$A$7:$E$60,3,FALSE),IF(OR(U38=49,U38=51,U38=53),"L1 - "&amp;VLOOKUP(U38,$A$7:$E$60,3,FALSE),IF(OR(U38=50,U38=52,U38=54),"L2 - "&amp;VLOOKUP(U38,$A$7:$E$60,3,FALSE)))))</f>
        <v>BP - 0</v>
      </c>
      <c r="V37" s="68" t="str">
        <f>IF(V38&lt;2,"N/A",IF(V38&lt;49,"BP - "&amp;VLOOKUP(V38,$A$7:$E$60,3,FALSE),IF(OR(V38=49,V38=51,V38=53),"L1 - "&amp;VLOOKUP(V38,$A$7:$E$60,3,FALSE),IF(OR(V38=50,V38=52,V38=54),"L2 - "&amp;VLOOKUP(V38,$A$7:$E$60,3,FALSE)))))</f>
        <v>BP - 0</v>
      </c>
      <c r="W37" s="68" t="str">
        <f>IF(W38&lt;2,"N/A",IF(W38&lt;49,"BP - "&amp;VLOOKUP(W38,$A$7:$E$60,3,FALSE),IF(OR(W38=49,W38=51,W38=53),"L1 - "&amp;VLOOKUP(W38,$A$7:$E$60,3,FALSE),IF(OR(W38=50,W38=52,W38=54),"L2 - "&amp;VLOOKUP(W38,$A$7:$E$60,3,FALSE)))))</f>
        <v>BP - 0</v>
      </c>
      <c r="X37" s="69" t="s">
        <v>100</v>
      </c>
      <c r="AA37" s="76"/>
      <c r="AB37" s="76"/>
      <c r="AC37" s="76"/>
      <c r="AD37" s="290"/>
      <c r="AE37" s="290"/>
      <c r="AH37" s="76" t="str">
        <f t="shared" si="23"/>
        <v/>
      </c>
    </row>
    <row r="38" spans="1:37" x14ac:dyDescent="0.25">
      <c r="A38" s="74"/>
      <c r="B38" s="74"/>
      <c r="C38" s="74"/>
      <c r="D38" s="164"/>
      <c r="E38" s="74"/>
      <c r="F38" s="74"/>
      <c r="G38" s="167"/>
      <c r="H38" s="167"/>
      <c r="I38" s="168"/>
      <c r="K38" s="302"/>
      <c r="L38" s="302"/>
      <c r="M38" s="302"/>
      <c r="N38" s="302"/>
      <c r="O38" s="302"/>
      <c r="P38" s="302"/>
      <c r="S38" s="70"/>
      <c r="T38" s="3">
        <v>30</v>
      </c>
      <c r="U38" s="3">
        <v>30</v>
      </c>
      <c r="V38" s="3">
        <v>30</v>
      </c>
      <c r="W38" s="3">
        <v>30</v>
      </c>
      <c r="X38" s="71"/>
      <c r="AA38" s="76"/>
      <c r="AB38" s="76"/>
      <c r="AC38" s="76"/>
      <c r="AD38" s="290"/>
      <c r="AE38" s="290"/>
      <c r="AH38" s="76" t="str">
        <f t="shared" si="23"/>
        <v/>
      </c>
    </row>
    <row r="39" spans="1:37" x14ac:dyDescent="0.25">
      <c r="A39" s="163"/>
      <c r="B39" s="163"/>
      <c r="C39" s="74"/>
      <c r="D39" s="164"/>
      <c r="E39" s="74"/>
      <c r="F39" s="74"/>
      <c r="G39" s="167"/>
      <c r="H39" s="167"/>
      <c r="I39" s="168"/>
      <c r="K39" s="302"/>
      <c r="L39" s="302"/>
      <c r="M39" s="302"/>
      <c r="N39" s="302"/>
      <c r="O39" s="302"/>
      <c r="P39" s="302"/>
      <c r="S39" s="70" t="s">
        <v>98</v>
      </c>
      <c r="T39" s="61">
        <f>IF(T38&lt;0,"N/A",VLOOKUP(T38,$A$7:$E$60,3,FALSE))</f>
        <v>0</v>
      </c>
      <c r="U39" s="61">
        <f t="shared" ref="U39:W39" si="24">IF(U38&lt;0,"N/A",VLOOKUP(U38,$A$7:$E$60,3,FALSE))</f>
        <v>0</v>
      </c>
      <c r="V39" s="61">
        <f t="shared" si="24"/>
        <v>0</v>
      </c>
      <c r="W39" s="61">
        <f t="shared" si="24"/>
        <v>0</v>
      </c>
      <c r="X39" s="71">
        <f>SUM(T39:W39)</f>
        <v>0</v>
      </c>
      <c r="Y39" s="61">
        <f>COUNT(T39:V39)</f>
        <v>3</v>
      </c>
      <c r="AA39" s="76"/>
      <c r="AB39" s="76"/>
      <c r="AC39" s="76"/>
      <c r="AD39" s="290"/>
      <c r="AE39" s="290"/>
      <c r="AH39" s="76" t="str">
        <f t="shared" si="23"/>
        <v/>
      </c>
    </row>
    <row r="40" spans="1:37" x14ac:dyDescent="0.25">
      <c r="A40" s="74"/>
      <c r="B40" s="74"/>
      <c r="C40" s="74"/>
      <c r="D40" s="164"/>
      <c r="E40" s="74"/>
      <c r="F40" s="74"/>
      <c r="G40" s="167"/>
      <c r="H40" s="167"/>
      <c r="I40" s="168"/>
      <c r="K40" s="299"/>
      <c r="L40" s="300" t="str">
        <f>IF(L41&lt;2,"N/A",IF(L41&lt;49,"BP - "&amp;VLOOKUP(L41,$A$7:$E$60,3,FALSE),IF(OR(L41=49,L41=51,L41=53),"L1 - "&amp;VLOOKUP(L41,$A$7:$E$60,3,FALSE),IF(OR(L41=50,L41=52,L41=54),"L2 - "&amp;VLOOKUP(L41,$A$7:$E$60,3,FALSE)))))</f>
        <v>BP - 0</v>
      </c>
      <c r="M40" s="300" t="str">
        <f>IF(M41&lt;2,"N/A",IF(M41&lt;49,"BP - "&amp;VLOOKUP(M41,$A$7:$E$60,3,FALSE),IF(OR(M41=49,M41=51,M41=53),"L1 - "&amp;VLOOKUP(M41,$A$7:$E$60,3,FALSE),IF(OR(M41=50,M41=52,M41=54),"L2 - "&amp;VLOOKUP(M41,$A$7:$E$60,3,FALSE)))))</f>
        <v>BP - 0</v>
      </c>
      <c r="N40" s="300" t="str">
        <f>IF(N41&lt;2,"N/A",IF(N41&lt;49,"BP - "&amp;VLOOKUP(N41,$A$7:$E$60,3,FALSE),IF(OR(N41=49,N41=51,N41=53),"L1 - "&amp;VLOOKUP(N41,$A$7:$E$60,3,FALSE),IF(OR(N41=50,N41=52,N41=54),"L2 - "&amp;VLOOKUP(N41,$A$7:$E$60,3,FALSE)))))</f>
        <v>BP - 0</v>
      </c>
      <c r="O40" s="301" t="s">
        <v>100</v>
      </c>
      <c r="P40" s="302"/>
      <c r="S40" s="173" t="s">
        <v>634</v>
      </c>
      <c r="T40" s="61">
        <f>IF(T38&lt;0,"N/A",VLOOKUP(T38,$A$7:$E$60,5,FALSE))</f>
        <v>0</v>
      </c>
      <c r="U40" s="61">
        <f t="shared" ref="U40:W40" si="25">IF(U38&lt;0,"N/A",VLOOKUP(U38,$A$7:$E$60,5,FALSE))</f>
        <v>0</v>
      </c>
      <c r="V40" s="61">
        <f t="shared" si="25"/>
        <v>0</v>
      </c>
      <c r="W40" s="61">
        <f t="shared" si="25"/>
        <v>0</v>
      </c>
      <c r="X40" s="71">
        <f>SUM(T40:W40)</f>
        <v>0</v>
      </c>
      <c r="AA40" s="76"/>
      <c r="AB40" s="76"/>
      <c r="AC40" s="76"/>
      <c r="AD40" s="290"/>
      <c r="AE40" s="290"/>
      <c r="AH40" s="76" t="str">
        <f t="shared" si="23"/>
        <v/>
      </c>
    </row>
    <row r="41" spans="1:37" x14ac:dyDescent="0.25">
      <c r="A41" s="163"/>
      <c r="B41" s="660" t="s">
        <v>635</v>
      </c>
      <c r="C41" s="660"/>
      <c r="D41" s="660"/>
      <c r="E41" s="660"/>
      <c r="F41" s="660"/>
      <c r="G41" s="660"/>
      <c r="H41" s="660"/>
      <c r="I41" s="168"/>
      <c r="K41" s="303"/>
      <c r="L41" s="304">
        <v>30</v>
      </c>
      <c r="M41" s="304">
        <v>30</v>
      </c>
      <c r="N41" s="304">
        <v>30</v>
      </c>
      <c r="O41" s="305"/>
      <c r="P41" s="302"/>
      <c r="S41" s="173" t="s">
        <v>631</v>
      </c>
      <c r="T41" s="61">
        <f>IF(T38&lt;0,"N/A",VLOOKUP(T38,$A$7:$F$60,6,FALSE)/2)</f>
        <v>0</v>
      </c>
      <c r="U41" s="61">
        <f t="shared" ref="U41:W41" si="26">IF(U38&lt;0,"N/A",VLOOKUP(U38,$A$7:$F$60,6,FALSE)/2)</f>
        <v>0</v>
      </c>
      <c r="V41" s="61">
        <f t="shared" si="26"/>
        <v>0</v>
      </c>
      <c r="W41" s="61">
        <f t="shared" si="26"/>
        <v>0</v>
      </c>
      <c r="X41" s="61">
        <f>SUM(T41:W41)</f>
        <v>0</v>
      </c>
      <c r="AA41" s="76"/>
      <c r="AB41" s="76"/>
      <c r="AC41" s="76"/>
      <c r="AD41" s="290"/>
      <c r="AE41" s="290"/>
      <c r="AH41" s="76" t="str">
        <f t="shared" si="23"/>
        <v/>
      </c>
    </row>
    <row r="42" spans="1:37" ht="38.25" customHeight="1" x14ac:dyDescent="0.25">
      <c r="A42" s="660" t="s">
        <v>60</v>
      </c>
      <c r="B42" s="418" t="s">
        <v>83</v>
      </c>
      <c r="C42" s="661" t="s">
        <v>84</v>
      </c>
      <c r="D42" s="418" t="s">
        <v>1364</v>
      </c>
      <c r="E42" s="418" t="s">
        <v>61</v>
      </c>
      <c r="F42" s="418" t="s">
        <v>842</v>
      </c>
      <c r="G42" s="419" t="s">
        <v>150</v>
      </c>
      <c r="H42" s="418" t="s">
        <v>152</v>
      </c>
      <c r="I42" s="168"/>
      <c r="K42" s="310" t="s">
        <v>98</v>
      </c>
      <c r="L42" s="310">
        <f>IF(L41&lt;2,"N/A",VLOOKUP(L41,$A$7:$E$60,3,FALSE))</f>
        <v>0</v>
      </c>
      <c r="M42" s="310">
        <f>IF(M41&lt;2,"N/A",VLOOKUP(M41,$A$7:$E$60,3,FALSE))</f>
        <v>0</v>
      </c>
      <c r="N42" s="310">
        <f>IF(N41&lt;2,"N/A",VLOOKUP(N41,$A$7:$E$60,3,FALSE))</f>
        <v>0</v>
      </c>
      <c r="O42" s="310">
        <f>SUM(L42:N42)</f>
        <v>0</v>
      </c>
      <c r="P42" s="302"/>
      <c r="S42" s="174" t="s">
        <v>632</v>
      </c>
      <c r="T42" s="73">
        <f>IF(T38&lt;0,"N/A",VLOOKUP(T38,$A$7:$I$60,9,FALSE))</f>
        <v>0</v>
      </c>
      <c r="U42" s="73">
        <f t="shared" ref="U42:W42" si="27">IF(U38&lt;0,"N/A",VLOOKUP(U38,$A$7:$I$60,9,FALSE))</f>
        <v>0</v>
      </c>
      <c r="V42" s="73">
        <f t="shared" si="27"/>
        <v>0</v>
      </c>
      <c r="W42" s="73">
        <f t="shared" si="27"/>
        <v>0</v>
      </c>
      <c r="X42" s="61">
        <f>SUM(T42:W42)</f>
        <v>0</v>
      </c>
      <c r="AA42" s="76"/>
      <c r="AB42" s="76"/>
      <c r="AC42" s="76"/>
      <c r="AD42" s="290"/>
      <c r="AE42" s="290"/>
      <c r="AH42" s="76" t="str">
        <f t="shared" si="23"/>
        <v/>
      </c>
    </row>
    <row r="43" spans="1:37" ht="13.8" x14ac:dyDescent="0.25">
      <c r="A43" s="660"/>
      <c r="B43" s="419" t="s">
        <v>45</v>
      </c>
      <c r="C43" s="661"/>
      <c r="D43" s="420" t="s">
        <v>45</v>
      </c>
      <c r="E43" s="419" t="s">
        <v>45</v>
      </c>
      <c r="F43" s="419" t="s">
        <v>155</v>
      </c>
      <c r="G43" s="419" t="s">
        <v>155</v>
      </c>
      <c r="H43" s="419" t="s">
        <v>155</v>
      </c>
      <c r="I43" s="168"/>
      <c r="K43" s="311" t="s">
        <v>634</v>
      </c>
      <c r="L43" s="310">
        <f>IF(L41&lt;2,"N/A",VLOOKUP(L41,$A$7:$E$60,5,FALSE))</f>
        <v>0</v>
      </c>
      <c r="M43" s="310">
        <f>IF(M41&lt;2,"N/A",VLOOKUP(M41,$A$7:$E$60,5,FALSE))</f>
        <v>0</v>
      </c>
      <c r="N43" s="310">
        <f>IF(N41&lt;2,"N/A",VLOOKUP(N41,$A$7:$E$60,5,FALSE))</f>
        <v>0</v>
      </c>
      <c r="O43" s="310">
        <f>SUM(L43:N43)</f>
        <v>0</v>
      </c>
      <c r="P43" s="302"/>
      <c r="AA43" s="76"/>
      <c r="AB43" s="76"/>
      <c r="AC43" s="76"/>
      <c r="AD43" s="290"/>
      <c r="AE43" s="290"/>
      <c r="AH43" s="76" t="str">
        <f t="shared" si="23"/>
        <v/>
      </c>
    </row>
    <row r="44" spans="1:37" x14ac:dyDescent="0.25">
      <c r="A44" s="163">
        <v>1</v>
      </c>
      <c r="B44" s="163"/>
      <c r="C44" s="163"/>
      <c r="D44" s="163"/>
      <c r="E44" s="74"/>
      <c r="F44" s="74"/>
      <c r="G44" s="74"/>
      <c r="H44" s="74"/>
      <c r="I44" s="168"/>
      <c r="K44" s="311" t="s">
        <v>631</v>
      </c>
      <c r="L44" s="310">
        <f>IF(L41&lt;2,"N/A",VLOOKUP(L41,$A$7:$F$60,6,FALSE)/2)</f>
        <v>0</v>
      </c>
      <c r="M44" s="310">
        <f>IF(M41&lt;2,"N/A",VLOOKUP(M41,$A$7:$F$60,6,FALSE)/2)</f>
        <v>0</v>
      </c>
      <c r="N44" s="310">
        <f>IF(N41&lt;2,"N/A",VLOOKUP(N41,$A$7:$F$60,6,FALSE)/2)</f>
        <v>0</v>
      </c>
      <c r="O44" s="310">
        <f>SUM(L44:N44)</f>
        <v>0</v>
      </c>
      <c r="P44" s="302"/>
      <c r="AA44" s="76"/>
      <c r="AB44" s="76"/>
      <c r="AC44" s="76"/>
      <c r="AD44" s="290"/>
      <c r="AE44" s="290"/>
      <c r="AF44" s="14"/>
      <c r="AG44" s="75"/>
      <c r="AH44" s="76" t="str">
        <f t="shared" si="23"/>
        <v/>
      </c>
    </row>
    <row r="45" spans="1:37" x14ac:dyDescent="0.25">
      <c r="A45" s="74">
        <v>2</v>
      </c>
      <c r="B45" s="74">
        <v>0</v>
      </c>
      <c r="C45" s="417" t="s">
        <v>96</v>
      </c>
      <c r="D45" s="422">
        <v>0</v>
      </c>
      <c r="E45" s="74">
        <v>5.8E-4</v>
      </c>
      <c r="F45" s="74">
        <v>0</v>
      </c>
      <c r="G45" s="167"/>
      <c r="H45" s="167"/>
      <c r="I45" s="168"/>
      <c r="K45" s="302"/>
      <c r="L45" s="302"/>
      <c r="M45" s="302"/>
      <c r="N45" s="302"/>
      <c r="O45" s="302"/>
      <c r="P45" s="302"/>
      <c r="S45" s="299"/>
      <c r="T45" s="300" t="str">
        <f>IF(T46&lt;2,"N/A",IF(T46&lt;49,"BP - "&amp;VLOOKUP(T46,$A$7:$E$60,3,FALSE),IF(OR(T46=49,T46=51,T46=53),"L1 - "&amp;VLOOKUP(T46,$A$7:$E$60,3,FALSE),IF(OR(T46=50,T46=52,T46=54),"L2 - "&amp;VLOOKUP(T46,$A$7:$E$60,3,FALSE)))))</f>
        <v>BP - 0</v>
      </c>
      <c r="U45" s="300" t="str">
        <f>IF(U46&lt;2,"N/A",IF(U46&lt;49,"BP - "&amp;VLOOKUP(U46,$A$7:$E$60,3,FALSE),IF(OR(U46=49,U46=51,U46=53),"L1 - "&amp;VLOOKUP(U46,$A$7:$E$60,3,FALSE),IF(OR(U46=50,U46=52,U46=54),"L2 - "&amp;VLOOKUP(U46,$A$7:$E$60,3,FALSE)))))</f>
        <v>BP - 0</v>
      </c>
      <c r="V45" s="300" t="str">
        <f>IF(V46&lt;2,"N/A",IF(V46&lt;49,"BP - "&amp;VLOOKUP(V46,$A$7:$E$60,3,FALSE),IF(OR(V46=49,V46=51,V46=53),"L1 - "&amp;VLOOKUP(V46,$A$7:$E$60,3,FALSE),IF(OR(V46=50,V46=52,V46=54),"L2 - "&amp;VLOOKUP(V46,$A$7:$E$60,3,FALSE)))))</f>
        <v>BP - 0</v>
      </c>
      <c r="W45" s="300" t="str">
        <f>IF(W46&lt;2,"N/A",IF(W46&lt;49,"BP - "&amp;VLOOKUP(W46,$A$7:$E$60,3,FALSE),IF(OR(W46=49,W46=51,W46=53),"L1 - "&amp;VLOOKUP(W46,$A$7:$E$60,3,FALSE),IF(OR(W46=50,W46=52,W46=54),"L2 - "&amp;VLOOKUP(W46,$A$7:$E$60,3,FALSE)))))</f>
        <v>BP - 0</v>
      </c>
      <c r="X45" s="301" t="s">
        <v>100</v>
      </c>
      <c r="Y45" s="302"/>
      <c r="AA45" s="76"/>
      <c r="AB45" s="76"/>
      <c r="AC45" s="76"/>
      <c r="AD45" s="290"/>
      <c r="AE45" s="290"/>
      <c r="AF45" s="14"/>
      <c r="AG45" s="75"/>
      <c r="AH45" s="76" t="str">
        <f t="shared" si="23"/>
        <v/>
      </c>
    </row>
    <row r="46" spans="1:37" x14ac:dyDescent="0.25">
      <c r="A46" s="163">
        <v>3</v>
      </c>
      <c r="B46" s="74">
        <v>5</v>
      </c>
      <c r="C46" s="417" t="s">
        <v>96</v>
      </c>
      <c r="D46" s="421">
        <v>-3.6999999999999999E-4</v>
      </c>
      <c r="E46" s="74">
        <v>5.8E-4</v>
      </c>
      <c r="F46" s="74">
        <v>-0.08</v>
      </c>
      <c r="G46" s="167"/>
      <c r="H46" s="167"/>
      <c r="I46" s="168"/>
      <c r="K46" s="302"/>
      <c r="L46" s="302"/>
      <c r="M46" s="302"/>
      <c r="N46" s="302"/>
      <c r="O46" s="302"/>
      <c r="P46" s="302"/>
      <c r="S46" s="303"/>
      <c r="T46" s="304">
        <v>30</v>
      </c>
      <c r="U46" s="304">
        <v>30</v>
      </c>
      <c r="V46" s="304">
        <v>30</v>
      </c>
      <c r="W46" s="304">
        <v>30</v>
      </c>
      <c r="X46" s="305"/>
      <c r="Y46" s="302"/>
      <c r="AA46" s="76"/>
      <c r="AB46" s="76"/>
      <c r="AC46" s="76"/>
      <c r="AD46" s="290"/>
      <c r="AE46" s="290"/>
      <c r="AG46" s="75"/>
      <c r="AH46" s="76" t="str">
        <f t="shared" si="23"/>
        <v/>
      </c>
    </row>
    <row r="47" spans="1:37" x14ac:dyDescent="0.25">
      <c r="A47" s="74">
        <v>4</v>
      </c>
      <c r="B47" s="74">
        <v>10</v>
      </c>
      <c r="C47" s="417" t="s">
        <v>96</v>
      </c>
      <c r="D47" s="421">
        <v>8.1999999999999998E-4</v>
      </c>
      <c r="E47" s="74">
        <v>5.8E-4</v>
      </c>
      <c r="F47" s="74">
        <v>1.1200000000000001</v>
      </c>
      <c r="G47" s="167"/>
      <c r="H47" s="167"/>
      <c r="I47" s="168"/>
      <c r="K47" s="299"/>
      <c r="L47" s="300" t="str">
        <f>IF(L48&lt;2,"N/A",IF(L48&lt;49,"BP - "&amp;VLOOKUP(L48,$A$7:$E$60,3,FALSE),IF(OR(L48=49,L48=51,L48=53),"L1 - "&amp;VLOOKUP(L48,$A$7:$E$60,3,FALSE),IF(OR(L48=50,L48=52,L48=54),"L2 - "&amp;VLOOKUP(L48,$A$7:$E$60,3,FALSE)))))</f>
        <v>BP - 0</v>
      </c>
      <c r="M47" s="300" t="str">
        <f>IF(M48&lt;2,"N/A",IF(M48&lt;49,"BP - "&amp;VLOOKUP(M48,$A$7:$E$60,3,FALSE),IF(OR(M48=49,M48=51,M48=53),"L1 - "&amp;VLOOKUP(M48,$A$7:$E$60,3,FALSE),IF(OR(M48=50,M48=52,M48=54),"L2 - "&amp;VLOOKUP(M48,$A$7:$E$60,3,FALSE)))))</f>
        <v>BP - 0</v>
      </c>
      <c r="N47" s="300" t="str">
        <f>IF(N48&lt;2,"N/A",IF(N48&lt;49,"BP - "&amp;VLOOKUP(N48,$A$7:$E$60,3,FALSE),IF(OR(N48=49,N48=51,N48=53),"L1 - "&amp;VLOOKUP(N48,$A$7:$E$60,3,FALSE),IF(OR(N48=50,N48=52,N48=54),"L2 - "&amp;VLOOKUP(N48,$A$7:$E$60,3,FALSE)))))</f>
        <v>BP - 0</v>
      </c>
      <c r="O47" s="301" t="s">
        <v>100</v>
      </c>
      <c r="P47" s="302"/>
      <c r="S47" s="303" t="s">
        <v>98</v>
      </c>
      <c r="T47" s="302">
        <f>IF(T46&lt;2,"N/A",VLOOKUP(T46,$A$7:$E$60,3,FALSE))</f>
        <v>0</v>
      </c>
      <c r="U47" s="302">
        <f>IF(U46&lt;2,"N/A",VLOOKUP(U46,$A$7:$E$60,3,FALSE))</f>
        <v>0</v>
      </c>
      <c r="V47" s="302">
        <f>IF(V46&lt;2,"N/A",VLOOKUP(V46,$A$7:$E$60,3,FALSE))</f>
        <v>0</v>
      </c>
      <c r="W47" s="302">
        <f>IF(W46&lt;2,"N/A",VLOOKUP(W46,$A$7:$E$60,3,FALSE))</f>
        <v>0</v>
      </c>
      <c r="X47" s="305">
        <f>SUM(T47:W47)</f>
        <v>0</v>
      </c>
      <c r="Y47" s="302">
        <f>COUNT(T47:V47)</f>
        <v>3</v>
      </c>
      <c r="AA47" s="76"/>
      <c r="AB47" s="76"/>
      <c r="AC47" s="76"/>
      <c r="AD47" s="290"/>
      <c r="AE47" s="290"/>
      <c r="AG47" s="75"/>
      <c r="AH47" s="76" t="str">
        <f t="shared" si="23"/>
        <v/>
      </c>
    </row>
    <row r="48" spans="1:37" x14ac:dyDescent="0.25">
      <c r="A48" s="163">
        <v>5</v>
      </c>
      <c r="B48" s="74">
        <v>15</v>
      </c>
      <c r="C48" s="417" t="s">
        <v>96</v>
      </c>
      <c r="D48" s="421">
        <v>6.9999999999999994E-5</v>
      </c>
      <c r="E48" s="74">
        <v>5.9000000000000003E-4</v>
      </c>
      <c r="F48" s="74">
        <v>0.75</v>
      </c>
      <c r="G48" s="167"/>
      <c r="H48" s="167"/>
      <c r="I48" s="168"/>
      <c r="K48" s="303"/>
      <c r="L48" s="304">
        <v>30</v>
      </c>
      <c r="M48" s="304">
        <v>30</v>
      </c>
      <c r="N48" s="304">
        <v>30</v>
      </c>
      <c r="O48" s="305"/>
      <c r="P48" s="302"/>
      <c r="S48" s="303" t="s">
        <v>99</v>
      </c>
      <c r="T48" s="302">
        <f>IF(T46&lt;2,"N/A",VLOOKUP(T46,$A$7:$E$60,5,FALSE))</f>
        <v>0</v>
      </c>
      <c r="U48" s="302">
        <f>IF(U46&lt;2,"N/A",VLOOKUP(U46,$A$7:$E$60,5,FALSE))</f>
        <v>0</v>
      </c>
      <c r="V48" s="302">
        <f>IF(V46&lt;2,"N/A",VLOOKUP(V46,$A$7:$E$60,5,FALSE))</f>
        <v>0</v>
      </c>
      <c r="W48" s="302">
        <f>IF(W46&lt;2,"N/A",VLOOKUP(W46,$A$7:$E$60,5,FALSE))</f>
        <v>0</v>
      </c>
      <c r="X48" s="305">
        <f>SUM(T48:W48)</f>
        <v>0</v>
      </c>
      <c r="Y48" s="302"/>
      <c r="AA48" s="76"/>
      <c r="AB48" s="76"/>
      <c r="AC48" s="76"/>
      <c r="AD48" s="290"/>
      <c r="AE48" s="290"/>
      <c r="AG48" s="75"/>
      <c r="AH48" s="76" t="str">
        <f t="shared" si="23"/>
        <v/>
      </c>
    </row>
    <row r="49" spans="1:34" x14ac:dyDescent="0.25">
      <c r="A49" s="74">
        <v>6</v>
      </c>
      <c r="B49" s="74">
        <v>20</v>
      </c>
      <c r="C49" s="417" t="s">
        <v>96</v>
      </c>
      <c r="D49" s="421">
        <v>1E-4</v>
      </c>
      <c r="E49" s="74">
        <v>5.9000000000000003E-4</v>
      </c>
      <c r="F49" s="74">
        <v>1.25</v>
      </c>
      <c r="G49" s="167"/>
      <c r="H49" s="167"/>
      <c r="I49" s="168"/>
      <c r="K49" s="310" t="s">
        <v>98</v>
      </c>
      <c r="L49" s="310">
        <f>IF(L48&lt;2,"N/A",VLOOKUP(L48,$A$7:$E$60,3,FALSE))</f>
        <v>0</v>
      </c>
      <c r="M49" s="310">
        <f>IF(M48&lt;2,"N/A",VLOOKUP(M48,$A$7:$E$60,3,FALSE))</f>
        <v>0</v>
      </c>
      <c r="N49" s="310">
        <f>IF(N48&lt;2,"N/A",VLOOKUP(N48,$A$7:$E$60,3,FALSE))</f>
        <v>0</v>
      </c>
      <c r="O49" s="310">
        <f>SUM(L49:N49)</f>
        <v>0</v>
      </c>
      <c r="P49" s="302"/>
      <c r="S49" s="306" t="s">
        <v>631</v>
      </c>
      <c r="T49" s="302">
        <f>IF(T46&lt;2,"N/A",VLOOKUP(T46,$A$7:$F$60,6,FALSE)/2)</f>
        <v>0</v>
      </c>
      <c r="U49" s="302">
        <f>IF(U46&lt;2,"N/A",VLOOKUP(U46,$A$7:$F$60,6,FALSE)/2)</f>
        <v>0</v>
      </c>
      <c r="V49" s="302">
        <f>IF(V46&lt;2,"N/A",VLOOKUP(V46,$A$7:$F$60,6,FALSE)/2)</f>
        <v>0</v>
      </c>
      <c r="W49" s="302">
        <f>IF(W46&lt;2,"N/A",VLOOKUP(W46,$A$7:$F$60,6,FALSE)/2)</f>
        <v>0</v>
      </c>
      <c r="X49" s="302">
        <f>SUM(T49:W49)</f>
        <v>0</v>
      </c>
      <c r="Y49" s="302"/>
      <c r="AA49" s="76"/>
      <c r="AB49" s="76"/>
      <c r="AC49" s="76"/>
      <c r="AD49" s="290"/>
      <c r="AE49" s="290"/>
      <c r="AG49" s="75"/>
      <c r="AH49" s="76" t="str">
        <f t="shared" si="23"/>
        <v/>
      </c>
    </row>
    <row r="50" spans="1:34" ht="26.4" x14ac:dyDescent="0.25">
      <c r="A50" s="163">
        <v>7</v>
      </c>
      <c r="B50" s="74">
        <v>25</v>
      </c>
      <c r="C50" s="417" t="s">
        <v>96</v>
      </c>
      <c r="D50" s="421">
        <v>-2.3000000000000001E-4</v>
      </c>
      <c r="E50" s="74">
        <v>5.9999999999999995E-4</v>
      </c>
      <c r="F50" s="74">
        <v>0.81</v>
      </c>
      <c r="G50" s="167"/>
      <c r="H50" s="167"/>
      <c r="I50" s="168"/>
      <c r="K50" s="311" t="s">
        <v>634</v>
      </c>
      <c r="L50" s="310">
        <f>IF(L48&lt;2,"N/A",VLOOKUP(L48,$A$7:$E$60,5,FALSE))</f>
        <v>0</v>
      </c>
      <c r="M50" s="310">
        <f>IF(M48&lt;2,"N/A",VLOOKUP(M48,$A$7:$E$60,5,FALSE))</f>
        <v>0</v>
      </c>
      <c r="N50" s="310">
        <f>IF(N48&lt;2,"N/A",VLOOKUP(N48,$A$7:$E$60,5,FALSE))</f>
        <v>0</v>
      </c>
      <c r="O50" s="310">
        <f>SUM(L50:N50)</f>
        <v>0</v>
      </c>
      <c r="P50" s="302"/>
      <c r="S50" s="307" t="s">
        <v>632</v>
      </c>
      <c r="T50" s="308">
        <f>IF(T46&lt;2,"N/A",VLOOKUP(T46,$A$7:$I$60,9,FALSE))</f>
        <v>0</v>
      </c>
      <c r="U50" s="308">
        <f>IF(U46&lt;2,"N/A",VLOOKUP(U46,$A$7:$I$60,9,FALSE))</f>
        <v>0</v>
      </c>
      <c r="V50" s="308">
        <f>IF(V46&lt;2,"N/A",VLOOKUP(V46,$A$7:$I$60,9,FALSE))</f>
        <v>0</v>
      </c>
      <c r="W50" s="308">
        <f>IF(W46&lt;2,"N/A",VLOOKUP(W46,$A$7:$I$60,9,FALSE))</f>
        <v>0</v>
      </c>
      <c r="X50" s="309">
        <f>SQRT(SUMSQ(T50:W50))</f>
        <v>0</v>
      </c>
      <c r="Y50" s="302"/>
      <c r="AA50" s="76"/>
      <c r="AB50" s="76"/>
      <c r="AC50" s="76"/>
      <c r="AD50" s="290"/>
      <c r="AE50" s="290"/>
      <c r="AG50" s="75"/>
      <c r="AH50" s="76" t="str">
        <f t="shared" si="23"/>
        <v/>
      </c>
    </row>
    <row r="51" spans="1:34" x14ac:dyDescent="0.25">
      <c r="A51" s="74"/>
      <c r="B51" s="74"/>
      <c r="C51" s="74"/>
      <c r="D51" s="164"/>
      <c r="E51" s="74"/>
      <c r="F51" s="74"/>
      <c r="G51" s="167"/>
      <c r="H51" s="167"/>
      <c r="I51" s="168"/>
      <c r="K51" s="311" t="s">
        <v>631</v>
      </c>
      <c r="L51" s="310">
        <f>IF(L48&lt;2,"N/A",VLOOKUP(L48,$A$7:$F$60,6,FALSE)/2)</f>
        <v>0</v>
      </c>
      <c r="M51" s="310">
        <f>IF(M48&lt;2,"N/A",VLOOKUP(M48,$A$7:$F$60,6,FALSE)/2)</f>
        <v>0</v>
      </c>
      <c r="N51" s="310">
        <f>IF(N48&lt;2,"N/A",VLOOKUP(N48,$A$7:$F$60,6,FALSE)/2)</f>
        <v>0</v>
      </c>
      <c r="O51" s="310">
        <f>SUM(L51:N51)</f>
        <v>0</v>
      </c>
      <c r="P51" s="302"/>
      <c r="S51" s="302"/>
      <c r="T51" s="302"/>
      <c r="U51" s="302"/>
      <c r="V51" s="302"/>
      <c r="W51" s="302"/>
      <c r="X51" s="302"/>
      <c r="Y51" s="302"/>
      <c r="AA51" s="76"/>
      <c r="AB51" s="76"/>
      <c r="AC51" s="76"/>
      <c r="AD51" s="290"/>
      <c r="AE51" s="290"/>
      <c r="AH51" s="76" t="str">
        <f t="shared" si="23"/>
        <v/>
      </c>
    </row>
    <row r="52" spans="1:34" x14ac:dyDescent="0.25">
      <c r="A52" s="163"/>
      <c r="B52" s="74"/>
      <c r="C52" s="74"/>
      <c r="D52" s="164"/>
      <c r="E52" s="74"/>
      <c r="F52" s="74"/>
      <c r="G52" s="167"/>
      <c r="H52" s="167"/>
      <c r="I52" s="168"/>
      <c r="K52" s="302"/>
      <c r="L52" s="302"/>
      <c r="M52" s="302"/>
      <c r="N52" s="302"/>
      <c r="O52" s="302"/>
      <c r="P52" s="302"/>
      <c r="S52" s="302"/>
      <c r="T52" s="302"/>
      <c r="U52" s="302"/>
      <c r="V52" s="302"/>
      <c r="W52" s="302"/>
      <c r="X52" s="302"/>
      <c r="Y52" s="302"/>
      <c r="AA52" s="76"/>
      <c r="AB52" s="76"/>
      <c r="AC52" s="76"/>
      <c r="AD52" s="290"/>
      <c r="AE52" s="290"/>
      <c r="AH52" s="76" t="str">
        <f t="shared" si="23"/>
        <v/>
      </c>
    </row>
    <row r="53" spans="1:34" x14ac:dyDescent="0.25">
      <c r="A53" s="74"/>
      <c r="B53" s="74"/>
      <c r="C53" s="74"/>
      <c r="D53" s="164"/>
      <c r="E53" s="74"/>
      <c r="F53" s="74"/>
      <c r="G53" s="167"/>
      <c r="H53" s="167"/>
      <c r="I53" s="168"/>
      <c r="K53" s="302"/>
      <c r="L53" s="312"/>
      <c r="M53" s="312"/>
      <c r="N53" s="312"/>
      <c r="O53" s="302"/>
      <c r="P53" s="302"/>
      <c r="S53" s="299"/>
      <c r="T53" s="300" t="str">
        <f>IF(T54&lt;2,"N/A",IF(T54&lt;49,"BP - "&amp;VLOOKUP(T54,$A$7:$E$60,3,FALSE),IF(OR(T54=49,T54=51,T54=53),"L1 - "&amp;VLOOKUP(T54,$A$7:$E$60,3,FALSE),IF(OR(T54=50,T54=52,T54=54),"L2 - "&amp;VLOOKUP(T54,$A$7:$E$60,3,FALSE)))))</f>
        <v>BP - 0</v>
      </c>
      <c r="U53" s="300" t="str">
        <f>IF(U54&lt;2,"N/A",IF(U54&lt;49,"BP - "&amp;VLOOKUP(U54,$A$7:$E$60,3,FALSE),IF(OR(U54=49,U54=51,U54=53),"L1 - "&amp;VLOOKUP(U54,$A$7:$E$60,3,FALSE),IF(OR(U54=50,U54=52,U54=54),"L2 - "&amp;VLOOKUP(U54,$A$7:$E$60,3,FALSE)))))</f>
        <v>BP - 0</v>
      </c>
      <c r="V53" s="300" t="str">
        <f>IF(V54&lt;2,"N/A",IF(V54&lt;49,"BP - "&amp;VLOOKUP(V54,$A$7:$E$60,3,FALSE),IF(OR(V54=49,V54=51,V54=53),"L1 - "&amp;VLOOKUP(V54,$A$7:$E$60,3,FALSE),IF(OR(V54=50,V54=52,V54=54),"L2 - "&amp;VLOOKUP(V54,$A$7:$E$60,3,FALSE)))))</f>
        <v>BP - 0</v>
      </c>
      <c r="W53" s="300" t="str">
        <f>IF(W54&lt;2,"N/A",IF(W54&lt;49,"BP - "&amp;VLOOKUP(W54,$A$7:$E$60,3,FALSE),IF(OR(W54=49,W54=51,W54=53),"L1 - "&amp;VLOOKUP(W54,$A$7:$E$60,3,FALSE),IF(OR(W54=50,W54=52,W54=54),"L2 - "&amp;VLOOKUP(W54,$A$7:$E$60,3,FALSE)))))</f>
        <v>BP - 0</v>
      </c>
      <c r="X53" s="301" t="s">
        <v>100</v>
      </c>
      <c r="Y53" s="302"/>
      <c r="AA53" s="76"/>
      <c r="AB53" s="76"/>
      <c r="AC53" s="76"/>
      <c r="AD53" s="290"/>
      <c r="AE53" s="290"/>
      <c r="AH53" s="76" t="str">
        <f t="shared" si="23"/>
        <v/>
      </c>
    </row>
    <row r="54" spans="1:34" x14ac:dyDescent="0.25">
      <c r="A54" s="163"/>
      <c r="B54" s="74"/>
      <c r="C54" s="74"/>
      <c r="D54" s="164"/>
      <c r="E54" s="74"/>
      <c r="F54" s="74"/>
      <c r="G54" s="167"/>
      <c r="H54" s="167"/>
      <c r="I54" s="168"/>
      <c r="S54" s="303"/>
      <c r="T54" s="304">
        <v>30</v>
      </c>
      <c r="U54" s="304">
        <v>30</v>
      </c>
      <c r="V54" s="304">
        <v>30</v>
      </c>
      <c r="W54" s="304">
        <v>30</v>
      </c>
      <c r="X54" s="305"/>
      <c r="Y54" s="302"/>
    </row>
    <row r="55" spans="1:34" x14ac:dyDescent="0.25">
      <c r="A55" s="74"/>
      <c r="B55" s="74"/>
      <c r="C55" s="74"/>
      <c r="D55" s="164"/>
      <c r="E55" s="74"/>
      <c r="F55" s="72"/>
      <c r="G55" s="72"/>
      <c r="H55" s="72"/>
      <c r="I55" s="72"/>
      <c r="S55" s="303" t="s">
        <v>98</v>
      </c>
      <c r="T55" s="302">
        <f>IF(T54&lt;2,"N/A",VLOOKUP(T54,$A$7:$E$60,3,FALSE))</f>
        <v>0</v>
      </c>
      <c r="U55" s="302">
        <f>IF(U54&lt;2,"N/A",VLOOKUP(U54,$A$7:$E$60,3,FALSE))</f>
        <v>0</v>
      </c>
      <c r="V55" s="302">
        <f>IF(V54&lt;2,"N/A",VLOOKUP(V54,$A$7:$E$60,3,FALSE))</f>
        <v>0</v>
      </c>
      <c r="W55" s="302">
        <f>IF(W54&lt;2,"N/A",VLOOKUP(W54,$A$7:$E$60,3,FALSE))</f>
        <v>0</v>
      </c>
      <c r="X55" s="305">
        <f>SUM(T55:W55)</f>
        <v>0</v>
      </c>
      <c r="Y55" s="302">
        <f>COUNT(T55:V55)</f>
        <v>3</v>
      </c>
    </row>
    <row r="56" spans="1:34" x14ac:dyDescent="0.25">
      <c r="A56" s="163"/>
      <c r="B56" s="74"/>
      <c r="C56" s="74"/>
      <c r="D56" s="164"/>
      <c r="E56" s="74"/>
      <c r="F56" s="72"/>
      <c r="G56" s="72"/>
      <c r="H56" s="72"/>
      <c r="I56" s="72"/>
      <c r="S56" s="306" t="s">
        <v>634</v>
      </c>
      <c r="T56" s="302">
        <f>IF(T54&lt;2,"N/A",VLOOKUP(T54,$A$7:$E$60,5,FALSE))</f>
        <v>0</v>
      </c>
      <c r="U56" s="302">
        <f>IF(U54&lt;2,"N/A",VLOOKUP(U54,$A$7:$E$60,5,FALSE))</f>
        <v>0</v>
      </c>
      <c r="V56" s="302">
        <f>IF(V54&lt;2,"N/A",VLOOKUP(V54,$A$7:$E$60,5,FALSE))</f>
        <v>0</v>
      </c>
      <c r="W56" s="302">
        <f>IF(W54&lt;2,"N/A",VLOOKUP(W54,$A$7:$E$60,5,FALSE))</f>
        <v>0</v>
      </c>
      <c r="X56" s="305">
        <f>SUM(T56:W56)</f>
        <v>0</v>
      </c>
      <c r="Y56" s="302"/>
    </row>
    <row r="57" spans="1:34" x14ac:dyDescent="0.25">
      <c r="A57" s="163"/>
      <c r="B57" s="74"/>
      <c r="C57" s="74"/>
      <c r="D57" s="164"/>
      <c r="E57" s="74"/>
      <c r="F57" s="72"/>
      <c r="G57" s="72"/>
      <c r="H57" s="72"/>
      <c r="I57" s="72"/>
      <c r="S57" s="306" t="s">
        <v>631</v>
      </c>
      <c r="T57" s="302">
        <f>IF(T54&lt;2,"N/A",VLOOKUP(T54,$A$7:$F$60,6,FALSE)/2)</f>
        <v>0</v>
      </c>
      <c r="U57" s="302">
        <f>IF(U54&lt;2,"N/A",VLOOKUP(U54,$A$7:$F$60,6,FALSE)/2)</f>
        <v>0</v>
      </c>
      <c r="V57" s="302">
        <f>IF(V54&lt;2,"N/A",VLOOKUP(V54,$A$7:$F$60,6,FALSE)/2)</f>
        <v>0</v>
      </c>
      <c r="W57" s="302">
        <f>IF(W54&lt;2,"N/A",VLOOKUP(W54,$A$7:$F$60,6,FALSE)/2)</f>
        <v>0</v>
      </c>
      <c r="X57" s="302">
        <f>SUM(T57:W57)</f>
        <v>0</v>
      </c>
      <c r="Y57" s="302"/>
    </row>
    <row r="58" spans="1:34" ht="26.4" x14ac:dyDescent="0.25">
      <c r="A58" s="74"/>
      <c r="B58" s="74"/>
      <c r="C58" s="74"/>
      <c r="D58" s="164"/>
      <c r="E58" s="74"/>
      <c r="F58" s="72"/>
      <c r="G58" s="72"/>
      <c r="H58" s="72"/>
      <c r="I58" s="72"/>
      <c r="S58" s="307" t="s">
        <v>632</v>
      </c>
      <c r="T58" s="308">
        <f>IF(T54&lt;2,"N/A",VLOOKUP(T54,$A$7:$I$60,9,FALSE))</f>
        <v>0</v>
      </c>
      <c r="U58" s="308">
        <f>IF(U54&lt;2,"N/A",VLOOKUP(U54,$A$7:$I$60,9,FALSE))</f>
        <v>0</v>
      </c>
      <c r="V58" s="308">
        <f>IF(V54&lt;2,"N/A",VLOOKUP(V54,$A$7:$I$60,9,FALSE))</f>
        <v>0</v>
      </c>
      <c r="W58" s="308">
        <f>IF(W54&lt;2,"N/A",VLOOKUP(W54,$A$7:$I$60,9,FALSE))</f>
        <v>0</v>
      </c>
      <c r="X58" s="309">
        <f>SQRT(SUMSQ(T58:W58))</f>
        <v>0</v>
      </c>
      <c r="Y58" s="302"/>
      <c r="Z58" s="88"/>
    </row>
    <row r="59" spans="1:34" x14ac:dyDescent="0.25">
      <c r="A59" s="163"/>
      <c r="B59" s="74"/>
      <c r="C59" s="74"/>
      <c r="D59" s="164"/>
      <c r="E59" s="74"/>
      <c r="F59" s="72"/>
      <c r="G59" s="72"/>
      <c r="H59" s="72"/>
      <c r="I59" s="72"/>
      <c r="L59" s="76"/>
      <c r="M59" s="76"/>
      <c r="N59" s="76"/>
      <c r="S59" s="302"/>
      <c r="T59" s="302"/>
      <c r="U59" s="302"/>
      <c r="V59" s="302"/>
      <c r="W59" s="302"/>
      <c r="X59" s="302"/>
      <c r="Y59" s="302"/>
    </row>
    <row r="60" spans="1:34" x14ac:dyDescent="0.25">
      <c r="A60" s="74"/>
      <c r="B60" s="74"/>
      <c r="C60" s="74"/>
      <c r="D60" s="164"/>
      <c r="E60" s="74"/>
      <c r="F60" s="72"/>
      <c r="G60" s="72"/>
      <c r="H60" s="72"/>
      <c r="I60" s="72"/>
      <c r="S60" s="302"/>
      <c r="T60" s="302"/>
      <c r="U60" s="302"/>
      <c r="V60" s="302"/>
      <c r="W60" s="302"/>
      <c r="X60" s="302"/>
      <c r="Y60" s="302"/>
    </row>
    <row r="61" spans="1:34" x14ac:dyDescent="0.25">
      <c r="S61" s="299"/>
      <c r="T61" s="300" t="str">
        <f>IF(T62&lt;2,"N/A",IF(T62&lt;49,"BP - "&amp;VLOOKUP(T62,$A$7:$E$60,3,FALSE),IF(OR(T62=49,T62=51,T62=53),"L1 - "&amp;VLOOKUP(T62,$A$7:$E$60,3,FALSE),IF(OR(T62=50,T62=52,T62=54),"L2 - "&amp;VLOOKUP(T62,$A$7:$E$60,3,FALSE)))))</f>
        <v>BP - 0</v>
      </c>
      <c r="U61" s="300" t="str">
        <f>IF(U62&lt;2,"N/A",IF(U62&lt;49,"BP - "&amp;VLOOKUP(U62,$A$7:$E$60,3,FALSE),IF(OR(U62=49,U62=51,U62=53),"L1 - "&amp;VLOOKUP(U62,$A$7:$E$60,3,FALSE),IF(OR(U62=50,U62=52,U62=54),"L2 - "&amp;VLOOKUP(U62,$A$7:$E$60,3,FALSE)))))</f>
        <v>BP - 0</v>
      </c>
      <c r="V61" s="300" t="str">
        <f>IF(V62&lt;2,"N/A",IF(V62&lt;49,"BP - "&amp;VLOOKUP(V62,$A$7:$E$60,3,FALSE),IF(OR(V62=49,V62=51,V62=53),"L1 - "&amp;VLOOKUP(V62,$A$7:$E$60,3,FALSE),IF(OR(V62=50,V62=52,V62=54),"L2 - "&amp;VLOOKUP(V62,$A$7:$E$60,3,FALSE)))))</f>
        <v>BP - 0</v>
      </c>
      <c r="W61" s="300" t="str">
        <f>IF(W62&lt;2,"N/A",IF(W62&lt;49,"BP - "&amp;VLOOKUP(W62,$A$7:$E$60,3,FALSE),IF(OR(W62=49,W62=51,W62=53),"L1 - "&amp;VLOOKUP(W62,$A$7:$E$60,3,FALSE),IF(OR(W62=50,W62=52,W62=54),"L2 - "&amp;VLOOKUP(W62,$A$7:$E$60,3,FALSE)))))</f>
        <v>BP - 0</v>
      </c>
      <c r="X61" s="301" t="s">
        <v>100</v>
      </c>
      <c r="Y61" s="302"/>
    </row>
    <row r="62" spans="1:34" x14ac:dyDescent="0.25">
      <c r="S62" s="303"/>
      <c r="T62" s="304">
        <v>30</v>
      </c>
      <c r="U62" s="304">
        <v>30</v>
      </c>
      <c r="V62" s="304">
        <v>30</v>
      </c>
      <c r="W62" s="304">
        <v>30</v>
      </c>
      <c r="X62" s="305"/>
      <c r="Y62" s="302"/>
    </row>
    <row r="63" spans="1:34" x14ac:dyDescent="0.25">
      <c r="S63" s="303" t="s">
        <v>98</v>
      </c>
      <c r="T63" s="302">
        <f>IF(T62&lt;2,"N/A",VLOOKUP(T62,$A$7:$E$60,3,FALSE))</f>
        <v>0</v>
      </c>
      <c r="U63" s="302">
        <f>IF(U62&lt;2,"N/A",VLOOKUP(U62,$A$7:$E$60,3,FALSE))</f>
        <v>0</v>
      </c>
      <c r="V63" s="302">
        <f>IF(V62&lt;2,"N/A",VLOOKUP(V62,$A$7:$E$60,3,FALSE))</f>
        <v>0</v>
      </c>
      <c r="W63" s="302">
        <f>IF(W62&lt;2,"N/A",VLOOKUP(W62,$A$7:$E$60,3,FALSE))</f>
        <v>0</v>
      </c>
      <c r="X63" s="305">
        <f>SUM(T63:W63)</f>
        <v>0</v>
      </c>
      <c r="Y63" s="302">
        <f>COUNT(T63:V63)</f>
        <v>3</v>
      </c>
    </row>
    <row r="64" spans="1:34" x14ac:dyDescent="0.25">
      <c r="S64" s="306" t="s">
        <v>634</v>
      </c>
      <c r="T64" s="302">
        <f>IF(T62&lt;2,"N/A",VLOOKUP(T62,$A$7:$E$60,5,FALSE))</f>
        <v>0</v>
      </c>
      <c r="U64" s="302">
        <f>IF(U62&lt;2,"N/A",VLOOKUP(U62,$A$7:$E$60,5,FALSE))</f>
        <v>0</v>
      </c>
      <c r="V64" s="302">
        <f>IF(V62&lt;2,"N/A",VLOOKUP(V62,$A$7:$E$60,5,FALSE))</f>
        <v>0</v>
      </c>
      <c r="W64" s="302">
        <f>IF(W62&lt;2,"N/A",VLOOKUP(W62,$A$7:$E$60,5,FALSE))</f>
        <v>0</v>
      </c>
      <c r="X64" s="305">
        <f>SUM(T64:W64)</f>
        <v>0</v>
      </c>
      <c r="Y64" s="302"/>
    </row>
    <row r="65" spans="19:25" x14ac:dyDescent="0.25">
      <c r="S65" s="306" t="s">
        <v>631</v>
      </c>
      <c r="T65" s="302">
        <f>IF(T62&lt;2,"N/A",VLOOKUP(T62,$A$7:$F$60,6,FALSE)/2)</f>
        <v>0</v>
      </c>
      <c r="U65" s="302">
        <f>IF(U62&lt;2,"N/A",VLOOKUP(U62,$A$7:$F$60,6,FALSE)/2)</f>
        <v>0</v>
      </c>
      <c r="V65" s="302">
        <f>IF(V62&lt;2,"N/A",VLOOKUP(V62,$A$7:$F$60,6,FALSE)/2)</f>
        <v>0</v>
      </c>
      <c r="W65" s="302">
        <f>IF(W62&lt;2,"N/A",VLOOKUP(W62,$A$7:$F$60,6,FALSE)/2)</f>
        <v>0</v>
      </c>
      <c r="X65" s="302">
        <f>SUM(T65:W65)</f>
        <v>0</v>
      </c>
      <c r="Y65" s="302"/>
    </row>
    <row r="66" spans="19:25" ht="26.4" x14ac:dyDescent="0.25">
      <c r="S66" s="307" t="s">
        <v>632</v>
      </c>
      <c r="T66" s="308">
        <f>IF(T62&lt;2,"N/A",VLOOKUP(T62,$A$7:$I$60,9,FALSE))</f>
        <v>0</v>
      </c>
      <c r="U66" s="308">
        <f>IF(U62&lt;2,"N/A",VLOOKUP(U62,$A$7:$I$60,9,FALSE))</f>
        <v>0</v>
      </c>
      <c r="V66" s="308">
        <f>IF(V62&lt;2,"N/A",VLOOKUP(V62,$A$7:$I$60,9,FALSE))</f>
        <v>0</v>
      </c>
      <c r="W66" s="308">
        <f>IF(W62&lt;2,"N/A",VLOOKUP(W62,$A$7:$I$60,9,FALSE))</f>
        <v>0</v>
      </c>
      <c r="X66" s="309">
        <f>SQRT(SUMSQ(T66:W66))</f>
        <v>0</v>
      </c>
      <c r="Y66" s="302"/>
    </row>
    <row r="67" spans="19:25" x14ac:dyDescent="0.25">
      <c r="S67" s="302"/>
      <c r="T67" s="302"/>
      <c r="U67" s="302"/>
      <c r="V67" s="302"/>
      <c r="W67" s="302"/>
      <c r="X67" s="302"/>
      <c r="Y67" s="302"/>
    </row>
    <row r="68" spans="19:25" x14ac:dyDescent="0.25">
      <c r="S68" s="302"/>
      <c r="T68" s="302"/>
      <c r="U68" s="302"/>
      <c r="V68" s="302"/>
      <c r="W68" s="302"/>
      <c r="X68" s="302"/>
      <c r="Y68" s="302"/>
    </row>
    <row r="69" spans="19:25" x14ac:dyDescent="0.25">
      <c r="S69" s="299"/>
      <c r="T69" s="300" t="str">
        <f>IF(T70&lt;2,"N/A",IF(T70&lt;49,"BP - "&amp;VLOOKUP(T70,$A$7:$E$60,3,FALSE),IF(OR(T70=49,T70=51,T70=53),"L1 - "&amp;VLOOKUP(T70,$A$7:$E$60,3,FALSE),IF(OR(T70=50,T70=52,T70=54),"L2 - "&amp;VLOOKUP(T70,$A$7:$E$60,3,FALSE)))))</f>
        <v>BP - 0</v>
      </c>
      <c r="U69" s="300" t="str">
        <f>IF(U70&lt;2,"N/A",IF(U70&lt;49,"BP - "&amp;VLOOKUP(U70,$A$7:$E$60,3,FALSE),IF(OR(U70=49,U70=51,U70=53),"L1 - "&amp;VLOOKUP(U70,$A$7:$E$60,3,FALSE),IF(OR(U70=50,U70=52,U70=54),"L2 - "&amp;VLOOKUP(U70,$A$7:$E$60,3,FALSE)))))</f>
        <v>BP - 0</v>
      </c>
      <c r="V69" s="300" t="str">
        <f>IF(V70&lt;2,"N/A",IF(V70&lt;49,"BP - "&amp;VLOOKUP(V70,$A$7:$E$60,3,FALSE),IF(OR(V70=49,V70=51,V70=53),"L1 - "&amp;VLOOKUP(V70,$A$7:$E$60,3,FALSE),IF(OR(V70=50,V70=52,V70=54),"L2 - "&amp;VLOOKUP(V70,$A$7:$E$60,3,FALSE)))))</f>
        <v>BP - 0</v>
      </c>
      <c r="W69" s="300" t="str">
        <f>IF(W70&lt;2,"N/A",IF(W70&lt;49,"BP - "&amp;VLOOKUP(W70,$A$7:$E$60,3,FALSE),IF(OR(W70=49,W70=51,W70=53),"L1 - "&amp;VLOOKUP(W70,$A$7:$E$60,3,FALSE),IF(OR(W70=50,W70=52,W70=54),"L2 - "&amp;VLOOKUP(W70,$A$7:$E$60,3,FALSE)))))</f>
        <v>BP - 0</v>
      </c>
      <c r="X69" s="301" t="s">
        <v>100</v>
      </c>
      <c r="Y69" s="302"/>
    </row>
    <row r="70" spans="19:25" x14ac:dyDescent="0.25">
      <c r="S70" s="303"/>
      <c r="T70" s="304">
        <v>30</v>
      </c>
      <c r="U70" s="304">
        <v>30</v>
      </c>
      <c r="V70" s="304">
        <v>30</v>
      </c>
      <c r="W70" s="304">
        <v>30</v>
      </c>
      <c r="X70" s="305"/>
      <c r="Y70" s="302"/>
    </row>
    <row r="71" spans="19:25" x14ac:dyDescent="0.25">
      <c r="S71" s="303" t="s">
        <v>98</v>
      </c>
      <c r="T71" s="302">
        <f>IF(T70&lt;2,"N/A",VLOOKUP(T70,$A$7:$E$60,3,FALSE))</f>
        <v>0</v>
      </c>
      <c r="U71" s="302">
        <f>IF(U70&lt;2,"N/A",VLOOKUP(U70,$A$7:$E$60,3,FALSE))</f>
        <v>0</v>
      </c>
      <c r="V71" s="302">
        <f>IF(V70&lt;2,"N/A",VLOOKUP(V70,$A$7:$E$60,3,FALSE))</f>
        <v>0</v>
      </c>
      <c r="W71" s="302">
        <f>IF(W70&lt;2,"N/A",VLOOKUP(W70,$A$7:$E$60,3,FALSE))</f>
        <v>0</v>
      </c>
      <c r="X71" s="305">
        <f>SUM(T71:W71)</f>
        <v>0</v>
      </c>
      <c r="Y71" s="302">
        <f>COUNT(T71:V71)</f>
        <v>3</v>
      </c>
    </row>
    <row r="72" spans="19:25" x14ac:dyDescent="0.25">
      <c r="S72" s="306" t="s">
        <v>634</v>
      </c>
      <c r="T72" s="302">
        <f>IF(T70&lt;2,"N/A",VLOOKUP(T70,$A$7:$E$60,5,FALSE))</f>
        <v>0</v>
      </c>
      <c r="U72" s="302">
        <f>IF(U70&lt;2,"N/A",VLOOKUP(U70,$A$7:$E$60,5,FALSE))</f>
        <v>0</v>
      </c>
      <c r="V72" s="302">
        <f>IF(V70&lt;2,"N/A",VLOOKUP(V70,$A$7:$E$60,5,FALSE))</f>
        <v>0</v>
      </c>
      <c r="W72" s="302">
        <f>IF(W70&lt;2,"N/A",VLOOKUP(W70,$A$7:$E$60,5,FALSE))</f>
        <v>0</v>
      </c>
      <c r="X72" s="305">
        <f>SUM(T72:W72)</f>
        <v>0</v>
      </c>
      <c r="Y72" s="302"/>
    </row>
    <row r="73" spans="19:25" x14ac:dyDescent="0.25">
      <c r="S73" s="306" t="s">
        <v>631</v>
      </c>
      <c r="T73" s="302">
        <f>IF(T70&lt;2,"N/A",VLOOKUP(T70,$A$7:$F$60,6,FALSE)/2)</f>
        <v>0</v>
      </c>
      <c r="U73" s="302">
        <f>IF(U70&lt;2,"N/A",VLOOKUP(U70,$A$7:$F$60,6,FALSE)/2)</f>
        <v>0</v>
      </c>
      <c r="V73" s="302">
        <f>IF(V70&lt;2,"N/A",VLOOKUP(V70,$A$7:$F$60,6,FALSE)/2)</f>
        <v>0</v>
      </c>
      <c r="W73" s="302">
        <f>IF(W70&lt;2,"N/A",VLOOKUP(W70,$A$7:$F$60,6,FALSE)/2)</f>
        <v>0</v>
      </c>
      <c r="X73" s="302"/>
      <c r="Y73" s="302"/>
    </row>
    <row r="74" spans="19:25" ht="26.4" x14ac:dyDescent="0.25">
      <c r="S74" s="307" t="s">
        <v>632</v>
      </c>
      <c r="T74" s="308">
        <f>IF(T70&lt;2,"N/A",VLOOKUP(T70,$A$7:$I$60,9,FALSE))</f>
        <v>0</v>
      </c>
      <c r="U74" s="308">
        <f>IF(U70&lt;2,"N/A",VLOOKUP(U70,$A$7:$I$60,9,FALSE))</f>
        <v>0</v>
      </c>
      <c r="V74" s="308">
        <f>IF(V70&lt;2,"N/A",VLOOKUP(V70,$A$7:$I$60,9,FALSE))</f>
        <v>0</v>
      </c>
      <c r="W74" s="308">
        <f>IF(W70&lt;2,"N/A",VLOOKUP(W70,$A$7:$I$60,9,FALSE))</f>
        <v>0</v>
      </c>
      <c r="X74" s="309">
        <f>SQRT(SUMSQ(T74:W74))</f>
        <v>0</v>
      </c>
      <c r="Y74" s="302"/>
    </row>
    <row r="75" spans="19:25" x14ac:dyDescent="0.25">
      <c r="S75" s="302"/>
      <c r="T75" s="302"/>
      <c r="U75" s="302"/>
      <c r="V75" s="302"/>
      <c r="W75" s="302"/>
      <c r="X75" s="302"/>
      <c r="Y75" s="302"/>
    </row>
    <row r="76" spans="19:25" x14ac:dyDescent="0.25">
      <c r="S76" s="302"/>
      <c r="T76" s="302"/>
      <c r="U76" s="302"/>
      <c r="V76" s="302"/>
      <c r="W76" s="302"/>
      <c r="X76" s="302"/>
      <c r="Y76" s="302"/>
    </row>
    <row r="77" spans="19:25" x14ac:dyDescent="0.25">
      <c r="S77" s="299"/>
      <c r="T77" s="300" t="str">
        <f>IF(T78&lt;2,"N/A",IF(T78&lt;49,"BP - "&amp;VLOOKUP(T78,$A$7:$E$60,3,FALSE),IF(OR(T78=49,T78=51,T78=53),"L1 - "&amp;VLOOKUP(T78,$A$7:$E$60,3,FALSE),IF(OR(T78=50,T78=52,T78=54),"L2 - "&amp;VLOOKUP(T78,$A$7:$E$60,3,FALSE)))))</f>
        <v>BP - 0</v>
      </c>
      <c r="U77" s="300" t="str">
        <f>IF(U78&lt;2,"N/A",IF(U78&lt;49,"BP - "&amp;VLOOKUP(U78,$A$7:$E$60,3,FALSE),IF(OR(U78=49,U78=51,U78=53),"L1 - "&amp;VLOOKUP(U78,$A$7:$E$60,3,FALSE),IF(OR(U78=50,U78=52,U78=54),"L2 - "&amp;VLOOKUP(U78,$A$7:$E$60,3,FALSE)))))</f>
        <v>BP - 0</v>
      </c>
      <c r="V77" s="300" t="str">
        <f>IF(V78&lt;2,"N/A",IF(V78&lt;49,"BP - "&amp;VLOOKUP(V78,$A$7:$E$60,3,FALSE),IF(OR(V78=49,V78=51,V78=53),"L1 - "&amp;VLOOKUP(V78,$A$7:$E$60,3,FALSE),IF(OR(V78=50,V78=52,V78=54),"L2 - "&amp;VLOOKUP(V78,$A$7:$E$60,3,FALSE)))))</f>
        <v>BP - 0</v>
      </c>
      <c r="W77" s="300" t="str">
        <f>IF(W78&lt;2,"N/A",IF(W78&lt;49,"BP - "&amp;VLOOKUP(W78,$A$7:$E$60,3,FALSE),IF(OR(W78=49,W78=51,W78=53),"L1 - "&amp;VLOOKUP(W78,$A$7:$E$60,3,FALSE),IF(OR(W78=50,W78=52,W78=54),"L2 - "&amp;VLOOKUP(W78,$A$7:$E$60,3,FALSE)))))</f>
        <v>BP - 0</v>
      </c>
      <c r="X77" s="301" t="s">
        <v>100</v>
      </c>
      <c r="Y77" s="302"/>
    </row>
    <row r="78" spans="19:25" x14ac:dyDescent="0.25">
      <c r="S78" s="303"/>
      <c r="T78" s="304">
        <v>30</v>
      </c>
      <c r="U78" s="304">
        <v>30</v>
      </c>
      <c r="V78" s="304">
        <v>30</v>
      </c>
      <c r="W78" s="304">
        <v>30</v>
      </c>
      <c r="X78" s="305"/>
      <c r="Y78" s="302"/>
    </row>
    <row r="79" spans="19:25" x14ac:dyDescent="0.25">
      <c r="S79" s="303" t="s">
        <v>98</v>
      </c>
      <c r="T79" s="302">
        <f>IF(T78&lt;2,"N/A",VLOOKUP(T78,$A$7:$E$60,3,FALSE))</f>
        <v>0</v>
      </c>
      <c r="U79" s="302">
        <f>IF(U78&lt;2,"N/A",VLOOKUP(U78,$A$7:$E$60,3,FALSE))</f>
        <v>0</v>
      </c>
      <c r="V79" s="302">
        <f>IF(V78&lt;2,"N/A",VLOOKUP(V78,$A$7:$E$60,3,FALSE))</f>
        <v>0</v>
      </c>
      <c r="W79" s="302">
        <f>IF(W78&lt;2,"N/A",VLOOKUP(W78,$A$7:$E$60,3,FALSE))</f>
        <v>0</v>
      </c>
      <c r="X79" s="305">
        <f>SUM(T79:W79)</f>
        <v>0</v>
      </c>
      <c r="Y79" s="302">
        <f>COUNT(T79:V79)</f>
        <v>3</v>
      </c>
    </row>
    <row r="80" spans="19:25" x14ac:dyDescent="0.25">
      <c r="S80" s="306" t="s">
        <v>634</v>
      </c>
      <c r="T80" s="302">
        <f>IF(T78&lt;2,"N/A",VLOOKUP(T78,$A$7:$E$60,5,FALSE))</f>
        <v>0</v>
      </c>
      <c r="U80" s="302">
        <f>IF(U78&lt;2,"N/A",VLOOKUP(U78,$A$7:$E$60,5,FALSE))</f>
        <v>0</v>
      </c>
      <c r="V80" s="302">
        <f>IF(V78&lt;2,"N/A",VLOOKUP(V78,$A$7:$E$60,5,FALSE))</f>
        <v>0</v>
      </c>
      <c r="W80" s="302">
        <f>IF(W78&lt;2,"N/A",VLOOKUP(W78,$A$7:$E$60,5,FALSE))</f>
        <v>0</v>
      </c>
      <c r="X80" s="305">
        <f>SUM(T80:W80)</f>
        <v>0</v>
      </c>
      <c r="Y80" s="302"/>
    </row>
    <row r="81" spans="19:25" x14ac:dyDescent="0.25">
      <c r="S81" s="306" t="s">
        <v>631</v>
      </c>
      <c r="T81" s="302">
        <f>IF(T78&lt;2,"N/A",VLOOKUP(T78,$A$7:$F$60,6,FALSE)/2)</f>
        <v>0</v>
      </c>
      <c r="U81" s="302">
        <f>IF(U78&lt;2,"N/A",VLOOKUP(U78,$A$7:$F$60,6,FALSE)/2)</f>
        <v>0</v>
      </c>
      <c r="V81" s="302">
        <f>IF(V78&lt;2,"N/A",VLOOKUP(V78,$A$7:$F$60,6,FALSE)/2)</f>
        <v>0</v>
      </c>
      <c r="W81" s="302">
        <f>IF(W78&lt;2,"N/A",VLOOKUP(W78,$A$7:$F$60,6,FALSE)/2)</f>
        <v>0</v>
      </c>
      <c r="X81" s="656">
        <f>SQRT(SUMSQ(T82:W82))</f>
        <v>0</v>
      </c>
      <c r="Y81" s="302"/>
    </row>
    <row r="82" spans="19:25" ht="26.4" x14ac:dyDescent="0.25">
      <c r="S82" s="307" t="s">
        <v>632</v>
      </c>
      <c r="T82" s="308">
        <f>IF(T78&lt;2,"N/A",VLOOKUP(T78,$A$7:$I$60,9,FALSE))</f>
        <v>0</v>
      </c>
      <c r="U82" s="308">
        <f>IF(U78&lt;2,"N/A",VLOOKUP(U78,$A$7:$I$60,9,FALSE))</f>
        <v>0</v>
      </c>
      <c r="V82" s="308">
        <f>IF(V78&lt;2,"N/A",VLOOKUP(V78,$A$7:$I$60,9,FALSE))</f>
        <v>0</v>
      </c>
      <c r="W82" s="308">
        <f>IF(W78&lt;2,"N/A",VLOOKUP(W78,$A$7:$I$60,9,FALSE))</f>
        <v>0</v>
      </c>
      <c r="X82" s="657"/>
      <c r="Y82" s="302"/>
    </row>
    <row r="83" spans="19:25" x14ac:dyDescent="0.25">
      <c r="S83" s="302"/>
      <c r="T83" s="302"/>
      <c r="U83" s="302"/>
      <c r="V83" s="302"/>
      <c r="W83" s="302"/>
      <c r="X83" s="302"/>
      <c r="Y83" s="302"/>
    </row>
  </sheetData>
  <sheetProtection formatCells="0"/>
  <mergeCells count="10">
    <mergeCell ref="X81:X82"/>
    <mergeCell ref="Z3:AG3"/>
    <mergeCell ref="D5:D6"/>
    <mergeCell ref="A5:A6"/>
    <mergeCell ref="K3:M3"/>
    <mergeCell ref="O3:Q3"/>
    <mergeCell ref="S3:X3"/>
    <mergeCell ref="B41:H41"/>
    <mergeCell ref="A42:A43"/>
    <mergeCell ref="C42:C43"/>
  </mergeCells>
  <phoneticPr fontId="26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BD Clientes</vt:lpstr>
      <vt:lpstr>Usuarios &amp; Privilegios</vt:lpstr>
      <vt:lpstr>Home</vt:lpstr>
      <vt:lpstr>NI-R01-MCIT-D-01</vt:lpstr>
      <vt:lpstr>Identificaciones</vt:lpstr>
      <vt:lpstr>Resultados</vt:lpstr>
      <vt:lpstr>Error Abbe</vt:lpstr>
      <vt:lpstr>Grados Efectivos de Libertad</vt:lpstr>
      <vt:lpstr>Datos Patrones</vt:lpstr>
      <vt:lpstr>Datos Etiqueta</vt:lpstr>
      <vt:lpstr>DA (mm)</vt:lpstr>
      <vt:lpstr>FA (mm)</vt:lpstr>
      <vt:lpstr>MATRIZ DE REGISTRO</vt:lpstr>
      <vt:lpstr>Datos de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Morales</dc:creator>
  <cp:lastModifiedBy>User</cp:lastModifiedBy>
  <cp:lastPrinted>2023-02-07T02:28:52Z</cp:lastPrinted>
  <dcterms:created xsi:type="dcterms:W3CDTF">1998-09-28T20:02:57Z</dcterms:created>
  <dcterms:modified xsi:type="dcterms:W3CDTF">2024-04-11T03:39:41Z</dcterms:modified>
</cp:coreProperties>
</file>