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METROCAL\Metrocal-admin-backend\src\modules\mail\templates\excels\"/>
    </mc:Choice>
  </mc:AlternateContent>
  <xr:revisionPtr revIDLastSave="0" documentId="13_ncr:1_{17686883-ED7C-4155-80A1-8D8ED37BB106}" xr6:coauthVersionLast="47" xr6:coauthVersionMax="47" xr10:uidLastSave="{00000000-0000-0000-0000-000000000000}"/>
  <bookViews>
    <workbookView xWindow="28680" yWindow="2490" windowWidth="20730" windowHeight="11040" tabRatio="807" firstSheet="1" activeTab="10" xr2:uid="{00000000-000D-0000-FFFF-FFFF00000000}"/>
  </bookViews>
  <sheets>
    <sheet name="Identificaciones" sheetId="21" r:id="rId1"/>
    <sheet name="BD Clientes" sheetId="35" r:id="rId2"/>
    <sheet name="NI-R01-MCIT-D-02" sheetId="37" r:id="rId3"/>
    <sheet name="Resultados" sheetId="27" r:id="rId4"/>
    <sheet name="Datos Generales" sheetId="26" state="hidden" r:id="rId5"/>
    <sheet name="Patrones" sheetId="28" r:id="rId6"/>
    <sheet name="Grados de Libertad" sheetId="29" r:id="rId7"/>
    <sheet name="Hoja1" sheetId="36" state="hidden" r:id="rId8"/>
    <sheet name="Datos de Etiquetas" sheetId="32" r:id="rId9"/>
    <sheet name="DA (mm)" sheetId="31" r:id="rId10"/>
    <sheet name="FA (mm)" sheetId="34" r:id="rId11"/>
  </sheets>
  <externalReferences>
    <externalReference r:id="rId12"/>
    <externalReference r:id="rId13"/>
    <externalReference r:id="rId14"/>
    <externalReference r:id="rId15"/>
  </externalReferences>
  <definedNames>
    <definedName name="CertDate">[1]General!$F$5</definedName>
    <definedName name="CertHR">[1]General!$I$13</definedName>
    <definedName name="CertHRIncerti">[1]General!$I$14</definedName>
    <definedName name="CertNum">[1]General!$F$3</definedName>
    <definedName name="CertPres">[1]General!$I$18</definedName>
    <definedName name="CertPresIncert">[1]General!$I$19</definedName>
    <definedName name="CertTempC">[1]General!$I$8</definedName>
    <definedName name="CertTempFin">[1]General!$I$7</definedName>
    <definedName name="CertTempIncerti">[1]General!$I$9</definedName>
    <definedName name="CertTempIni">[1]General!$I$6</definedName>
    <definedName name="coef_unidad">[1]Calibración!$D$8</definedName>
    <definedName name="decim">[1]Calibración!$E$9</definedName>
    <definedName name="dif_alt">[1]Calibración!$M$4</definedName>
    <definedName name="DivEscala">[1]General!$F$15</definedName>
    <definedName name="DivEscalaPatr">[1]Calibración!$I$4</definedName>
    <definedName name="EquipoCode">[1]General!$F$6</definedName>
    <definedName name="EquipoTipo">[1]General!$F$7</definedName>
    <definedName name="Incert_Pozo">[1]Calibración!#REF!</definedName>
    <definedName name="medio">[1]Calibración!$M$5</definedName>
    <definedName name="NumPuntosCalib">[1]Calibración!$V$52</definedName>
    <definedName name="NumPuntosCalib2">[1]Calibración!$AB$52</definedName>
    <definedName name="RangoMed_max">[1]General!$F$14</definedName>
    <definedName name="RangoMed_min">[1]General!$F$13</definedName>
    <definedName name="ResolInst">[1]Calibración!$E$4</definedName>
    <definedName name="tblComp_U">[1]!tblCompU[#Data]</definedName>
    <definedName name="uni">'[2]Entrada de datos'!$L$1:$L$3</definedName>
    <definedName name="unidad">[1]Calibración!$E$8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34" l="1"/>
  <c r="G39" i="34"/>
  <c r="O20" i="34"/>
  <c r="O18" i="34"/>
  <c r="O19" i="34" s="1"/>
  <c r="O17" i="34"/>
  <c r="Q16" i="34"/>
  <c r="O16" i="34"/>
  <c r="O15" i="34"/>
  <c r="O14" i="34"/>
  <c r="O13" i="34"/>
  <c r="O12" i="34"/>
  <c r="O11" i="34"/>
  <c r="O9" i="34"/>
  <c r="O8" i="34"/>
  <c r="O7" i="34"/>
  <c r="G46" i="31"/>
  <c r="G45" i="31"/>
  <c r="O21" i="31"/>
  <c r="O19" i="31" l="1"/>
  <c r="O20" i="31" s="1"/>
  <c r="O18" i="31"/>
  <c r="Q17" i="31"/>
  <c r="O17" i="31"/>
  <c r="O16" i="31"/>
  <c r="O15" i="31"/>
  <c r="O14" i="31"/>
  <c r="O13" i="31"/>
  <c r="O12" i="31"/>
  <c r="O10" i="31"/>
  <c r="O9" i="31"/>
  <c r="O8" i="31"/>
  <c r="F21" i="27"/>
  <c r="G21" i="27"/>
  <c r="H21" i="27"/>
  <c r="I21" i="27"/>
  <c r="J21" i="27"/>
  <c r="K21" i="27"/>
  <c r="L21" i="27"/>
  <c r="M21" i="27"/>
  <c r="N21" i="27"/>
  <c r="F22" i="27"/>
  <c r="G22" i="27"/>
  <c r="H22" i="27"/>
  <c r="I22" i="27"/>
  <c r="J22" i="27"/>
  <c r="K22" i="27"/>
  <c r="L22" i="27"/>
  <c r="M22" i="27"/>
  <c r="N22" i="27"/>
  <c r="F23" i="27"/>
  <c r="G23" i="27"/>
  <c r="H23" i="27"/>
  <c r="I23" i="27"/>
  <c r="J23" i="27"/>
  <c r="K23" i="27"/>
  <c r="L23" i="27"/>
  <c r="M23" i="27"/>
  <c r="N23" i="27"/>
  <c r="F24" i="27"/>
  <c r="G24" i="27"/>
  <c r="H24" i="27"/>
  <c r="I24" i="27"/>
  <c r="J24" i="27"/>
  <c r="K24" i="27"/>
  <c r="L24" i="27"/>
  <c r="M24" i="27"/>
  <c r="N24" i="27"/>
  <c r="F25" i="27"/>
  <c r="G25" i="27"/>
  <c r="H25" i="27"/>
  <c r="I25" i="27"/>
  <c r="J25" i="27"/>
  <c r="K25" i="27"/>
  <c r="L25" i="27"/>
  <c r="M25" i="27"/>
  <c r="N25" i="27"/>
  <c r="F26" i="27"/>
  <c r="G26" i="27"/>
  <c r="H26" i="27"/>
  <c r="I26" i="27"/>
  <c r="J26" i="27"/>
  <c r="K26" i="27"/>
  <c r="L26" i="27"/>
  <c r="M26" i="27"/>
  <c r="N26" i="27"/>
  <c r="F27" i="27"/>
  <c r="G27" i="27"/>
  <c r="H27" i="27"/>
  <c r="I27" i="27"/>
  <c r="J27" i="27"/>
  <c r="K27" i="27"/>
  <c r="L27" i="27"/>
  <c r="M27" i="27"/>
  <c r="N27" i="27"/>
  <c r="F28" i="27"/>
  <c r="G28" i="27"/>
  <c r="H28" i="27"/>
  <c r="I28" i="27"/>
  <c r="J28" i="27"/>
  <c r="K28" i="27"/>
  <c r="L28" i="27"/>
  <c r="M28" i="27"/>
  <c r="N28" i="27"/>
  <c r="F29" i="27"/>
  <c r="G29" i="27"/>
  <c r="H29" i="27"/>
  <c r="I29" i="27"/>
  <c r="J29" i="27"/>
  <c r="K29" i="27"/>
  <c r="L29" i="27"/>
  <c r="M29" i="27"/>
  <c r="N29" i="27"/>
  <c r="F30" i="27"/>
  <c r="G30" i="27"/>
  <c r="H30" i="27"/>
  <c r="I30" i="27"/>
  <c r="J30" i="27"/>
  <c r="K30" i="27"/>
  <c r="L30" i="27"/>
  <c r="M30" i="27"/>
  <c r="N30" i="27"/>
  <c r="F31" i="27"/>
  <c r="G31" i="27"/>
  <c r="H31" i="27"/>
  <c r="I31" i="27"/>
  <c r="J31" i="27"/>
  <c r="K31" i="27"/>
  <c r="L31" i="27"/>
  <c r="M31" i="27"/>
  <c r="N31" i="27"/>
  <c r="E22" i="27"/>
  <c r="E23" i="27"/>
  <c r="E24" i="27"/>
  <c r="E25" i="27"/>
  <c r="E26" i="27"/>
  <c r="E27" i="27"/>
  <c r="E28" i="27"/>
  <c r="E29" i="27"/>
  <c r="E30" i="27"/>
  <c r="E31" i="27"/>
  <c r="E21" i="27"/>
  <c r="C11" i="27"/>
  <c r="D11" i="27"/>
  <c r="E11" i="27"/>
  <c r="F11" i="27"/>
  <c r="G11" i="27"/>
  <c r="H11" i="27"/>
  <c r="I11" i="27"/>
  <c r="J11" i="27"/>
  <c r="K11" i="27"/>
  <c r="B11" i="27"/>
  <c r="G35" i="37"/>
  <c r="G30" i="37"/>
  <c r="A31" i="37"/>
  <c r="S69" i="28" l="1"/>
  <c r="R69" i="28"/>
  <c r="Q69" i="28"/>
  <c r="P69" i="28"/>
  <c r="O69" i="28"/>
  <c r="N69" i="28"/>
  <c r="M69" i="28"/>
  <c r="L69" i="28"/>
  <c r="S68" i="28"/>
  <c r="R68" i="28"/>
  <c r="Q68" i="28"/>
  <c r="P68" i="28"/>
  <c r="O68" i="28"/>
  <c r="N68" i="28"/>
  <c r="M68" i="28"/>
  <c r="L68" i="28"/>
  <c r="S67" i="28"/>
  <c r="R67" i="28"/>
  <c r="Q67" i="28"/>
  <c r="P67" i="28"/>
  <c r="O67" i="28"/>
  <c r="N67" i="28"/>
  <c r="M67" i="28"/>
  <c r="L67" i="28"/>
  <c r="S65" i="28"/>
  <c r="R65" i="28"/>
  <c r="Q65" i="28"/>
  <c r="P65" i="28"/>
  <c r="O65" i="28"/>
  <c r="N65" i="28"/>
  <c r="M65" i="28"/>
  <c r="L65" i="28"/>
  <c r="W32" i="27"/>
  <c r="O31" i="27"/>
  <c r="P31" i="27"/>
  <c r="T67" i="28" l="1"/>
  <c r="T68" i="28"/>
  <c r="T69" i="28"/>
  <c r="Z32" i="27"/>
  <c r="P30" i="27"/>
  <c r="O23" i="27"/>
  <c r="O22" i="27"/>
  <c r="O21" i="27"/>
  <c r="M11" i="27"/>
  <c r="L11" i="27"/>
  <c r="C31" i="27" l="1"/>
  <c r="B31" i="27"/>
  <c r="C160" i="29"/>
  <c r="B161" i="29"/>
  <c r="C145" i="29"/>
  <c r="C130" i="29"/>
  <c r="C113" i="29"/>
  <c r="B161" i="36"/>
  <c r="E161" i="36" s="1"/>
  <c r="A161" i="36"/>
  <c r="B160" i="36"/>
  <c r="E160" i="36" s="1"/>
  <c r="B159" i="36"/>
  <c r="E159" i="36" s="1"/>
  <c r="B158" i="36"/>
  <c r="E158" i="36" s="1"/>
  <c r="C157" i="36"/>
  <c r="B157" i="36"/>
  <c r="C156" i="36"/>
  <c r="B156" i="36"/>
  <c r="C155" i="36"/>
  <c r="B155" i="36"/>
  <c r="C154" i="36"/>
  <c r="B154" i="36"/>
  <c r="C153" i="36"/>
  <c r="B153" i="36"/>
  <c r="C152" i="36"/>
  <c r="B152" i="36"/>
  <c r="B146" i="36"/>
  <c r="E146" i="36" s="1"/>
  <c r="A146" i="36"/>
  <c r="B145" i="36"/>
  <c r="E145" i="36" s="1"/>
  <c r="B144" i="36"/>
  <c r="E144" i="36" s="1"/>
  <c r="B143" i="36"/>
  <c r="E143" i="36" s="1"/>
  <c r="C142" i="36"/>
  <c r="B142" i="36"/>
  <c r="C141" i="36"/>
  <c r="B141" i="36"/>
  <c r="C140" i="36"/>
  <c r="B140" i="36"/>
  <c r="C139" i="36"/>
  <c r="B139" i="36"/>
  <c r="C138" i="36"/>
  <c r="B138" i="36"/>
  <c r="C137" i="36"/>
  <c r="B137" i="36"/>
  <c r="B131" i="36"/>
  <c r="E131" i="36" s="1"/>
  <c r="A131" i="36"/>
  <c r="B130" i="36"/>
  <c r="E130" i="36" s="1"/>
  <c r="B129" i="36"/>
  <c r="E129" i="36" s="1"/>
  <c r="B128" i="36"/>
  <c r="E128" i="36" s="1"/>
  <c r="C127" i="36"/>
  <c r="B127" i="36"/>
  <c r="C126" i="36"/>
  <c r="B126" i="36"/>
  <c r="C125" i="36"/>
  <c r="B125" i="36"/>
  <c r="C124" i="36"/>
  <c r="B124" i="36"/>
  <c r="C123" i="36"/>
  <c r="B123" i="36"/>
  <c r="C122" i="36"/>
  <c r="B122" i="36"/>
  <c r="C113" i="36"/>
  <c r="B113" i="36"/>
  <c r="C112" i="36"/>
  <c r="C111" i="36"/>
  <c r="C110" i="36"/>
  <c r="C109" i="36"/>
  <c r="C108" i="36"/>
  <c r="C107" i="36"/>
  <c r="C98" i="36"/>
  <c r="C83" i="36"/>
  <c r="C68" i="36"/>
  <c r="C53" i="36"/>
  <c r="C38" i="36"/>
  <c r="C22" i="36"/>
  <c r="C9" i="36"/>
  <c r="B6" i="36"/>
  <c r="E122" i="36" l="1"/>
  <c r="E124" i="36"/>
  <c r="E126" i="36"/>
  <c r="E153" i="36"/>
  <c r="E155" i="36"/>
  <c r="E157" i="36"/>
  <c r="E137" i="36"/>
  <c r="E139" i="36"/>
  <c r="E141" i="36"/>
  <c r="E113" i="36"/>
  <c r="E123" i="36"/>
  <c r="E125" i="36"/>
  <c r="E127" i="36"/>
  <c r="E152" i="36"/>
  <c r="E154" i="36"/>
  <c r="E156" i="36"/>
  <c r="E138" i="36"/>
  <c r="E140" i="36"/>
  <c r="E142" i="36"/>
  <c r="E147" i="36" l="1"/>
  <c r="G147" i="36" s="1"/>
  <c r="G148" i="36" s="1"/>
  <c r="G149" i="36" s="1"/>
  <c r="E132" i="36"/>
  <c r="G132" i="36" s="1"/>
  <c r="G133" i="36" s="1"/>
  <c r="G134" i="36" s="1"/>
  <c r="E162" i="36"/>
  <c r="G162" i="36" s="1"/>
  <c r="G163" i="36" s="1"/>
  <c r="G164" i="36" s="1"/>
  <c r="W31" i="27"/>
  <c r="W30" i="27"/>
  <c r="W29" i="27"/>
  <c r="W28" i="27"/>
  <c r="L35" i="28"/>
  <c r="L41" i="28"/>
  <c r="L43" i="28"/>
  <c r="L25" i="28"/>
  <c r="L29" i="28"/>
  <c r="S63" i="28"/>
  <c r="R63" i="28"/>
  <c r="Q63" i="28"/>
  <c r="P63" i="28"/>
  <c r="O63" i="28"/>
  <c r="N63" i="28"/>
  <c r="M63" i="28"/>
  <c r="L63" i="28"/>
  <c r="S62" i="28"/>
  <c r="R62" i="28"/>
  <c r="Q62" i="28"/>
  <c r="P62" i="28"/>
  <c r="O62" i="28"/>
  <c r="N62" i="28"/>
  <c r="M62" i="28"/>
  <c r="L62" i="28"/>
  <c r="S61" i="28"/>
  <c r="R61" i="28"/>
  <c r="Q61" i="28"/>
  <c r="P61" i="28"/>
  <c r="O61" i="28"/>
  <c r="N61" i="28"/>
  <c r="M61" i="28"/>
  <c r="L61" i="28"/>
  <c r="S59" i="28"/>
  <c r="R59" i="28"/>
  <c r="Q59" i="28"/>
  <c r="P59" i="28"/>
  <c r="O59" i="28"/>
  <c r="N59" i="28"/>
  <c r="M59" i="28"/>
  <c r="L59" i="28"/>
  <c r="S57" i="28"/>
  <c r="R57" i="28"/>
  <c r="Q57" i="28"/>
  <c r="P57" i="28"/>
  <c r="O57" i="28"/>
  <c r="N57" i="28"/>
  <c r="M57" i="28"/>
  <c r="L57" i="28"/>
  <c r="S56" i="28"/>
  <c r="R56" i="28"/>
  <c r="Q56" i="28"/>
  <c r="P56" i="28"/>
  <c r="O56" i="28"/>
  <c r="N56" i="28"/>
  <c r="M56" i="28"/>
  <c r="L56" i="28"/>
  <c r="S55" i="28"/>
  <c r="R55" i="28"/>
  <c r="Q55" i="28"/>
  <c r="P55" i="28"/>
  <c r="O55" i="28"/>
  <c r="N55" i="28"/>
  <c r="M55" i="28"/>
  <c r="L55" i="28"/>
  <c r="S53" i="28"/>
  <c r="R53" i="28"/>
  <c r="Q53" i="28"/>
  <c r="P53" i="28"/>
  <c r="O53" i="28"/>
  <c r="N53" i="28"/>
  <c r="M53" i="28"/>
  <c r="L53" i="28"/>
  <c r="S51" i="28"/>
  <c r="R51" i="28"/>
  <c r="Q51" i="28"/>
  <c r="P51" i="28"/>
  <c r="O51" i="28"/>
  <c r="N51" i="28"/>
  <c r="M51" i="28"/>
  <c r="L51" i="28"/>
  <c r="S50" i="28"/>
  <c r="R50" i="28"/>
  <c r="Q50" i="28"/>
  <c r="P50" i="28"/>
  <c r="O50" i="28"/>
  <c r="N50" i="28"/>
  <c r="M50" i="28"/>
  <c r="L50" i="28"/>
  <c r="S49" i="28"/>
  <c r="R49" i="28"/>
  <c r="Q49" i="28"/>
  <c r="P49" i="28"/>
  <c r="O49" i="28"/>
  <c r="N49" i="28"/>
  <c r="M49" i="28"/>
  <c r="L49" i="28"/>
  <c r="S47" i="28"/>
  <c r="R47" i="28"/>
  <c r="Q47" i="28"/>
  <c r="P47" i="28"/>
  <c r="O47" i="28"/>
  <c r="N47" i="28"/>
  <c r="M47" i="28"/>
  <c r="L47" i="28"/>
  <c r="S45" i="28"/>
  <c r="R45" i="28"/>
  <c r="Q45" i="28"/>
  <c r="P45" i="28"/>
  <c r="O45" i="28"/>
  <c r="N45" i="28"/>
  <c r="M45" i="28"/>
  <c r="L45" i="28"/>
  <c r="S44" i="28"/>
  <c r="R44" i="28"/>
  <c r="Q44" i="28"/>
  <c r="P44" i="28"/>
  <c r="O44" i="28"/>
  <c r="N44" i="28"/>
  <c r="M44" i="28"/>
  <c r="L44" i="28"/>
  <c r="S43" i="28"/>
  <c r="R43" i="28"/>
  <c r="Q43" i="28"/>
  <c r="P43" i="28"/>
  <c r="O43" i="28"/>
  <c r="N43" i="28"/>
  <c r="M43" i="28"/>
  <c r="S41" i="28"/>
  <c r="R41" i="28"/>
  <c r="Q41" i="28"/>
  <c r="P41" i="28"/>
  <c r="O41" i="28"/>
  <c r="N41" i="28"/>
  <c r="M41" i="28"/>
  <c r="O27" i="27"/>
  <c r="P27" i="27"/>
  <c r="O28" i="27"/>
  <c r="P28" i="27"/>
  <c r="O29" i="27"/>
  <c r="P29" i="27"/>
  <c r="O30" i="27"/>
  <c r="Z30" i="27" l="1"/>
  <c r="B141" i="29" s="1"/>
  <c r="B138" i="29"/>
  <c r="Z31" i="27"/>
  <c r="B156" i="29" s="1"/>
  <c r="B153" i="29"/>
  <c r="Z29" i="27"/>
  <c r="B126" i="29" s="1"/>
  <c r="B123" i="29"/>
  <c r="Z28" i="27"/>
  <c r="B111" i="29" s="1"/>
  <c r="B108" i="29"/>
  <c r="T43" i="28"/>
  <c r="T44" i="28"/>
  <c r="T45" i="28"/>
  <c r="T49" i="28"/>
  <c r="T50" i="28"/>
  <c r="T51" i="28"/>
  <c r="T55" i="28"/>
  <c r="T56" i="28"/>
  <c r="T61" i="28"/>
  <c r="T62" i="28"/>
  <c r="M34" i="27" s="1"/>
  <c r="T63" i="28"/>
  <c r="T57" i="28"/>
  <c r="AK122" i="27"/>
  <c r="AK123" i="27"/>
  <c r="AK124" i="27"/>
  <c r="AK121" i="27"/>
  <c r="AK103" i="27"/>
  <c r="AK104" i="27"/>
  <c r="AK105" i="27"/>
  <c r="AK106" i="27"/>
  <c r="AK102" i="27"/>
  <c r="AK88" i="27"/>
  <c r="AK85" i="27"/>
  <c r="AK86" i="27"/>
  <c r="AK87" i="27"/>
  <c r="AK84" i="27"/>
  <c r="U32" i="27" l="1"/>
  <c r="U56" i="27" s="1"/>
  <c r="C42" i="31"/>
  <c r="F42" i="31"/>
  <c r="C29" i="27"/>
  <c r="F40" i="31" s="1"/>
  <c r="B29" i="27"/>
  <c r="C30" i="27"/>
  <c r="B30" i="27"/>
  <c r="C41" i="31" s="1"/>
  <c r="B27" i="27"/>
  <c r="C38" i="31" s="1"/>
  <c r="C27" i="27"/>
  <c r="F38" i="31" s="1"/>
  <c r="B28" i="27"/>
  <c r="C39" i="31" s="1"/>
  <c r="C28" i="27"/>
  <c r="F39" i="31" s="1"/>
  <c r="J39" i="34"/>
  <c r="J45" i="31"/>
  <c r="J40" i="34"/>
  <c r="J46" i="31"/>
  <c r="F41" i="31" l="1"/>
  <c r="U30" i="27"/>
  <c r="U54" i="27" s="1"/>
  <c r="C40" i="31"/>
  <c r="L34" i="27"/>
  <c r="U31" i="27"/>
  <c r="U55" i="27" s="1"/>
  <c r="J34" i="27"/>
  <c r="U29" i="27"/>
  <c r="U53" i="27" s="1"/>
  <c r="I34" i="27"/>
  <c r="U28" i="27"/>
  <c r="U52" i="27" s="1"/>
  <c r="L8" i="28"/>
  <c r="H7" i="28"/>
  <c r="W66" i="27" l="1"/>
  <c r="A72" i="34"/>
  <c r="A73" i="34"/>
  <c r="J86" i="34"/>
  <c r="H8" i="28" l="1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D17" i="21" l="1"/>
  <c r="K34" i="21"/>
  <c r="J20" i="27" l="1"/>
  <c r="F20" i="27"/>
  <c r="G10" i="27"/>
  <c r="I20" i="27"/>
  <c r="J10" i="27"/>
  <c r="F10" i="27"/>
  <c r="H20" i="27"/>
  <c r="I10" i="27"/>
  <c r="E10" i="27"/>
  <c r="G20" i="27"/>
  <c r="H10" i="27"/>
  <c r="I36" i="28"/>
  <c r="S70" i="28" l="1"/>
  <c r="O70" i="28"/>
  <c r="R70" i="28"/>
  <c r="N70" i="28"/>
  <c r="P70" i="28"/>
  <c r="Q70" i="28"/>
  <c r="Q64" i="28"/>
  <c r="Q58" i="28"/>
  <c r="M58" i="28"/>
  <c r="Q52" i="28"/>
  <c r="Q46" i="28"/>
  <c r="O46" i="28"/>
  <c r="P64" i="28"/>
  <c r="P58" i="28"/>
  <c r="P52" i="28"/>
  <c r="P46" i="28"/>
  <c r="N52" i="28"/>
  <c r="R46" i="28"/>
  <c r="S64" i="28"/>
  <c r="O64" i="28"/>
  <c r="S58" i="28"/>
  <c r="O58" i="28"/>
  <c r="S52" i="28"/>
  <c r="O52" i="28"/>
  <c r="S46" i="28"/>
  <c r="R64" i="28"/>
  <c r="N64" i="28"/>
  <c r="R58" i="28"/>
  <c r="N58" i="28"/>
  <c r="R52" i="28"/>
  <c r="N46" i="28"/>
  <c r="M37" i="28"/>
  <c r="N37" i="28"/>
  <c r="O37" i="28"/>
  <c r="P37" i="28"/>
  <c r="Q37" i="28"/>
  <c r="R37" i="28"/>
  <c r="S37" i="28"/>
  <c r="M38" i="28"/>
  <c r="N38" i="28"/>
  <c r="O38" i="28"/>
  <c r="P38" i="28"/>
  <c r="Q38" i="28"/>
  <c r="R38" i="28"/>
  <c r="S38" i="28"/>
  <c r="M39" i="28"/>
  <c r="N39" i="28"/>
  <c r="O39" i="28"/>
  <c r="P39" i="28"/>
  <c r="Q39" i="28"/>
  <c r="R39" i="28"/>
  <c r="S39" i="28"/>
  <c r="M35" i="28"/>
  <c r="N35" i="28"/>
  <c r="O35" i="28"/>
  <c r="P35" i="28"/>
  <c r="Q35" i="28"/>
  <c r="R35" i="28"/>
  <c r="S35" i="28"/>
  <c r="L39" i="28"/>
  <c r="L38" i="28"/>
  <c r="L37" i="28"/>
  <c r="M31" i="28"/>
  <c r="N31" i="28"/>
  <c r="O31" i="28"/>
  <c r="P31" i="28"/>
  <c r="Q31" i="28"/>
  <c r="R31" i="28"/>
  <c r="S31" i="28"/>
  <c r="M32" i="28"/>
  <c r="N32" i="28"/>
  <c r="O32" i="28"/>
  <c r="P32" i="28"/>
  <c r="Q32" i="28"/>
  <c r="R32" i="28"/>
  <c r="S32" i="28"/>
  <c r="M33" i="28"/>
  <c r="N33" i="28"/>
  <c r="O33" i="28"/>
  <c r="P33" i="28"/>
  <c r="Q33" i="28"/>
  <c r="R33" i="28"/>
  <c r="S33" i="28"/>
  <c r="L33" i="28"/>
  <c r="L32" i="28"/>
  <c r="L31" i="28"/>
  <c r="M29" i="28"/>
  <c r="N29" i="28"/>
  <c r="O29" i="28"/>
  <c r="P29" i="28"/>
  <c r="Q29" i="28"/>
  <c r="R29" i="28"/>
  <c r="S29" i="28"/>
  <c r="M23" i="28"/>
  <c r="N23" i="28"/>
  <c r="O23" i="28"/>
  <c r="P23" i="28"/>
  <c r="Q23" i="28"/>
  <c r="R23" i="28"/>
  <c r="S23" i="28"/>
  <c r="L23" i="28"/>
  <c r="M17" i="28"/>
  <c r="N17" i="28"/>
  <c r="O17" i="28"/>
  <c r="P17" i="28"/>
  <c r="Q17" i="28"/>
  <c r="R17" i="28"/>
  <c r="S17" i="28"/>
  <c r="L17" i="28"/>
  <c r="M11" i="28"/>
  <c r="N11" i="28"/>
  <c r="O11" i="28"/>
  <c r="P11" i="28"/>
  <c r="Q11" i="28"/>
  <c r="R11" i="28"/>
  <c r="S11" i="28"/>
  <c r="L11" i="28"/>
  <c r="M5" i="28"/>
  <c r="N5" i="28"/>
  <c r="O5" i="28"/>
  <c r="P5" i="28"/>
  <c r="Q5" i="28"/>
  <c r="R5" i="28"/>
  <c r="S5" i="28"/>
  <c r="L5" i="28"/>
  <c r="M25" i="28"/>
  <c r="N25" i="28"/>
  <c r="O25" i="28"/>
  <c r="P25" i="28"/>
  <c r="Q25" i="28"/>
  <c r="R25" i="28"/>
  <c r="S25" i="28"/>
  <c r="M26" i="28"/>
  <c r="N26" i="28"/>
  <c r="O26" i="28"/>
  <c r="P26" i="28"/>
  <c r="Q26" i="28"/>
  <c r="R26" i="28"/>
  <c r="S26" i="28"/>
  <c r="M27" i="28"/>
  <c r="N27" i="28"/>
  <c r="O27" i="28"/>
  <c r="P27" i="28"/>
  <c r="Q27" i="28"/>
  <c r="R27" i="28"/>
  <c r="S27" i="28"/>
  <c r="L27" i="28"/>
  <c r="L26" i="28"/>
  <c r="M19" i="28"/>
  <c r="N19" i="28"/>
  <c r="O19" i="28"/>
  <c r="P19" i="28"/>
  <c r="Q19" i="28"/>
  <c r="R19" i="28"/>
  <c r="S19" i="28"/>
  <c r="M20" i="28"/>
  <c r="N20" i="28"/>
  <c r="O20" i="28"/>
  <c r="P20" i="28"/>
  <c r="Q20" i="28"/>
  <c r="R20" i="28"/>
  <c r="S20" i="28"/>
  <c r="M21" i="28"/>
  <c r="N21" i="28"/>
  <c r="O21" i="28"/>
  <c r="P21" i="28"/>
  <c r="Q21" i="28"/>
  <c r="R21" i="28"/>
  <c r="S21" i="28"/>
  <c r="L21" i="28"/>
  <c r="L20" i="28"/>
  <c r="M13" i="28"/>
  <c r="N13" i="28"/>
  <c r="O13" i="28"/>
  <c r="P13" i="28"/>
  <c r="Q13" i="28"/>
  <c r="R13" i="28"/>
  <c r="S13" i="28"/>
  <c r="M14" i="28"/>
  <c r="N14" i="28"/>
  <c r="O14" i="28"/>
  <c r="P14" i="28"/>
  <c r="Q14" i="28"/>
  <c r="R14" i="28"/>
  <c r="S14" i="28"/>
  <c r="M15" i="28"/>
  <c r="N15" i="28"/>
  <c r="O15" i="28"/>
  <c r="P15" i="28"/>
  <c r="Q15" i="28"/>
  <c r="R15" i="28"/>
  <c r="S15" i="28"/>
  <c r="L19" i="28"/>
  <c r="L15" i="28"/>
  <c r="L14" i="28"/>
  <c r="L13" i="28"/>
  <c r="M7" i="28"/>
  <c r="N7" i="28"/>
  <c r="O7" i="28"/>
  <c r="P7" i="28"/>
  <c r="Q7" i="28"/>
  <c r="R7" i="28"/>
  <c r="S7" i="28"/>
  <c r="M8" i="28"/>
  <c r="N8" i="28"/>
  <c r="O8" i="28"/>
  <c r="P8" i="28"/>
  <c r="Q8" i="28"/>
  <c r="R8" i="28"/>
  <c r="S8" i="28"/>
  <c r="M9" i="28"/>
  <c r="N9" i="28"/>
  <c r="O9" i="28"/>
  <c r="P9" i="28"/>
  <c r="Q9" i="28"/>
  <c r="R9" i="28"/>
  <c r="S9" i="28"/>
  <c r="L9" i="28"/>
  <c r="L7" i="28"/>
  <c r="T25" i="28" l="1"/>
  <c r="I7" i="28"/>
  <c r="P40" i="28" l="1"/>
  <c r="P34" i="28"/>
  <c r="P22" i="28"/>
  <c r="Q16" i="28"/>
  <c r="P10" i="28"/>
  <c r="O34" i="28"/>
  <c r="Q40" i="28"/>
  <c r="Q34" i="28"/>
  <c r="N28" i="28"/>
  <c r="Q22" i="28"/>
  <c r="R16" i="28"/>
  <c r="Q10" i="28"/>
  <c r="P16" i="28"/>
  <c r="R40" i="28"/>
  <c r="R34" i="28"/>
  <c r="O28" i="28"/>
  <c r="R22" i="28"/>
  <c r="S16" i="28"/>
  <c r="R10" i="28"/>
  <c r="N10" i="28"/>
  <c r="S40" i="28"/>
  <c r="S34" i="28"/>
  <c r="P28" i="28"/>
  <c r="S22" i="28"/>
  <c r="S10" i="28"/>
  <c r="M16" i="28"/>
  <c r="O10" i="28"/>
  <c r="Q28" i="28"/>
  <c r="M10" i="28"/>
  <c r="O22" i="28"/>
  <c r="R28" i="28"/>
  <c r="N16" i="28"/>
  <c r="N40" i="28"/>
  <c r="N34" i="28"/>
  <c r="S28" i="28"/>
  <c r="N22" i="28"/>
  <c r="O16" i="28"/>
  <c r="O40" i="28"/>
  <c r="E20" i="27"/>
  <c r="C30" i="34"/>
  <c r="F30" i="34" s="1"/>
  <c r="W29" i="34"/>
  <c r="Q29" i="34"/>
  <c r="F29" i="34"/>
  <c r="C29" i="34"/>
  <c r="T61" i="34"/>
  <c r="F4" i="32"/>
  <c r="E4" i="32"/>
  <c r="D4" i="32"/>
  <c r="C4" i="32"/>
  <c r="W30" i="31"/>
  <c r="Q30" i="31"/>
  <c r="C31" i="31"/>
  <c r="F31" i="31" s="1"/>
  <c r="F30" i="31"/>
  <c r="C30" i="31"/>
  <c r="T66" i="31"/>
  <c r="J98" i="31"/>
  <c r="A86" i="31"/>
  <c r="A85" i="31"/>
  <c r="W22" i="27"/>
  <c r="W23" i="27"/>
  <c r="W24" i="27"/>
  <c r="W25" i="27"/>
  <c r="W26" i="27"/>
  <c r="B78" i="36" s="1"/>
  <c r="W27" i="27"/>
  <c r="W21" i="27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M22" i="28" s="1"/>
  <c r="I15" i="28"/>
  <c r="I14" i="28"/>
  <c r="I13" i="28"/>
  <c r="I12" i="28"/>
  <c r="I11" i="28"/>
  <c r="L70" i="28" s="1"/>
  <c r="I10" i="28"/>
  <c r="I9" i="28"/>
  <c r="I8" i="28"/>
  <c r="L10" i="28" s="1"/>
  <c r="W63" i="27"/>
  <c r="G13" i="26"/>
  <c r="C98" i="29"/>
  <c r="C83" i="29"/>
  <c r="C68" i="29"/>
  <c r="C53" i="29"/>
  <c r="C38" i="29"/>
  <c r="C22" i="29"/>
  <c r="C9" i="29"/>
  <c r="B6" i="29"/>
  <c r="E161" i="29"/>
  <c r="A161" i="29"/>
  <c r="E159" i="29"/>
  <c r="E158" i="29"/>
  <c r="E146" i="29"/>
  <c r="A146" i="29"/>
  <c r="E144" i="29"/>
  <c r="E143" i="29"/>
  <c r="B131" i="29"/>
  <c r="E131" i="29" s="1"/>
  <c r="A131" i="29"/>
  <c r="B129" i="29"/>
  <c r="E129" i="29" s="1"/>
  <c r="E128" i="29"/>
  <c r="U45" i="27"/>
  <c r="V21" i="27"/>
  <c r="U21" i="27"/>
  <c r="AB84" i="27"/>
  <c r="AB102" i="27" s="1"/>
  <c r="G28" i="26"/>
  <c r="E42" i="26"/>
  <c r="G27" i="26"/>
  <c r="P21" i="27"/>
  <c r="P22" i="27"/>
  <c r="P23" i="27"/>
  <c r="P24" i="27"/>
  <c r="P25" i="27"/>
  <c r="P26" i="27"/>
  <c r="L74" i="28"/>
  <c r="M74" i="28"/>
  <c r="N74" i="28"/>
  <c r="O74" i="28"/>
  <c r="P74" i="28"/>
  <c r="Q74" i="28"/>
  <c r="L80" i="28"/>
  <c r="M80" i="28"/>
  <c r="N80" i="28"/>
  <c r="O80" i="28"/>
  <c r="P80" i="28"/>
  <c r="Q80" i="28"/>
  <c r="L86" i="28"/>
  <c r="M86" i="28"/>
  <c r="N86" i="28"/>
  <c r="O86" i="28"/>
  <c r="P86" i="28"/>
  <c r="Q86" i="28"/>
  <c r="L92" i="28"/>
  <c r="M92" i="28"/>
  <c r="N92" i="28"/>
  <c r="O92" i="28"/>
  <c r="P92" i="28"/>
  <c r="Q92" i="28"/>
  <c r="O24" i="27"/>
  <c r="O25" i="27"/>
  <c r="O26" i="27"/>
  <c r="L75" i="28"/>
  <c r="M75" i="28"/>
  <c r="N75" i="28"/>
  <c r="O75" i="28"/>
  <c r="P75" i="28"/>
  <c r="Q75" i="28"/>
  <c r="L81" i="28"/>
  <c r="M81" i="28"/>
  <c r="N81" i="28"/>
  <c r="O81" i="28"/>
  <c r="P81" i="28"/>
  <c r="Q81" i="28"/>
  <c r="L87" i="28"/>
  <c r="M87" i="28"/>
  <c r="N87" i="28"/>
  <c r="O87" i="28"/>
  <c r="P87" i="28"/>
  <c r="Q87" i="28"/>
  <c r="L93" i="28"/>
  <c r="M93" i="28"/>
  <c r="N93" i="28"/>
  <c r="O93" i="28"/>
  <c r="P93" i="28"/>
  <c r="Q93" i="28"/>
  <c r="S90" i="28"/>
  <c r="R90" i="28"/>
  <c r="Q90" i="28"/>
  <c r="P90" i="28"/>
  <c r="O90" i="28"/>
  <c r="N90" i="28"/>
  <c r="M90" i="28"/>
  <c r="L90" i="28"/>
  <c r="S84" i="28"/>
  <c r="R84" i="28"/>
  <c r="Q84" i="28"/>
  <c r="P84" i="28"/>
  <c r="O84" i="28"/>
  <c r="N84" i="28"/>
  <c r="M84" i="28"/>
  <c r="L84" i="28"/>
  <c r="S78" i="28"/>
  <c r="R78" i="28"/>
  <c r="Q78" i="28"/>
  <c r="P78" i="28"/>
  <c r="O78" i="28"/>
  <c r="N78" i="28"/>
  <c r="M78" i="28"/>
  <c r="L78" i="28"/>
  <c r="S93" i="28"/>
  <c r="R93" i="28"/>
  <c r="S92" i="28"/>
  <c r="R92" i="28"/>
  <c r="S87" i="28"/>
  <c r="R87" i="28"/>
  <c r="S86" i="28"/>
  <c r="R86" i="28"/>
  <c r="S81" i="28"/>
  <c r="R81" i="28"/>
  <c r="S80" i="28"/>
  <c r="R80" i="28"/>
  <c r="S75" i="28"/>
  <c r="R75" i="28"/>
  <c r="S74" i="28"/>
  <c r="R74" i="28"/>
  <c r="S72" i="28"/>
  <c r="R72" i="28"/>
  <c r="Q72" i="28"/>
  <c r="P72" i="28"/>
  <c r="O72" i="28"/>
  <c r="N72" i="28"/>
  <c r="M72" i="28"/>
  <c r="L72" i="28"/>
  <c r="E43" i="26"/>
  <c r="E44" i="26"/>
  <c r="E45" i="26"/>
  <c r="E46" i="26"/>
  <c r="E47" i="26"/>
  <c r="E48" i="26"/>
  <c r="E41" i="26"/>
  <c r="E40" i="26"/>
  <c r="G24" i="26"/>
  <c r="G25" i="26"/>
  <c r="G26" i="26"/>
  <c r="G29" i="26"/>
  <c r="G30" i="26"/>
  <c r="G31" i="26"/>
  <c r="G32" i="26"/>
  <c r="G23" i="26"/>
  <c r="B9" i="26"/>
  <c r="B35" i="26"/>
  <c r="D28" i="21" s="1"/>
  <c r="E39" i="26"/>
  <c r="D9" i="26"/>
  <c r="P20" i="27"/>
  <c r="K10" i="27"/>
  <c r="D10" i="27"/>
  <c r="C10" i="27"/>
  <c r="M20" i="27"/>
  <c r="B10" i="27"/>
  <c r="L20" i="27"/>
  <c r="L10" i="27"/>
  <c r="N11" i="27" s="1"/>
  <c r="O20" i="27"/>
  <c r="K20" i="27"/>
  <c r="N20" i="27"/>
  <c r="M10" i="27"/>
  <c r="AA56" i="27" l="1"/>
  <c r="X56" i="27"/>
  <c r="K42" i="31"/>
  <c r="N42" i="31" s="1"/>
  <c r="AB32" i="27"/>
  <c r="R31" i="27"/>
  <c r="V32" i="27" s="1"/>
  <c r="Q31" i="27"/>
  <c r="Q42" i="31" s="1"/>
  <c r="T42" i="31" s="1"/>
  <c r="M64" i="28"/>
  <c r="M70" i="28"/>
  <c r="T70" i="28" s="1"/>
  <c r="D31" i="27" s="1"/>
  <c r="R30" i="27"/>
  <c r="V31" i="27" s="1"/>
  <c r="R26" i="27"/>
  <c r="V27" i="27" s="1"/>
  <c r="B92" i="36" s="1"/>
  <c r="R22" i="27"/>
  <c r="V23" i="27" s="1"/>
  <c r="R23" i="27"/>
  <c r="V24" i="27" s="1"/>
  <c r="B47" i="36" s="1"/>
  <c r="R27" i="27"/>
  <c r="V28" i="27" s="1"/>
  <c r="R21" i="27"/>
  <c r="V22" i="27" s="1"/>
  <c r="B16" i="36" s="1"/>
  <c r="R24" i="27"/>
  <c r="V25" i="27" s="1"/>
  <c r="B62" i="36" s="1"/>
  <c r="R28" i="27"/>
  <c r="V29" i="27" s="1"/>
  <c r="R25" i="27"/>
  <c r="V26" i="27" s="1"/>
  <c r="B77" i="36" s="1"/>
  <c r="R29" i="27"/>
  <c r="V30" i="27" s="1"/>
  <c r="K39" i="31"/>
  <c r="N39" i="31" s="1"/>
  <c r="K40" i="31"/>
  <c r="N40" i="31" s="1"/>
  <c r="K41" i="31"/>
  <c r="N41" i="31" s="1"/>
  <c r="K38" i="31"/>
  <c r="N38" i="31" s="1"/>
  <c r="B93" i="29"/>
  <c r="B93" i="36"/>
  <c r="B33" i="29"/>
  <c r="B33" i="36"/>
  <c r="M46" i="28"/>
  <c r="M52" i="28"/>
  <c r="Z22" i="27"/>
  <c r="B17" i="36"/>
  <c r="Z25" i="27"/>
  <c r="B63" i="36"/>
  <c r="B3" i="29"/>
  <c r="B3" i="36"/>
  <c r="Q30" i="27"/>
  <c r="Q41" i="31" s="1"/>
  <c r="T41" i="31" s="1"/>
  <c r="B4" i="29"/>
  <c r="B4" i="36"/>
  <c r="Z24" i="27"/>
  <c r="B48" i="36"/>
  <c r="X52" i="27"/>
  <c r="C109" i="29" s="1"/>
  <c r="AA52" i="27"/>
  <c r="C112" i="29" s="1"/>
  <c r="X53" i="27"/>
  <c r="C124" i="29" s="1"/>
  <c r="AA53" i="27"/>
  <c r="C127" i="29" s="1"/>
  <c r="X54" i="27"/>
  <c r="C139" i="29" s="1"/>
  <c r="AA54" i="27"/>
  <c r="C142" i="29" s="1"/>
  <c r="X55" i="27"/>
  <c r="C154" i="29" s="1"/>
  <c r="AA55" i="27"/>
  <c r="C157" i="29" s="1"/>
  <c r="AB31" i="27"/>
  <c r="B160" i="29" s="1"/>
  <c r="E160" i="29" s="1"/>
  <c r="AB30" i="27"/>
  <c r="B145" i="29" s="1"/>
  <c r="E145" i="29" s="1"/>
  <c r="AB29" i="27"/>
  <c r="B130" i="29" s="1"/>
  <c r="E130" i="29" s="1"/>
  <c r="AB28" i="27"/>
  <c r="B113" i="29" s="1"/>
  <c r="E113" i="29" s="1"/>
  <c r="L64" i="28"/>
  <c r="L58" i="28"/>
  <c r="T58" i="28" s="1"/>
  <c r="D29" i="27" s="1"/>
  <c r="Y30" i="27" s="1"/>
  <c r="B140" i="29" s="1"/>
  <c r="L52" i="28"/>
  <c r="L46" i="28"/>
  <c r="M34" i="28"/>
  <c r="Z27" i="27"/>
  <c r="AB83" i="27"/>
  <c r="AA83" i="27" s="1"/>
  <c r="M28" i="28"/>
  <c r="L16" i="28"/>
  <c r="T16" i="28" s="1"/>
  <c r="M40" i="28"/>
  <c r="L28" i="28"/>
  <c r="L22" i="28"/>
  <c r="T22" i="28" s="1"/>
  <c r="L40" i="28"/>
  <c r="L34" i="28"/>
  <c r="X51" i="27"/>
  <c r="AB121" i="27"/>
  <c r="AB101" i="27"/>
  <c r="AD101" i="27" s="1"/>
  <c r="B17" i="29"/>
  <c r="K32" i="34"/>
  <c r="B63" i="29"/>
  <c r="B48" i="29"/>
  <c r="X45" i="27"/>
  <c r="X50" i="27"/>
  <c r="Z23" i="27"/>
  <c r="T86" i="28"/>
  <c r="T13" i="28"/>
  <c r="B22" i="27" s="1"/>
  <c r="D34" i="27" s="1"/>
  <c r="T19" i="28"/>
  <c r="B23" i="27" s="1"/>
  <c r="T92" i="28"/>
  <c r="T37" i="28"/>
  <c r="B26" i="27" s="1"/>
  <c r="B24" i="27"/>
  <c r="C35" i="31" s="1"/>
  <c r="T26" i="28"/>
  <c r="T80" i="28"/>
  <c r="T75" i="28"/>
  <c r="T20" i="28"/>
  <c r="T93" i="28"/>
  <c r="T32" i="28"/>
  <c r="T87" i="28"/>
  <c r="T8" i="28"/>
  <c r="T7" i="28"/>
  <c r="T39" i="28"/>
  <c r="T27" i="28"/>
  <c r="T9" i="28"/>
  <c r="T15" i="28"/>
  <c r="T33" i="28"/>
  <c r="T10" i="28"/>
  <c r="Q31" i="31"/>
  <c r="T31" i="31" s="1"/>
  <c r="Q30" i="34"/>
  <c r="T30" i="34" s="1"/>
  <c r="T31" i="28"/>
  <c r="B78" i="29"/>
  <c r="Z26" i="27"/>
  <c r="T74" i="28"/>
  <c r="T21" i="28"/>
  <c r="T38" i="28"/>
  <c r="T14" i="28"/>
  <c r="K30" i="34"/>
  <c r="K31" i="31"/>
  <c r="N31" i="31" s="1"/>
  <c r="T81" i="28"/>
  <c r="K36" i="34"/>
  <c r="AB27" i="27"/>
  <c r="AB26" i="27"/>
  <c r="X47" i="27"/>
  <c r="AB25" i="27"/>
  <c r="Z21" i="27"/>
  <c r="K31" i="34"/>
  <c r="AB21" i="27"/>
  <c r="K33" i="31"/>
  <c r="N33" i="31" s="1"/>
  <c r="K37" i="31"/>
  <c r="N37" i="31" s="1"/>
  <c r="X48" i="27"/>
  <c r="K34" i="34"/>
  <c r="AB24" i="27"/>
  <c r="X46" i="27"/>
  <c r="X49" i="27"/>
  <c r="K35" i="34"/>
  <c r="K33" i="34"/>
  <c r="K36" i="31"/>
  <c r="N36" i="31" s="1"/>
  <c r="AB22" i="27"/>
  <c r="K34" i="31"/>
  <c r="N34" i="31" s="1"/>
  <c r="AA45" i="27"/>
  <c r="K32" i="31"/>
  <c r="N32" i="31" s="1"/>
  <c r="AB23" i="27"/>
  <c r="K35" i="31"/>
  <c r="N35" i="31" s="1"/>
  <c r="T64" i="28" l="1"/>
  <c r="D30" i="27"/>
  <c r="Y31" i="27" s="1"/>
  <c r="B155" i="29" s="1"/>
  <c r="Y32" i="27"/>
  <c r="T46" i="28"/>
  <c r="D27" i="27" s="1"/>
  <c r="Y28" i="27" s="1"/>
  <c r="B110" i="29" s="1"/>
  <c r="T52" i="28"/>
  <c r="D28" i="27" s="1"/>
  <c r="Y29" i="27" s="1"/>
  <c r="B125" i="29" s="1"/>
  <c r="B22" i="29"/>
  <c r="E22" i="29" s="1"/>
  <c r="B22" i="36"/>
  <c r="E22" i="36" s="1"/>
  <c r="B83" i="29"/>
  <c r="E83" i="29" s="1"/>
  <c r="B83" i="36"/>
  <c r="E83" i="36" s="1"/>
  <c r="B20" i="29"/>
  <c r="B20" i="36"/>
  <c r="B38" i="29"/>
  <c r="E38" i="29" s="1"/>
  <c r="B38" i="36"/>
  <c r="E38" i="36" s="1"/>
  <c r="C8" i="29"/>
  <c r="C8" i="36"/>
  <c r="C18" i="29"/>
  <c r="C18" i="36"/>
  <c r="C49" i="29"/>
  <c r="C49" i="36"/>
  <c r="B9" i="29"/>
  <c r="E9" i="29" s="1"/>
  <c r="B9" i="36"/>
  <c r="E9" i="36" s="1"/>
  <c r="B68" i="29"/>
  <c r="E68" i="29" s="1"/>
  <c r="B68" i="36"/>
  <c r="E68" i="36" s="1"/>
  <c r="B32" i="29"/>
  <c r="B32" i="36"/>
  <c r="C94" i="29"/>
  <c r="C94" i="36"/>
  <c r="B96" i="29"/>
  <c r="B96" i="36"/>
  <c r="B122" i="29"/>
  <c r="B51" i="29"/>
  <c r="B51" i="36"/>
  <c r="C64" i="29"/>
  <c r="C64" i="36"/>
  <c r="B109" i="36"/>
  <c r="E109" i="36" s="1"/>
  <c r="C79" i="36"/>
  <c r="C5" i="29"/>
  <c r="C5" i="36"/>
  <c r="B152" i="29"/>
  <c r="B7" i="29"/>
  <c r="B7" i="36"/>
  <c r="B98" i="29"/>
  <c r="E98" i="29" s="1"/>
  <c r="B98" i="36"/>
  <c r="E98" i="36" s="1"/>
  <c r="B137" i="29"/>
  <c r="B53" i="29"/>
  <c r="E53" i="29" s="1"/>
  <c r="B53" i="36"/>
  <c r="E53" i="36" s="1"/>
  <c r="C34" i="29"/>
  <c r="C34" i="36"/>
  <c r="B81" i="29"/>
  <c r="B81" i="36"/>
  <c r="B36" i="29"/>
  <c r="B36" i="36"/>
  <c r="B107" i="29"/>
  <c r="B66" i="29"/>
  <c r="B66" i="36"/>
  <c r="Q27" i="27"/>
  <c r="Q38" i="31" s="1"/>
  <c r="T38" i="31" s="1"/>
  <c r="C37" i="31"/>
  <c r="H34" i="27"/>
  <c r="T34" i="28"/>
  <c r="D25" i="27" s="1"/>
  <c r="Y26" i="27" s="1"/>
  <c r="AB120" i="27"/>
  <c r="AA120" i="27" s="1"/>
  <c r="AD83" i="27"/>
  <c r="AA101" i="27"/>
  <c r="AB103" i="27" s="1"/>
  <c r="AC83" i="27"/>
  <c r="C79" i="29"/>
  <c r="T40" i="28"/>
  <c r="AC101" i="27"/>
  <c r="C23" i="27"/>
  <c r="AA48" i="27" s="1"/>
  <c r="D22" i="27"/>
  <c r="Y23" i="27" s="1"/>
  <c r="C36" i="34"/>
  <c r="C34" i="34"/>
  <c r="C26" i="27"/>
  <c r="AA51" i="27" s="1"/>
  <c r="U25" i="27"/>
  <c r="U49" i="27" s="1"/>
  <c r="F34" i="27"/>
  <c r="U27" i="27"/>
  <c r="U51" i="27" s="1"/>
  <c r="C32" i="34"/>
  <c r="C33" i="31"/>
  <c r="C24" i="27"/>
  <c r="Q24" i="27" s="1"/>
  <c r="Q35" i="31" s="1"/>
  <c r="T35" i="31" s="1"/>
  <c r="U23" i="27"/>
  <c r="U47" i="27" s="1"/>
  <c r="C22" i="27"/>
  <c r="AA47" i="27" s="1"/>
  <c r="C21" i="27"/>
  <c r="AA46" i="27" s="1"/>
  <c r="D23" i="27"/>
  <c r="Y24" i="27" s="1"/>
  <c r="B21" i="27"/>
  <c r="C34" i="27" s="1"/>
  <c r="T28" i="28"/>
  <c r="D24" i="27" s="1"/>
  <c r="Y25" i="27" s="1"/>
  <c r="D21" i="27"/>
  <c r="Y22" i="27" s="1"/>
  <c r="B77" i="29"/>
  <c r="B16" i="29"/>
  <c r="C33" i="34"/>
  <c r="C34" i="31"/>
  <c r="E34" i="27"/>
  <c r="U24" i="27"/>
  <c r="U48" i="27" s="1"/>
  <c r="B47" i="29"/>
  <c r="B62" i="29"/>
  <c r="B92" i="29"/>
  <c r="AA85" i="27"/>
  <c r="AB85" i="27"/>
  <c r="B25" i="27"/>
  <c r="C25" i="27"/>
  <c r="C97" i="29" l="1"/>
  <c r="C97" i="36"/>
  <c r="B19" i="29"/>
  <c r="B19" i="36"/>
  <c r="C21" i="29"/>
  <c r="C21" i="36"/>
  <c r="C52" i="29"/>
  <c r="C52" i="36"/>
  <c r="B50" i="29"/>
  <c r="B50" i="36"/>
  <c r="B65" i="29"/>
  <c r="B65" i="36"/>
  <c r="C37" i="29"/>
  <c r="C37" i="36"/>
  <c r="B80" i="29"/>
  <c r="B80" i="36"/>
  <c r="B35" i="29"/>
  <c r="B35" i="36"/>
  <c r="Q28" i="27"/>
  <c r="Q39" i="31" s="1"/>
  <c r="T39" i="31" s="1"/>
  <c r="D26" i="27"/>
  <c r="Y27" i="27" s="1"/>
  <c r="K34" i="27"/>
  <c r="Q23" i="27"/>
  <c r="Q34" i="31" s="1"/>
  <c r="T34" i="31" s="1"/>
  <c r="AD120" i="27"/>
  <c r="AC120" i="27"/>
  <c r="AA103" i="27"/>
  <c r="F33" i="34"/>
  <c r="F34" i="31"/>
  <c r="F37" i="31"/>
  <c r="F36" i="34"/>
  <c r="Q26" i="27"/>
  <c r="Q37" i="31" s="1"/>
  <c r="T37" i="31" s="1"/>
  <c r="Q34" i="34"/>
  <c r="T34" i="34" s="1"/>
  <c r="F35" i="31"/>
  <c r="AA49" i="27"/>
  <c r="C32" i="31"/>
  <c r="C31" i="34"/>
  <c r="F32" i="34"/>
  <c r="F34" i="34"/>
  <c r="U22" i="27"/>
  <c r="U46" i="27" s="1"/>
  <c r="Q22" i="27"/>
  <c r="Q33" i="31" s="1"/>
  <c r="T33" i="31" s="1"/>
  <c r="F33" i="31"/>
  <c r="F32" i="31"/>
  <c r="Q21" i="27"/>
  <c r="F31" i="34"/>
  <c r="AB122" i="27"/>
  <c r="AA122" i="27"/>
  <c r="F35" i="34"/>
  <c r="F36" i="31"/>
  <c r="Q25" i="27"/>
  <c r="AA50" i="27"/>
  <c r="AD103" i="27"/>
  <c r="AD102" i="27" s="1"/>
  <c r="AC103" i="27"/>
  <c r="AC102" i="27" s="1"/>
  <c r="AF102" i="27" s="1"/>
  <c r="AG102" i="27" s="1"/>
  <c r="C36" i="31"/>
  <c r="G34" i="27"/>
  <c r="C35" i="34"/>
  <c r="U26" i="27"/>
  <c r="U50" i="27" s="1"/>
  <c r="AC85" i="27"/>
  <c r="AC84" i="27" s="1"/>
  <c r="AD85" i="27"/>
  <c r="AD84" i="27" s="1"/>
  <c r="B95" i="29" l="1"/>
  <c r="B95" i="36"/>
  <c r="B112" i="36"/>
  <c r="E112" i="36" s="1"/>
  <c r="C82" i="36"/>
  <c r="C67" i="29"/>
  <c r="C67" i="36"/>
  <c r="Q29" i="27"/>
  <c r="Q40" i="31" s="1"/>
  <c r="T40" i="31" s="1"/>
  <c r="Q33" i="34"/>
  <c r="T33" i="34" s="1"/>
  <c r="Q36" i="34"/>
  <c r="T36" i="34" s="1"/>
  <c r="Q32" i="34"/>
  <c r="T32" i="34" s="1"/>
  <c r="Q32" i="31"/>
  <c r="T32" i="31" s="1"/>
  <c r="Q31" i="34"/>
  <c r="T31" i="34" s="1"/>
  <c r="C82" i="29"/>
  <c r="Q35" i="34"/>
  <c r="T35" i="34" s="1"/>
  <c r="Q36" i="31"/>
  <c r="T36" i="31" s="1"/>
  <c r="AD122" i="27"/>
  <c r="AD121" i="27" s="1"/>
  <c r="AC122" i="27"/>
  <c r="AC121" i="27" s="1"/>
  <c r="AA57" i="27" s="1"/>
  <c r="Y56" i="27" l="1"/>
  <c r="V56" i="27"/>
  <c r="Z56" i="27"/>
  <c r="W56" i="27"/>
  <c r="W48" i="27"/>
  <c r="Z51" i="27"/>
  <c r="C96" i="36" s="1"/>
  <c r="E96" i="36" s="1"/>
  <c r="W58" i="27"/>
  <c r="W61" i="27"/>
  <c r="V47" i="27" l="1"/>
  <c r="C32" i="36" s="1"/>
  <c r="E32" i="36" s="1"/>
  <c r="V52" i="27"/>
  <c r="Y52" i="27"/>
  <c r="C110" i="29" s="1"/>
  <c r="V53" i="27"/>
  <c r="Y53" i="27"/>
  <c r="C125" i="29" s="1"/>
  <c r="E125" i="29" s="1"/>
  <c r="V54" i="27"/>
  <c r="Y54" i="27"/>
  <c r="C140" i="29" s="1"/>
  <c r="E140" i="29" s="1"/>
  <c r="V55" i="27"/>
  <c r="Y55" i="27"/>
  <c r="C155" i="29" s="1"/>
  <c r="E155" i="29" s="1"/>
  <c r="W52" i="27"/>
  <c r="C108" i="29" s="1"/>
  <c r="Z52" i="27"/>
  <c r="C111" i="29" s="1"/>
  <c r="W53" i="27"/>
  <c r="C123" i="29" s="1"/>
  <c r="E123" i="29" s="1"/>
  <c r="Z53" i="27"/>
  <c r="C126" i="29" s="1"/>
  <c r="E126" i="29" s="1"/>
  <c r="W54" i="27"/>
  <c r="C138" i="29" s="1"/>
  <c r="E138" i="29" s="1"/>
  <c r="Z54" i="27"/>
  <c r="C141" i="29" s="1"/>
  <c r="E141" i="29" s="1"/>
  <c r="W55" i="27"/>
  <c r="C153" i="29" s="1"/>
  <c r="E153" i="29" s="1"/>
  <c r="Z55" i="27"/>
  <c r="C156" i="29" s="1"/>
  <c r="E156" i="29" s="1"/>
  <c r="Y49" i="27"/>
  <c r="W46" i="27"/>
  <c r="W45" i="27"/>
  <c r="V48" i="27"/>
  <c r="Z47" i="27"/>
  <c r="Z46" i="27"/>
  <c r="V49" i="27"/>
  <c r="Y48" i="27"/>
  <c r="W68" i="27"/>
  <c r="W49" i="27"/>
  <c r="Z50" i="27"/>
  <c r="Z48" i="27"/>
  <c r="Y46" i="27"/>
  <c r="Y45" i="27"/>
  <c r="V50" i="27"/>
  <c r="W47" i="27"/>
  <c r="W51" i="27"/>
  <c r="Z49" i="27"/>
  <c r="W50" i="27"/>
  <c r="V45" i="27"/>
  <c r="C3" i="36" s="1"/>
  <c r="E3" i="36" s="1"/>
  <c r="C96" i="29"/>
  <c r="E96" i="29" s="1"/>
  <c r="Z45" i="27"/>
  <c r="Y47" i="27"/>
  <c r="Y51" i="27"/>
  <c r="V51" i="27"/>
  <c r="C92" i="36" s="1"/>
  <c r="E92" i="36" s="1"/>
  <c r="Y50" i="27"/>
  <c r="V46" i="27"/>
  <c r="C3" i="29"/>
  <c r="E3" i="29" s="1"/>
  <c r="C32" i="29"/>
  <c r="E32" i="29" s="1"/>
  <c r="X24" i="27" l="1"/>
  <c r="AA24" i="27" s="1"/>
  <c r="AC24" i="27" s="1"/>
  <c r="X32" i="27"/>
  <c r="C152" i="29"/>
  <c r="E152" i="29" s="1"/>
  <c r="C137" i="29"/>
  <c r="E137" i="29" s="1"/>
  <c r="C107" i="29"/>
  <c r="C122" i="29"/>
  <c r="E122" i="29" s="1"/>
  <c r="C16" i="29"/>
  <c r="E16" i="29" s="1"/>
  <c r="C16" i="36"/>
  <c r="E16" i="36" s="1"/>
  <c r="C80" i="29"/>
  <c r="E80" i="29" s="1"/>
  <c r="B110" i="36"/>
  <c r="E110" i="36" s="1"/>
  <c r="C80" i="36"/>
  <c r="E80" i="36" s="1"/>
  <c r="C95" i="29"/>
  <c r="E95" i="29" s="1"/>
  <c r="C95" i="36"/>
  <c r="E95" i="36" s="1"/>
  <c r="C35" i="29"/>
  <c r="E35" i="29" s="1"/>
  <c r="C35" i="36"/>
  <c r="E35" i="36" s="1"/>
  <c r="C7" i="29"/>
  <c r="E7" i="29" s="1"/>
  <c r="C7" i="36"/>
  <c r="E7" i="36" s="1"/>
  <c r="C78" i="29"/>
  <c r="E78" i="29" s="1"/>
  <c r="B108" i="36"/>
  <c r="E108" i="36" s="1"/>
  <c r="C78" i="36"/>
  <c r="E78" i="36" s="1"/>
  <c r="C66" i="29"/>
  <c r="E66" i="29" s="1"/>
  <c r="C66" i="36"/>
  <c r="E66" i="36" s="1"/>
  <c r="C93" i="29"/>
  <c r="E93" i="29" s="1"/>
  <c r="C93" i="36"/>
  <c r="E93" i="36" s="1"/>
  <c r="C33" i="29"/>
  <c r="E33" i="29" s="1"/>
  <c r="C33" i="36"/>
  <c r="E33" i="36" s="1"/>
  <c r="C77" i="29"/>
  <c r="E77" i="29" s="1"/>
  <c r="B107" i="36"/>
  <c r="E107" i="36" s="1"/>
  <c r="C77" i="36"/>
  <c r="E77" i="36" s="1"/>
  <c r="C6" i="29"/>
  <c r="E6" i="29" s="1"/>
  <c r="C6" i="36"/>
  <c r="E6" i="36" s="1"/>
  <c r="C19" i="29"/>
  <c r="E19" i="29" s="1"/>
  <c r="C19" i="36"/>
  <c r="E19" i="36" s="1"/>
  <c r="C51" i="29"/>
  <c r="E51" i="29" s="1"/>
  <c r="C51" i="36"/>
  <c r="E51" i="36" s="1"/>
  <c r="E111" i="29"/>
  <c r="B111" i="36"/>
  <c r="E111" i="36" s="1"/>
  <c r="C81" i="36"/>
  <c r="E81" i="36" s="1"/>
  <c r="C63" i="29"/>
  <c r="E63" i="29" s="1"/>
  <c r="C63" i="36"/>
  <c r="E63" i="36" s="1"/>
  <c r="C50" i="29"/>
  <c r="E50" i="29" s="1"/>
  <c r="C50" i="36"/>
  <c r="E50" i="36" s="1"/>
  <c r="C62" i="29"/>
  <c r="E62" i="29" s="1"/>
  <c r="C62" i="36"/>
  <c r="E62" i="36" s="1"/>
  <c r="C20" i="29"/>
  <c r="E20" i="29" s="1"/>
  <c r="C20" i="36"/>
  <c r="E20" i="36" s="1"/>
  <c r="C36" i="29"/>
  <c r="E36" i="29" s="1"/>
  <c r="C36" i="36"/>
  <c r="E36" i="36" s="1"/>
  <c r="C47" i="29"/>
  <c r="E47" i="29" s="1"/>
  <c r="C47" i="36"/>
  <c r="E47" i="36" s="1"/>
  <c r="C4" i="29"/>
  <c r="E4" i="29" s="1"/>
  <c r="C4" i="36"/>
  <c r="E4" i="36" s="1"/>
  <c r="C17" i="29"/>
  <c r="E17" i="29" s="1"/>
  <c r="C17" i="36"/>
  <c r="E17" i="36" s="1"/>
  <c r="C65" i="29"/>
  <c r="E65" i="29" s="1"/>
  <c r="C65" i="36"/>
  <c r="E65" i="36" s="1"/>
  <c r="C48" i="29"/>
  <c r="E48" i="29" s="1"/>
  <c r="C48" i="36"/>
  <c r="E48" i="36" s="1"/>
  <c r="C92" i="29"/>
  <c r="E92" i="29" s="1"/>
  <c r="X26" i="27"/>
  <c r="B79" i="29" s="1"/>
  <c r="E79" i="29" s="1"/>
  <c r="X29" i="27"/>
  <c r="B124" i="29" s="1"/>
  <c r="E124" i="29" s="1"/>
  <c r="X28" i="27"/>
  <c r="B109" i="29" s="1"/>
  <c r="E109" i="29" s="1"/>
  <c r="X31" i="27"/>
  <c r="B154" i="29" s="1"/>
  <c r="E154" i="29" s="1"/>
  <c r="X30" i="27"/>
  <c r="B139" i="29" s="1"/>
  <c r="E139" i="29" s="1"/>
  <c r="E107" i="29"/>
  <c r="E108" i="29"/>
  <c r="X27" i="27"/>
  <c r="B94" i="36" s="1"/>
  <c r="E94" i="36" s="1"/>
  <c r="C81" i="29"/>
  <c r="E81" i="29" s="1"/>
  <c r="X25" i="27"/>
  <c r="X23" i="27"/>
  <c r="B34" i="36" s="1"/>
  <c r="E34" i="36" s="1"/>
  <c r="E110" i="29"/>
  <c r="X21" i="27"/>
  <c r="AA21" i="27" s="1"/>
  <c r="X22" i="27"/>
  <c r="B18" i="36" s="1"/>
  <c r="E18" i="36" s="1"/>
  <c r="B49" i="29" l="1"/>
  <c r="E49" i="29" s="1"/>
  <c r="B49" i="36"/>
  <c r="E49" i="36" s="1"/>
  <c r="AA32" i="27"/>
  <c r="AC32" i="27" s="1"/>
  <c r="B64" i="29"/>
  <c r="E64" i="29" s="1"/>
  <c r="B64" i="36"/>
  <c r="E64" i="36" s="1"/>
  <c r="B8" i="29"/>
  <c r="E8" i="29" s="1"/>
  <c r="B8" i="36"/>
  <c r="E8" i="36" s="1"/>
  <c r="B5" i="29"/>
  <c r="E5" i="29" s="1"/>
  <c r="B5" i="36"/>
  <c r="E5" i="36" s="1"/>
  <c r="AA26" i="27"/>
  <c r="B79" i="36"/>
  <c r="E79" i="36" s="1"/>
  <c r="B52" i="29"/>
  <c r="E52" i="29" s="1"/>
  <c r="B52" i="36"/>
  <c r="E52" i="36" s="1"/>
  <c r="E114" i="36"/>
  <c r="AA27" i="27"/>
  <c r="AC27" i="27" s="1"/>
  <c r="AA31" i="27"/>
  <c r="B157" i="29" s="1"/>
  <c r="E157" i="29" s="1"/>
  <c r="E162" i="29" s="1"/>
  <c r="G162" i="29" s="1"/>
  <c r="G163" i="29" s="1"/>
  <c r="G164" i="29" s="1"/>
  <c r="AA28" i="27"/>
  <c r="B112" i="29" s="1"/>
  <c r="E112" i="29" s="1"/>
  <c r="E114" i="29" s="1"/>
  <c r="AA29" i="27"/>
  <c r="B127" i="29" s="1"/>
  <c r="E127" i="29" s="1"/>
  <c r="E132" i="29" s="1"/>
  <c r="G132" i="29" s="1"/>
  <c r="G133" i="29" s="1"/>
  <c r="G134" i="29" s="1"/>
  <c r="AA30" i="27"/>
  <c r="B142" i="29" s="1"/>
  <c r="E142" i="29" s="1"/>
  <c r="E147" i="29" s="1"/>
  <c r="G147" i="29" s="1"/>
  <c r="G148" i="29" s="1"/>
  <c r="G149" i="29" s="1"/>
  <c r="AA25" i="27"/>
  <c r="B94" i="29"/>
  <c r="E94" i="29" s="1"/>
  <c r="AA23" i="27"/>
  <c r="B37" i="36" s="1"/>
  <c r="E37" i="36" s="1"/>
  <c r="E39" i="36" s="1"/>
  <c r="B34" i="29"/>
  <c r="E34" i="29" s="1"/>
  <c r="AA22" i="27"/>
  <c r="B18" i="29"/>
  <c r="E18" i="29" s="1"/>
  <c r="AC21" i="27"/>
  <c r="E54" i="36" l="1"/>
  <c r="F53" i="36" s="1"/>
  <c r="E54" i="29"/>
  <c r="F51" i="29" s="1"/>
  <c r="AD32" i="27"/>
  <c r="W42" i="31" s="1"/>
  <c r="E10" i="36"/>
  <c r="F7" i="36" s="1"/>
  <c r="E10" i="29"/>
  <c r="F110" i="29" s="1"/>
  <c r="F32" i="36"/>
  <c r="F34" i="36"/>
  <c r="F35" i="36"/>
  <c r="F38" i="36"/>
  <c r="F36" i="36"/>
  <c r="F33" i="36"/>
  <c r="G39" i="36"/>
  <c r="G40" i="36" s="1"/>
  <c r="G41" i="36" s="1"/>
  <c r="B21" i="29"/>
  <c r="E21" i="29" s="1"/>
  <c r="E23" i="29" s="1"/>
  <c r="F21" i="29" s="1"/>
  <c r="B21" i="36"/>
  <c r="E21" i="36" s="1"/>
  <c r="E23" i="36" s="1"/>
  <c r="F16" i="36" s="1"/>
  <c r="B82" i="29"/>
  <c r="E82" i="29" s="1"/>
  <c r="E84" i="29" s="1"/>
  <c r="F80" i="29" s="1"/>
  <c r="B82" i="36"/>
  <c r="E82" i="36" s="1"/>
  <c r="E84" i="36" s="1"/>
  <c r="F79" i="36" s="1"/>
  <c r="AC26" i="27"/>
  <c r="AC31" i="27"/>
  <c r="AD31" i="27" s="1"/>
  <c r="W41" i="31" s="1"/>
  <c r="B67" i="29"/>
  <c r="E67" i="29" s="1"/>
  <c r="E69" i="29" s="1"/>
  <c r="F64" i="29" s="1"/>
  <c r="B67" i="36"/>
  <c r="E67" i="36" s="1"/>
  <c r="E69" i="36" s="1"/>
  <c r="G69" i="36" s="1"/>
  <c r="G70" i="36" s="1"/>
  <c r="G71" i="36" s="1"/>
  <c r="B97" i="29"/>
  <c r="E97" i="29" s="1"/>
  <c r="E99" i="29" s="1"/>
  <c r="F94" i="29" s="1"/>
  <c r="B97" i="36"/>
  <c r="E97" i="36" s="1"/>
  <c r="E99" i="36" s="1"/>
  <c r="F95" i="36" s="1"/>
  <c r="AC30" i="27"/>
  <c r="AD30" i="27" s="1"/>
  <c r="W40" i="31" s="1"/>
  <c r="AC28" i="27"/>
  <c r="F37" i="36"/>
  <c r="AC29" i="27"/>
  <c r="AD29" i="27" s="1"/>
  <c r="W39" i="31" s="1"/>
  <c r="G114" i="29"/>
  <c r="G115" i="29" s="1"/>
  <c r="G116" i="29" s="1"/>
  <c r="G114" i="36"/>
  <c r="G115" i="36" s="1"/>
  <c r="G116" i="36" s="1"/>
  <c r="F52" i="36"/>
  <c r="AC25" i="27"/>
  <c r="AC22" i="27"/>
  <c r="B37" i="29"/>
  <c r="E37" i="29" s="1"/>
  <c r="E39" i="29" s="1"/>
  <c r="AC23" i="27"/>
  <c r="F49" i="36" l="1"/>
  <c r="F47" i="29"/>
  <c r="G54" i="36"/>
  <c r="G55" i="36" s="1"/>
  <c r="G56" i="36" s="1"/>
  <c r="F49" i="29"/>
  <c r="F50" i="36"/>
  <c r="F53" i="29"/>
  <c r="F48" i="29"/>
  <c r="G54" i="29"/>
  <c r="G55" i="29" s="1"/>
  <c r="G56" i="29" s="1"/>
  <c r="AD24" i="27" s="1"/>
  <c r="W34" i="31" s="1"/>
  <c r="F52" i="29"/>
  <c r="F50" i="29"/>
  <c r="F47" i="36"/>
  <c r="F51" i="36"/>
  <c r="F48" i="36"/>
  <c r="F153" i="36"/>
  <c r="F122" i="36"/>
  <c r="F139" i="36"/>
  <c r="F137" i="36"/>
  <c r="F154" i="36"/>
  <c r="F123" i="36"/>
  <c r="F156" i="29"/>
  <c r="G10" i="29"/>
  <c r="G11" i="29" s="1"/>
  <c r="G12" i="29" s="1"/>
  <c r="AD21" i="27" s="1"/>
  <c r="W30" i="34" s="1"/>
  <c r="F139" i="29"/>
  <c r="F6" i="29"/>
  <c r="F160" i="36"/>
  <c r="F144" i="36"/>
  <c r="F128" i="36"/>
  <c r="F9" i="36"/>
  <c r="F17" i="36"/>
  <c r="F143" i="29"/>
  <c r="F158" i="36"/>
  <c r="F143" i="36"/>
  <c r="F127" i="36"/>
  <c r="F5" i="36"/>
  <c r="F127" i="29"/>
  <c r="F110" i="36"/>
  <c r="F18" i="36"/>
  <c r="G23" i="36"/>
  <c r="G24" i="36" s="1"/>
  <c r="G25" i="36" s="1"/>
  <c r="F20" i="36"/>
  <c r="F22" i="36"/>
  <c r="AD28" i="27"/>
  <c r="W38" i="31" s="1"/>
  <c r="F6" i="36"/>
  <c r="F19" i="36"/>
  <c r="F21" i="36"/>
  <c r="F98" i="29"/>
  <c r="G99" i="36"/>
  <c r="G100" i="36" s="1"/>
  <c r="G101" i="36" s="1"/>
  <c r="F82" i="36"/>
  <c r="F81" i="36"/>
  <c r="G84" i="36"/>
  <c r="G85" i="36" s="1"/>
  <c r="G86" i="36" s="1"/>
  <c r="F64" i="36"/>
  <c r="F67" i="36"/>
  <c r="F146" i="29"/>
  <c r="F5" i="29"/>
  <c r="F124" i="29"/>
  <c r="F122" i="29"/>
  <c r="F155" i="29"/>
  <c r="F142" i="29"/>
  <c r="F140" i="29"/>
  <c r="F125" i="29"/>
  <c r="F129" i="29"/>
  <c r="F160" i="29"/>
  <c r="F3" i="36"/>
  <c r="F157" i="36"/>
  <c r="F152" i="36"/>
  <c r="F141" i="36"/>
  <c r="F131" i="36"/>
  <c r="F126" i="36"/>
  <c r="F112" i="36"/>
  <c r="G10" i="36"/>
  <c r="G11" i="36" s="1"/>
  <c r="G12" i="36" s="1"/>
  <c r="F111" i="36"/>
  <c r="F141" i="29"/>
  <c r="F152" i="29"/>
  <c r="F137" i="29"/>
  <c r="F144" i="29"/>
  <c r="F128" i="29"/>
  <c r="F161" i="36"/>
  <c r="F156" i="36"/>
  <c r="F145" i="36"/>
  <c r="F140" i="36"/>
  <c r="F130" i="36"/>
  <c r="F124" i="36"/>
  <c r="F109" i="36"/>
  <c r="F107" i="36"/>
  <c r="F111" i="29"/>
  <c r="F108" i="29"/>
  <c r="F145" i="29"/>
  <c r="F157" i="29"/>
  <c r="F159" i="29"/>
  <c r="F126" i="29"/>
  <c r="F112" i="29"/>
  <c r="F138" i="29"/>
  <c r="F4" i="29"/>
  <c r="F7" i="29"/>
  <c r="F9" i="29"/>
  <c r="F153" i="29"/>
  <c r="F131" i="29"/>
  <c r="F158" i="29"/>
  <c r="F161" i="29"/>
  <c r="F109" i="29"/>
  <c r="F113" i="29"/>
  <c r="F130" i="29"/>
  <c r="F8" i="29"/>
  <c r="F154" i="29"/>
  <c r="F3" i="29"/>
  <c r="F107" i="29"/>
  <c r="F4" i="36"/>
  <c r="F159" i="36"/>
  <c r="F155" i="36"/>
  <c r="F146" i="36"/>
  <c r="F142" i="36"/>
  <c r="F138" i="36"/>
  <c r="F129" i="36"/>
  <c r="F125" i="36"/>
  <c r="F113" i="36"/>
  <c r="F8" i="36"/>
  <c r="F123" i="29"/>
  <c r="F108" i="36"/>
  <c r="F39" i="36"/>
  <c r="F83" i="29"/>
  <c r="F95" i="29"/>
  <c r="F67" i="29"/>
  <c r="F68" i="36"/>
  <c r="F83" i="36"/>
  <c r="F92" i="36"/>
  <c r="G84" i="29"/>
  <c r="G85" i="29" s="1"/>
  <c r="G86" i="29" s="1"/>
  <c r="AD26" i="27" s="1"/>
  <c r="W36" i="31" s="1"/>
  <c r="F96" i="29"/>
  <c r="F63" i="29"/>
  <c r="F98" i="36"/>
  <c r="F82" i="29"/>
  <c r="F78" i="29"/>
  <c r="F97" i="29"/>
  <c r="F92" i="29"/>
  <c r="F65" i="29"/>
  <c r="F62" i="29"/>
  <c r="F97" i="36"/>
  <c r="F66" i="29"/>
  <c r="F81" i="29"/>
  <c r="F77" i="29"/>
  <c r="F79" i="29"/>
  <c r="G99" i="29"/>
  <c r="G100" i="29" s="1"/>
  <c r="G101" i="29" s="1"/>
  <c r="AD27" i="27" s="1"/>
  <c r="F93" i="29"/>
  <c r="F68" i="29"/>
  <c r="G69" i="29"/>
  <c r="G70" i="29" s="1"/>
  <c r="G71" i="29" s="1"/>
  <c r="AD25" i="27" s="1"/>
  <c r="W34" i="34" s="1"/>
  <c r="F94" i="36"/>
  <c r="F65" i="36"/>
  <c r="F93" i="36"/>
  <c r="F96" i="36"/>
  <c r="F62" i="36"/>
  <c r="F66" i="36"/>
  <c r="F63" i="36"/>
  <c r="F78" i="36"/>
  <c r="F80" i="36"/>
  <c r="F77" i="36"/>
  <c r="F34" i="29"/>
  <c r="F32" i="29"/>
  <c r="F38" i="29"/>
  <c r="F35" i="29"/>
  <c r="G39" i="29"/>
  <c r="G40" i="29" s="1"/>
  <c r="G41" i="29" s="1"/>
  <c r="AD23" i="27" s="1"/>
  <c r="F33" i="29"/>
  <c r="F36" i="29"/>
  <c r="F37" i="29"/>
  <c r="F18" i="29"/>
  <c r="F22" i="29"/>
  <c r="F20" i="29"/>
  <c r="F16" i="29"/>
  <c r="G23" i="29"/>
  <c r="G24" i="29" s="1"/>
  <c r="G25" i="29" s="1"/>
  <c r="AD22" i="27" s="1"/>
  <c r="F19" i="29"/>
  <c r="F17" i="29"/>
  <c r="F54" i="36" l="1"/>
  <c r="W33" i="34"/>
  <c r="F54" i="29"/>
  <c r="F147" i="36"/>
  <c r="F132" i="36"/>
  <c r="W31" i="31"/>
  <c r="F23" i="36"/>
  <c r="F147" i="29"/>
  <c r="F69" i="36"/>
  <c r="F162" i="36"/>
  <c r="F10" i="36"/>
  <c r="F99" i="36"/>
  <c r="F84" i="29"/>
  <c r="F114" i="29"/>
  <c r="F114" i="36"/>
  <c r="F10" i="29"/>
  <c r="F162" i="29"/>
  <c r="F132" i="29"/>
  <c r="W35" i="34"/>
  <c r="F69" i="29"/>
  <c r="F99" i="29"/>
  <c r="W36" i="34"/>
  <c r="W37" i="31"/>
  <c r="F84" i="36"/>
  <c r="W35" i="31"/>
  <c r="W33" i="31"/>
  <c r="W32" i="34"/>
  <c r="F39" i="29"/>
  <c r="W32" i="31"/>
  <c r="W31" i="34"/>
  <c r="F23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Yasser</author>
    <author>Laboratorio de Metrología</author>
  </authors>
  <commentList>
    <comment ref="D2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Yasser:</t>
        </r>
        <r>
          <rPr>
            <sz val="9"/>
            <color indexed="81"/>
            <rFont val="Tahoma"/>
            <family val="2"/>
          </rPr>
          <t xml:space="preserve">
No está tomando en cuenta la incertidumbre por deriva de los b. patrón, si no que toma el valor del error de medida para el cálculo</t>
        </r>
      </text>
    </comment>
    <comment ref="Y2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la incertidumbre por patrón es igual a cero porque no se ha utilizado un patrón</t>
        </r>
      </text>
    </comment>
    <comment ref="Y45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la incertidumbre por patrón es igual a cero porque no se ha utilizado un patrón</t>
        </r>
      </text>
    </comment>
    <comment ref="W6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Yasser:</t>
        </r>
        <r>
          <rPr>
            <sz val="9"/>
            <color indexed="81"/>
            <rFont val="Tahoma"/>
            <family val="2"/>
          </rPr>
          <t xml:space="preserve">
En la hoja que se envió sólo tomaba la incertidumbre max expandida y no aplicaba la división entre los 2 grados de libertad</t>
        </r>
      </text>
    </comment>
    <comment ref="W6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Yasser:</t>
        </r>
        <r>
          <rPr>
            <sz val="9"/>
            <color indexed="81"/>
            <rFont val="Tahoma"/>
            <family val="2"/>
          </rPr>
          <t xml:space="preserve">
El valor que deberia tomar es el de la incertidumbre expandida, para aplicar el cálculo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F11" authorId="0" shapeId="0" xr:uid="{00000000-0006-0000-0500-00000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2" authorId="0" shapeId="0" xr:uid="{00000000-0006-0000-0500-00000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4" authorId="0" shapeId="0" xr:uid="{00000000-0006-0000-0500-00000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5" authorId="0" shapeId="0" xr:uid="{00000000-0006-0000-0500-00000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7" authorId="0" shapeId="0" xr:uid="{00000000-0006-0000-0500-00000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8" authorId="0" shapeId="0" xr:uid="{00000000-0006-0000-0500-00000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 shapeId="0" xr:uid="{00000000-0006-0000-0500-00000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1" authorId="0" shapeId="0" xr:uid="{00000000-0006-0000-0500-00000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3" authorId="0" shapeId="0" xr:uid="{00000000-0006-0000-0500-00000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4" authorId="0" shapeId="0" xr:uid="{00000000-0006-0000-0500-00000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5" authorId="0" shapeId="0" xr:uid="{00000000-0006-0000-0500-00000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6" authorId="0" shapeId="0" xr:uid="{00000000-0006-0000-0500-00000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8" authorId="0" shapeId="0" xr:uid="{00000000-0006-0000-0500-00000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9" authorId="0" shapeId="0" xr:uid="{00000000-0006-0000-0500-00000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0" authorId="0" shapeId="0" xr:uid="{00000000-0006-0000-0500-00000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1" authorId="0" shapeId="0" xr:uid="{00000000-0006-0000-0500-00001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3" authorId="0" shapeId="0" xr:uid="{00000000-0006-0000-0500-00001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4" authorId="0" shapeId="0" xr:uid="{00000000-0006-0000-0500-00001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5" authorId="0" shapeId="0" xr:uid="{00000000-0006-0000-0500-00001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6" authorId="0" shapeId="0" xr:uid="{00000000-0006-0000-0500-00001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8" authorId="0" shapeId="0" xr:uid="{00000000-0006-0000-0500-00001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9" authorId="0" shapeId="0" xr:uid="{00000000-0006-0000-0500-00001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0" authorId="0" shapeId="0" xr:uid="{00000000-0006-0000-0500-00001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1" authorId="0" shapeId="0" xr:uid="{00000000-0006-0000-0500-00001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3" authorId="0" shapeId="0" xr:uid="{00000000-0006-0000-0500-00001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4" authorId="0" shapeId="0" xr:uid="{00000000-0006-0000-0500-00001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5" authorId="0" shapeId="0" xr:uid="{00000000-0006-0000-0500-00001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6" authorId="0" shapeId="0" xr:uid="{00000000-0006-0000-0500-00001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8" authorId="0" shapeId="0" xr:uid="{00000000-0006-0000-0500-00001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9" authorId="0" shapeId="0" xr:uid="{00000000-0006-0000-0500-00001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3" authorId="0" shapeId="0" xr:uid="{00000000-0006-0000-0500-00001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34" authorId="0" shapeId="0" xr:uid="{00000000-0006-0000-0500-00002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48" authorId="0" shapeId="0" xr:uid="{00000000-0006-0000-0500-00002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49" authorId="0" shapeId="0" xr:uid="{00000000-0006-0000-0500-00002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3" authorId="0" shapeId="0" xr:uid="{00000000-0006-0000-0500-00002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64" authorId="0" shapeId="0" xr:uid="{00000000-0006-0000-0500-00002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F11" authorId="0" shapeId="0" xr:uid="{00000000-0006-0000-0600-00000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2" authorId="0" shapeId="0" xr:uid="{00000000-0006-0000-0600-00000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4" authorId="0" shapeId="0" xr:uid="{00000000-0006-0000-0600-00000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5" authorId="0" shapeId="0" xr:uid="{00000000-0006-0000-0600-00000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7" authorId="0" shapeId="0" xr:uid="{00000000-0006-0000-0600-00000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8" authorId="0" shapeId="0" xr:uid="{00000000-0006-0000-0600-00000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 shapeId="0" xr:uid="{00000000-0006-0000-0600-00000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1" authorId="0" shapeId="0" xr:uid="{00000000-0006-0000-0600-00000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3" authorId="0" shapeId="0" xr:uid="{00000000-0006-0000-0600-00000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4" authorId="0" shapeId="0" xr:uid="{00000000-0006-0000-0600-00000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5" authorId="0" shapeId="0" xr:uid="{00000000-0006-0000-0600-00000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6" authorId="0" shapeId="0" xr:uid="{00000000-0006-0000-0600-00000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8" authorId="0" shapeId="0" xr:uid="{00000000-0006-0000-0600-00000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9" authorId="0" shapeId="0" xr:uid="{00000000-0006-0000-0600-00000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0" authorId="0" shapeId="0" xr:uid="{00000000-0006-0000-0600-00000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1" authorId="0" shapeId="0" xr:uid="{00000000-0006-0000-0600-00001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3" authorId="0" shapeId="0" xr:uid="{00000000-0006-0000-0600-00001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4" authorId="0" shapeId="0" xr:uid="{00000000-0006-0000-0600-00001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5" authorId="0" shapeId="0" xr:uid="{00000000-0006-0000-0600-00001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6" authorId="0" shapeId="0" xr:uid="{00000000-0006-0000-0600-00001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8" authorId="0" shapeId="0" xr:uid="{00000000-0006-0000-0600-00001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9" authorId="0" shapeId="0" xr:uid="{00000000-0006-0000-0600-00001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0" authorId="0" shapeId="0" xr:uid="{00000000-0006-0000-0600-00001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1" authorId="0" shapeId="0" xr:uid="{00000000-0006-0000-0600-00001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3" authorId="0" shapeId="0" xr:uid="{00000000-0006-0000-0600-00001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4" authorId="0" shapeId="0" xr:uid="{00000000-0006-0000-0600-00001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5" authorId="0" shapeId="0" xr:uid="{00000000-0006-0000-0600-00001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6" authorId="0" shapeId="0" xr:uid="{00000000-0006-0000-0600-00001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8" authorId="0" shapeId="0" xr:uid="{00000000-0006-0000-0600-00001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9" authorId="0" shapeId="0" xr:uid="{00000000-0006-0000-0600-00001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3" authorId="0" shapeId="0" xr:uid="{00000000-0006-0000-0600-00001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34" authorId="0" shapeId="0" xr:uid="{00000000-0006-0000-0600-00002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48" authorId="0" shapeId="0" xr:uid="{00000000-0006-0000-0600-00002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49" authorId="0" shapeId="0" xr:uid="{00000000-0006-0000-0600-00002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3" authorId="0" shapeId="0" xr:uid="{00000000-0006-0000-0600-00002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64" authorId="0" shapeId="0" xr:uid="{00000000-0006-0000-0600-00002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<sst xmlns="http://schemas.openxmlformats.org/spreadsheetml/2006/main" count="1948" uniqueCount="1136">
  <si>
    <t>Rango de Calibración</t>
  </si>
  <si>
    <t>Range of Calibration</t>
  </si>
  <si>
    <t>LISTA DE CLIENTES</t>
  </si>
  <si>
    <t>Dirección 1</t>
  </si>
  <si>
    <t>Escoja una</t>
  </si>
  <si>
    <t>CONDICIONES AMBIENTALES DE PRUEBA</t>
  </si>
  <si>
    <t>Temperatura:</t>
  </si>
  <si>
    <t>Magnitud</t>
  </si>
  <si>
    <t>Humedad:</t>
  </si>
  <si>
    <t>%RH</t>
  </si>
  <si>
    <t>±</t>
  </si>
  <si>
    <t>Patrón</t>
  </si>
  <si>
    <t>Lecturas</t>
  </si>
  <si>
    <t>promedio</t>
  </si>
  <si>
    <t>desvsta</t>
  </si>
  <si>
    <t>Incertidumbre</t>
  </si>
  <si>
    <t>Nominal</t>
  </si>
  <si>
    <t>Uexp</t>
  </si>
  <si>
    <r>
      <t>X</t>
    </r>
    <r>
      <rPr>
        <b/>
        <vertAlign val="subscript"/>
        <sz val="10"/>
        <rFont val="Arial"/>
        <family val="2"/>
      </rPr>
      <t>1</t>
    </r>
  </si>
  <si>
    <t>X</t>
  </si>
  <si>
    <t>σ</t>
  </si>
  <si>
    <t>X - Patrón</t>
  </si>
  <si>
    <t>DesvSt / raiz(n)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</si>
  <si>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m)</t>
    </r>
  </si>
  <si>
    <t>Unidad de Medida (Patrón)</t>
  </si>
  <si>
    <t>Unidad de Medida (Cinta)</t>
  </si>
  <si>
    <t>Rango de Medición</t>
  </si>
  <si>
    <t>Measuring Range</t>
  </si>
  <si>
    <t>Fecha de Medición</t>
  </si>
  <si>
    <t>Date of Measurement</t>
  </si>
  <si>
    <t>Tipo de Servicio</t>
  </si>
  <si>
    <t>Realizó</t>
  </si>
  <si>
    <t>Tested by</t>
  </si>
  <si>
    <t>Calibrated by</t>
  </si>
  <si>
    <t>Incertidumbre estándar</t>
  </si>
  <si>
    <t>U</t>
  </si>
  <si>
    <t>Valor Nominal</t>
  </si>
  <si>
    <t>Mitutoyo</t>
  </si>
  <si>
    <t>Temperatura</t>
  </si>
  <si>
    <t>(μm)</t>
  </si>
  <si>
    <t>Error</t>
  </si>
  <si>
    <t>Calibración</t>
  </si>
  <si>
    <t>Marca</t>
  </si>
  <si>
    <t>Calibration Certificate </t>
  </si>
  <si>
    <t>LISTA DE FABRICANTES</t>
  </si>
  <si>
    <t>Nombres y Apellidos</t>
  </si>
  <si>
    <t>Fabricante</t>
  </si>
  <si>
    <t>NO DISPONIBLE</t>
  </si>
  <si>
    <t>Modelo:</t>
  </si>
  <si>
    <t>Serie:</t>
  </si>
  <si>
    <t>mm</t>
  </si>
  <si>
    <t>plg</t>
  </si>
  <si>
    <t>Mínima División:</t>
  </si>
  <si>
    <t>Resolución:</t>
  </si>
  <si>
    <t>No. Serie:</t>
  </si>
  <si>
    <t>No. Certificado:</t>
  </si>
  <si>
    <t>Final</t>
  </si>
  <si>
    <t>Inicial</t>
  </si>
  <si>
    <t>No Disponible</t>
  </si>
  <si>
    <t>No disponible</t>
  </si>
  <si>
    <t>Siglas-Nombre completo</t>
  </si>
  <si>
    <t>siglas - fabricante</t>
  </si>
  <si>
    <t>Fecha de Calibración</t>
  </si>
  <si>
    <t>Date of Calibration</t>
  </si>
  <si>
    <t>Unidad de medida</t>
  </si>
  <si>
    <t>Dirección fabricante:</t>
  </si>
  <si>
    <t>Dirección:</t>
  </si>
  <si>
    <t>No.</t>
  </si>
  <si>
    <t>Incertidumbre expandida</t>
  </si>
  <si>
    <t>Fecha de calibración:</t>
  </si>
  <si>
    <t>Calibró:</t>
  </si>
  <si>
    <t>Revisó:</t>
  </si>
  <si>
    <t>DATOS DEL CLIENTE</t>
  </si>
  <si>
    <t>Marca:</t>
  </si>
  <si>
    <t>ºC</t>
  </si>
  <si>
    <t>Calibró</t>
  </si>
  <si>
    <t>Revisó</t>
  </si>
  <si>
    <t>Cargo</t>
  </si>
  <si>
    <t>Institución/Empresa</t>
  </si>
  <si>
    <t>Siglas</t>
  </si>
  <si>
    <t>Teléfono</t>
  </si>
  <si>
    <t>Ext.</t>
  </si>
  <si>
    <t>Fax</t>
  </si>
  <si>
    <t>Correo Electrónico</t>
  </si>
  <si>
    <t>(mm)</t>
  </si>
  <si>
    <t>Alcance de medición:</t>
  </si>
  <si>
    <t>Resolución</t>
  </si>
  <si>
    <t>Clase de Exactitud:</t>
  </si>
  <si>
    <t>CERTIFICADO DE CALIBRACIÓN</t>
  </si>
  <si>
    <t>Fisher Scientific</t>
  </si>
  <si>
    <t>DATOS DEL PATRÓN</t>
  </si>
  <si>
    <t>Patrón:</t>
  </si>
  <si>
    <t>Longitud Nominal</t>
  </si>
  <si>
    <t>Número de identificación</t>
  </si>
  <si>
    <t>X1</t>
  </si>
  <si>
    <t>X2</t>
  </si>
  <si>
    <t>X3</t>
  </si>
  <si>
    <t>X4</t>
  </si>
  <si>
    <t>X5</t>
  </si>
  <si>
    <t>Valores Nominales →</t>
  </si>
  <si>
    <t>Longitud Nom. (mm)</t>
  </si>
  <si>
    <t>Desviación (nm)</t>
  </si>
  <si>
    <t>TOTAL</t>
  </si>
  <si>
    <r>
      <t>(</t>
    </r>
    <r>
      <rPr>
        <b/>
        <sz val="10"/>
        <rFont val="Arial"/>
        <family val="2"/>
      </rPr>
      <t>μ</t>
    </r>
    <r>
      <rPr>
        <b/>
        <sz val="10"/>
        <rFont val="Arial"/>
        <family val="2"/>
      </rPr>
      <t>m)</t>
    </r>
  </si>
  <si>
    <t>Prueba de Exactitud de las caras de medición de exteriores</t>
  </si>
  <si>
    <t>Bloque Patrón</t>
  </si>
  <si>
    <t>Resutados</t>
  </si>
  <si>
    <t>PRUEBA DE EXACTITUD (CARAS EXTERIORES)</t>
  </si>
  <si>
    <t>Referencia inicial "Puesta a Cero", Verificación del cero</t>
  </si>
  <si>
    <t>Promedio</t>
  </si>
  <si>
    <t>Desv. E.</t>
  </si>
  <si>
    <t>u de mediciones</t>
  </si>
  <si>
    <t>Mediciones</t>
  </si>
  <si>
    <t>Puntos de Calibración</t>
  </si>
  <si>
    <t>Cálculo de Incertidumbre Expandida</t>
  </si>
  <si>
    <t>DATOS DEL INSTRUMENTO A CALIBRAR</t>
  </si>
  <si>
    <t>Micrómetro digital</t>
  </si>
  <si>
    <t>INFORME DE VERIFICACIÓN</t>
  </si>
  <si>
    <t>Verification Report </t>
  </si>
  <si>
    <t>INFORME DE CALIBRACIÓN</t>
  </si>
  <si>
    <t>Calibration Report</t>
  </si>
  <si>
    <t>Descripción del Instrumento:</t>
  </si>
  <si>
    <t>Mensurando</t>
  </si>
  <si>
    <t>Starrett</t>
  </si>
  <si>
    <t>Fowler</t>
  </si>
  <si>
    <t>BP - 1</t>
  </si>
  <si>
    <t>BP - 1.5</t>
  </si>
  <si>
    <t>BP - 2</t>
  </si>
  <si>
    <t>BP - 2.5</t>
  </si>
  <si>
    <t>BP - 3</t>
  </si>
  <si>
    <t>BP - 3.5</t>
  </si>
  <si>
    <t>BP - 4</t>
  </si>
  <si>
    <t>BP - 4.5</t>
  </si>
  <si>
    <t>BP - 5</t>
  </si>
  <si>
    <t>BP - 5.5</t>
  </si>
  <si>
    <t>BP - 6</t>
  </si>
  <si>
    <t>BP - 6.5</t>
  </si>
  <si>
    <t>BP - 7</t>
  </si>
  <si>
    <t>BP - 7.5</t>
  </si>
  <si>
    <t>BP - 8</t>
  </si>
  <si>
    <t>BP - 8.5</t>
  </si>
  <si>
    <t>BP - 9</t>
  </si>
  <si>
    <t>BP - 9.5</t>
  </si>
  <si>
    <t>BP - 10</t>
  </si>
  <si>
    <t>BP - 20</t>
  </si>
  <si>
    <t>BP - 30</t>
  </si>
  <si>
    <t>BP - 40</t>
  </si>
  <si>
    <t>BP - 50</t>
  </si>
  <si>
    <t>BP - 60</t>
  </si>
  <si>
    <t>BP - 70</t>
  </si>
  <si>
    <t>BP - 80</t>
  </si>
  <si>
    <t>BP - 90</t>
  </si>
  <si>
    <t>BP - 100</t>
  </si>
  <si>
    <t>070472</t>
  </si>
  <si>
    <t>070151</t>
  </si>
  <si>
    <t>070330</t>
  </si>
  <si>
    <t>070493</t>
  </si>
  <si>
    <t>070887</t>
  </si>
  <si>
    <t>070445</t>
  </si>
  <si>
    <t>070422</t>
  </si>
  <si>
    <t>070307</t>
  </si>
  <si>
    <t>070091</t>
  </si>
  <si>
    <t>070406</t>
  </si>
  <si>
    <t>075190</t>
  </si>
  <si>
    <t>070899</t>
  </si>
  <si>
    <t>074859</t>
  </si>
  <si>
    <t>070895</t>
  </si>
  <si>
    <t>072258</t>
  </si>
  <si>
    <t>072243</t>
  </si>
  <si>
    <t>074643</t>
  </si>
  <si>
    <t>072043</t>
  </si>
  <si>
    <t>070081</t>
  </si>
  <si>
    <t>077827</t>
  </si>
  <si>
    <t>071690</t>
  </si>
  <si>
    <t>072498</t>
  </si>
  <si>
    <t>075003</t>
  </si>
  <si>
    <t>071343</t>
  </si>
  <si>
    <t>061560</t>
  </si>
  <si>
    <t>070149</t>
  </si>
  <si>
    <t>070860</t>
  </si>
  <si>
    <t>074347</t>
  </si>
  <si>
    <t>µm</t>
  </si>
  <si>
    <t>Desviación (µm)</t>
  </si>
  <si>
    <t>Longitud Nom. (µm)</t>
  </si>
  <si>
    <t>〖Δt〗</t>
  </si>
  <si>
    <t>°C</t>
  </si>
  <si>
    <t>Certificado</t>
  </si>
  <si>
    <t>Fecha Calibración</t>
  </si>
  <si>
    <t>Laboratorio/Certificado</t>
  </si>
  <si>
    <t>#</t>
  </si>
  <si>
    <t>Código</t>
  </si>
  <si>
    <r>
      <t xml:space="preserve">t max 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</si>
  <si>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r>
      <t xml:space="preserve">Resolución t 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</si>
  <si>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t>Resolución RH %</t>
  </si>
  <si>
    <r>
      <t>Exactitud ± &lt;45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</si>
  <si>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t>Exactitud ± % HR</t>
  </si>
  <si>
    <r>
      <t>Exactitud</t>
    </r>
    <r>
      <rPr>
        <sz val="10"/>
        <rFont val="Arial"/>
        <family val="2"/>
      </rPr>
      <t>± &lt;45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</si>
  <si>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t>Exactitud ±% HR</t>
  </si>
  <si>
    <t xml:space="preserve">Fluke 971 </t>
  </si>
  <si>
    <t>NI-MCPPT-02</t>
  </si>
  <si>
    <t xml:space="preserve">Testo 608-H1 </t>
  </si>
  <si>
    <t>termometro</t>
  </si>
  <si>
    <t>Fila correspondiente</t>
  </si>
  <si>
    <t xml:space="preserve">Error </t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</si>
  <si>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</si>
  <si>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tpatrón</t>
    </r>
  </si>
  <si>
    <r>
      <rPr>
        <b/>
        <i/>
        <sz val="10"/>
        <rFont val="Cambria"/>
        <family val="1"/>
      </rPr>
      <t>u</t>
    </r>
    <r>
      <rPr>
        <b/>
        <vertAlign val="subscript"/>
        <sz val="10"/>
        <rFont val="Cambria"/>
        <family val="1"/>
      </rPr>
      <t>c</t>
    </r>
  </si>
  <si>
    <r>
      <t>(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</t>
    </r>
    <r>
      <rPr>
        <b/>
        <vertAlign val="superscript"/>
        <sz val="10"/>
        <rFont val="Symbol"/>
        <family val="1"/>
        <charset val="2"/>
      </rPr>
      <t>-1</t>
    </r>
    <r>
      <rPr>
        <b/>
        <sz val="10"/>
        <rFont val="Arial"/>
        <family val="2"/>
      </rPr>
      <t>)</t>
    </r>
  </si>
  <si>
    <r>
      <t>(</t>
    </r>
    <r>
      <rPr>
        <b/>
        <sz val="10"/>
        <rFont val="Arial"/>
        <family val="2"/>
      </rPr>
      <t>°C)</t>
    </r>
  </si>
  <si>
    <t>coeficiente de sensibilidad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</si>
  <si>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</si>
  <si>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</si>
  <si>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m°C)</t>
    </r>
  </si>
  <si>
    <t>Deriva</t>
  </si>
  <si>
    <t>Incertidumbre por deriva</t>
  </si>
  <si>
    <t>Incertidumbre (µm)</t>
  </si>
  <si>
    <t>incertidumbre por deriva (µm)</t>
  </si>
  <si>
    <t>m</t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</si>
  <si>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tm</t>
    </r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</si>
  <si>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m</t>
    </r>
  </si>
  <si>
    <t>primer punto 0</t>
  </si>
  <si>
    <t>Fuente</t>
  </si>
  <si>
    <r>
      <rPr>
        <b/>
        <sz val="10"/>
        <rFont val="Cambria"/>
        <family val="1"/>
      </rPr>
      <t>u</t>
    </r>
    <r>
      <rPr>
        <b/>
        <vertAlign val="subscript"/>
        <sz val="10"/>
        <rFont val="Cambria"/>
        <family val="1"/>
      </rPr>
      <t>xi</t>
    </r>
    <r>
      <rPr>
        <b/>
        <sz val="10"/>
        <rFont val="Cambria"/>
        <family val="1"/>
      </rPr>
      <t xml:space="preserve"> </t>
    </r>
  </si>
  <si>
    <r>
      <t>c</t>
    </r>
    <r>
      <rPr>
        <b/>
        <vertAlign val="subscript"/>
        <sz val="10"/>
        <rFont val="Arial"/>
        <family val="2"/>
      </rPr>
      <t>xi</t>
    </r>
  </si>
  <si>
    <r>
      <t>unidades de c</t>
    </r>
    <r>
      <rPr>
        <b/>
        <vertAlign val="subscript"/>
        <sz val="10"/>
        <rFont val="Arial"/>
        <family val="2"/>
      </rPr>
      <t>xi</t>
    </r>
  </si>
  <si>
    <t>Incertidumbre estandar (k=1)</t>
  </si>
  <si>
    <t>aporte (%)</t>
  </si>
  <si>
    <t>Grados de libertad ʋi</t>
  </si>
  <si>
    <r>
      <t xml:space="preserve">Factor de cobertura,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</si>
  <si>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r>
      <t>x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</si>
  <si>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n</t>
    </r>
    <r>
      <rPr>
        <b/>
        <sz val="7"/>
        <rFont val="Arial"/>
        <family val="2"/>
      </rPr>
      <t>eff</t>
    </r>
  </si>
  <si>
    <t>k</t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</si>
  <si>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x'(°C-1)</t>
    </r>
  </si>
  <si>
    <t>(µm°C)</t>
  </si>
  <si>
    <r>
      <rPr>
        <sz val="10"/>
        <rFont val="Calibri"/>
        <family val="2"/>
      </rPr>
      <t>Δ</t>
    </r>
    <r>
      <rPr>
        <sz val="10"/>
        <rFont val="Arial"/>
        <family val="2"/>
      </rPr>
      <t>tX'(°C)</t>
    </r>
  </si>
  <si>
    <t>(µm°C-1)</t>
  </si>
  <si>
    <r>
      <t>Patrón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</si>
  <si>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¥</t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</si>
  <si>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P</t>
    </r>
    <r>
      <rPr>
        <sz val="10"/>
        <rFont val="Arial"/>
        <family val="2"/>
      </rPr>
      <t>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</si>
  <si>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tP(°C)</t>
    </r>
  </si>
  <si>
    <r>
      <t>Unión de bloques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</si>
  <si>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Paralelismo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</si>
  <si>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Resolución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</si>
  <si>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Segundo punto 1</t>
  </si>
  <si>
    <t>Tercer punto 2</t>
  </si>
  <si>
    <t>Tercer punto 3</t>
  </si>
  <si>
    <t>Tercer punto 4</t>
  </si>
  <si>
    <t>Tercer punto 5</t>
  </si>
  <si>
    <t>Tercer punto 6</t>
  </si>
  <si>
    <t>Tercer punto 7</t>
  </si>
  <si>
    <t>Tercer punto 8</t>
  </si>
  <si>
    <t>Tercer punto 9</t>
  </si>
  <si>
    <t>Tercer punto 10</t>
  </si>
  <si>
    <r>
      <t>m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</si>
  <si>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m(°C-1)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</si>
  <si>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tm'(°C)</t>
    </r>
  </si>
  <si>
    <t>Identificacion del certificado</t>
  </si>
  <si>
    <t>Bloques Patrón Grado 0</t>
  </si>
  <si>
    <t>Codigo de Servicio:</t>
  </si>
  <si>
    <r>
      <t xml:space="preserve">Nombre del cliente </t>
    </r>
    <r>
      <rPr>
        <sz val="7"/>
        <color indexed="12"/>
        <rFont val="Aharoni"/>
      </rPr>
      <t>[Nombre de quien solicita el servicio (natural o jurídico)]</t>
    </r>
    <r>
      <rPr>
        <sz val="10"/>
        <color indexed="12"/>
        <rFont val="Aharoni"/>
      </rPr>
      <t>:</t>
    </r>
  </si>
  <si>
    <t>Tipo de Servicio:</t>
  </si>
  <si>
    <t>Cyrus Anthony Duriez</t>
  </si>
  <si>
    <t>Director Técnico</t>
  </si>
  <si>
    <t>Ciudad o Municipio</t>
  </si>
  <si>
    <t>Departamento</t>
  </si>
  <si>
    <t>Metrología Consultores de Nicaragua S.A.</t>
  </si>
  <si>
    <t>Managua, Nicaragua</t>
  </si>
  <si>
    <t>METROCAL</t>
  </si>
  <si>
    <t>NI-MCPD-03</t>
  </si>
  <si>
    <t>Código:</t>
  </si>
  <si>
    <t>Fredman A Méndez M</t>
  </si>
  <si>
    <r>
      <t>u(</t>
    </r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tm)</t>
    </r>
  </si>
  <si>
    <r>
      <t>u(</t>
    </r>
    <r>
      <rPr>
        <b/>
        <sz val="10"/>
        <rFont val="Calibri"/>
        <family val="2"/>
      </rPr>
      <t>α</t>
    </r>
    <r>
      <rPr>
        <b/>
        <sz val="10"/>
        <rFont val="Arial"/>
        <family val="2"/>
      </rPr>
      <t>m)</t>
    </r>
  </si>
  <si>
    <t>u(m)</t>
  </si>
  <si>
    <t>u Patrón</t>
  </si>
  <si>
    <r>
      <t>u(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patrón)</t>
    </r>
  </si>
  <si>
    <r>
      <t>u(</t>
    </r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tpatrón)</t>
    </r>
  </si>
  <si>
    <t>u(Resolución)</t>
  </si>
  <si>
    <t>incertidumbre expandida</t>
  </si>
  <si>
    <t>Identificación del certificado:</t>
  </si>
  <si>
    <t>Código de servicio:</t>
  </si>
  <si>
    <t>Objeto de calibración:</t>
  </si>
  <si>
    <t xml:space="preserve">Fabricante/Marca: </t>
  </si>
  <si>
    <t>Rango de medida:</t>
  </si>
  <si>
    <t>Código de identificación:</t>
  </si>
  <si>
    <t>Solicitante:</t>
  </si>
  <si>
    <t>Dirección del solicitante:</t>
  </si>
  <si>
    <t>Lugar de calibración:</t>
  </si>
  <si>
    <t>Resultados de la calibración</t>
  </si>
  <si>
    <t xml:space="preserve">Condiciones ambientales  </t>
  </si>
  <si>
    <t>Temperatura: (</t>
  </si>
  <si>
    <t>)</t>
  </si>
  <si>
    <t>Humedad relativa: (</t>
  </si>
  <si>
    <t>% HR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</si>
  <si>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</si>
  <si>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</si>
  <si>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</si>
  <si>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Descripción de patrones utilizados</t>
  </si>
  <si>
    <t>Equipo</t>
  </si>
  <si>
    <t>Trazabilidad</t>
  </si>
  <si>
    <t>Próxima Calibración</t>
  </si>
  <si>
    <t>Observaciones</t>
  </si>
  <si>
    <t>Es responsabilidad del encargado del instrumento establecer la frecuencia del servicio de calibración.</t>
  </si>
  <si>
    <t>Ing. Fredman A. Méndez M.</t>
  </si>
  <si>
    <t>Nulo sin sello y firma</t>
  </si>
  <si>
    <t xml:space="preserve"> .................Fin del certificado................</t>
  </si>
  <si>
    <t>Los resultados emitidos en este certificado corresponden únicamente al objeto calibrado y a las magnitudes</t>
  </si>
  <si>
    <t>especificadas al momento de realizar el servicio.</t>
  </si>
  <si>
    <t>Prueba de Exactitud</t>
  </si>
  <si>
    <t>Longitud Real</t>
  </si>
  <si>
    <t>Rango de Medida:</t>
  </si>
  <si>
    <t>0 mm a 25 mm</t>
  </si>
  <si>
    <t>Lugar de Calibración:</t>
  </si>
  <si>
    <t>Lectura Actual</t>
  </si>
  <si>
    <t>Desviación</t>
  </si>
  <si>
    <t>Incertidumbre Expandida           k=2</t>
  </si>
  <si>
    <t>Convencional</t>
  </si>
  <si>
    <t>(in)</t>
  </si>
  <si>
    <t>Identificación del Equipo</t>
  </si>
  <si>
    <t>Código del Certificado</t>
  </si>
  <si>
    <t>NI-MCPD-01</t>
  </si>
  <si>
    <t>SCM</t>
  </si>
  <si>
    <t>Juego de bloques</t>
  </si>
  <si>
    <t>NI-MCPPT-05</t>
  </si>
  <si>
    <t>SCM Metrología y Laboratorios 20180507-28-3</t>
  </si>
  <si>
    <t>NI-MCPPT-06</t>
  </si>
  <si>
    <t>Extech</t>
  </si>
  <si>
    <t>SCM Metrología y Laboratorios 20180507-28-4</t>
  </si>
  <si>
    <t>METROLOGÍA CONSULTORES DE NICARAGUA, S.A.</t>
  </si>
  <si>
    <t>Base de datos de clientes</t>
  </si>
  <si>
    <t>Clave</t>
  </si>
  <si>
    <t xml:space="preserve">Coyotepe, 800 m norte               </t>
  </si>
  <si>
    <t>ACI-ACN</t>
  </si>
  <si>
    <t>Lotería Nacional, 300 m oeste. Entrada a Edificio Agricorp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</si>
  <si>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</si>
  <si>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</si>
  <si>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</si>
  <si>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</si>
  <si>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</si>
  <si>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</si>
  <si>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</si>
  <si>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Sinsa Altamira, 100 m al sur, 100 m este</t>
  </si>
  <si>
    <t>Apen</t>
  </si>
  <si>
    <t xml:space="preserve">ABASA Coca-Cola </t>
  </si>
  <si>
    <t>km 126,5 ruta al Atlántico, Rio Hondo, Zacapa - Guatemala</t>
  </si>
  <si>
    <t>Parque Industrial Las Mercedes, km 12,5 Carretera Norte</t>
  </si>
  <si>
    <t>Agencia Aduanera GRH S,A.</t>
  </si>
  <si>
    <t>De Los Semáforos de Sabana Grande 1 500 m Este.</t>
  </si>
  <si>
    <t>Plaza España, Edificio Malaga Módulo E8</t>
  </si>
  <si>
    <t>Frente a la Tropigas Cuesta El Plomo, Managua</t>
  </si>
  <si>
    <t xml:space="preserve">ATB TRADING </t>
  </si>
  <si>
    <t>km 11,5 Carretera Masaya, contiguo Bayer</t>
  </si>
  <si>
    <t>Banco de Sangre</t>
  </si>
  <si>
    <t>Reparto Belmonte 7 Sur, Contiguo a La Cruz Roja</t>
  </si>
  <si>
    <t>km 122,5 Carretera Managua, Matagalpa Entrada a Tejerina 500 m al norte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</si>
  <si>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</si>
  <si>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</si>
  <si>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</si>
  <si>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</si>
  <si>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</si>
  <si>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</si>
  <si>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 xml:space="preserve">3 Cruces, 400 m oeste, San Marcos   </t>
  </si>
  <si>
    <t>km 8,5 Carretera Masaya, 100 m Oeste, Managua</t>
  </si>
  <si>
    <t>De Los Semáforos del Hotel Fronteras 800 m Oeste, Ocotal-Nueva Segovia</t>
  </si>
  <si>
    <t>Inspectorate America corp</t>
  </si>
  <si>
    <t>km 8,5 carretera norte, 800 m al norte</t>
  </si>
  <si>
    <t>Km 17 Carretera a Masaya</t>
  </si>
  <si>
    <t>km 3,5 Carretera Norte. El Nuevo Diario 150 m oeste</t>
  </si>
  <si>
    <t>Jinotega, Banpro 100 m Este</t>
  </si>
  <si>
    <t>km 95, Laboratorios Divina, 800 m oeste. León</t>
  </si>
  <si>
    <t>Central American Fisheries S.A.</t>
  </si>
  <si>
    <t xml:space="preserve">km 46,5 Carretera Masaya-Tipitapa </t>
  </si>
  <si>
    <t>CIRA/UNAN-Managua</t>
  </si>
  <si>
    <t>km 82,5 Carretera León - Managua</t>
  </si>
  <si>
    <t>km 119 Carretera a Chinandega, Gasolinera UNO</t>
  </si>
  <si>
    <t>km 12 Carretera a Masaya</t>
  </si>
  <si>
    <t>Cocesna</t>
  </si>
  <si>
    <t>Hospital España 5 km al Oeste</t>
  </si>
  <si>
    <t>Consorcio Europeo Hospital de Chinandega</t>
  </si>
  <si>
    <t>Chinandega</t>
  </si>
  <si>
    <t>Puerto Sandino</t>
  </si>
  <si>
    <t>Carretera Norte, km 12,5 Módulo 2. Zona Franca Las Mercedes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</si>
  <si>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</si>
  <si>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</si>
  <si>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</si>
  <si>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</si>
  <si>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</si>
  <si>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</si>
  <si>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ENEL</t>
  </si>
  <si>
    <t>Managua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</si>
  <si>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</si>
  <si>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</si>
  <si>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</si>
  <si>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</si>
  <si>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</si>
  <si>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km 121 Carretera Managua - Matagalpa</t>
  </si>
  <si>
    <t>Estelí</t>
  </si>
  <si>
    <t>km 109,5 Carretera Panamericana Sur 300 m oeste</t>
  </si>
  <si>
    <t>Selva Negra, Matagalpa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</si>
  <si>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</si>
  <si>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</si>
  <si>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</si>
  <si>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</si>
  <si>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</si>
  <si>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14,5 Carrtera Nueva a León</t>
  </si>
  <si>
    <t>km 12,5 Carretera Norte, Parque Industrial Las Mercedes, modulo # 35</t>
  </si>
  <si>
    <t>km 121 Carretera Sebaco-Matagalpa, frente a portones de SOLCAFE</t>
  </si>
  <si>
    <t>Hacienda la Hammonia y Cia. Ltda</t>
  </si>
  <si>
    <t>Impelsa</t>
  </si>
  <si>
    <t>km 6,5 Carretera Norte, Contiguo a Bodega Pollo Estrella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</si>
  <si>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</si>
  <si>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</si>
  <si>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</si>
  <si>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</si>
  <si>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</si>
  <si>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</si>
  <si>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</si>
  <si>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Puente El Edén 100 m norte, 100 m este, 75 m norte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</si>
  <si>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</si>
  <si>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</si>
  <si>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</si>
  <si>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</si>
  <si>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</si>
  <si>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</si>
  <si>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</si>
  <si>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km 4 Carretera Norte, Managua.</t>
  </si>
  <si>
    <t>Laboratorios Ceguel</t>
  </si>
  <si>
    <t>Carretera Masaya km 45,5 Granada</t>
  </si>
  <si>
    <t>Mina La India, km 174 Carretera León-San Isidro</t>
  </si>
  <si>
    <t>Langostinos de Centroamérica, S.A.</t>
  </si>
  <si>
    <t>km 151 Carretera Chinandega al Guasuale, 2 km oeste</t>
  </si>
  <si>
    <t>Laboratorio Nacional de Diagnostico Veterinario y Microbiología de los Alimentos</t>
  </si>
  <si>
    <t>Laboratorio Nacional de Residuos Químicos y Biológicos</t>
  </si>
  <si>
    <t>Bo. Casimiro Sotelo Enel Central 300 vrs Sur, Managua</t>
  </si>
  <si>
    <t>km 138 Carretera a Corinto, Chinandega</t>
  </si>
  <si>
    <t>km 83 Carretera León</t>
  </si>
  <si>
    <t>Carretera Panamericana, km 153 Estelí, Nicaragua</t>
  </si>
  <si>
    <t>Labnicsa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</si>
  <si>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</si>
  <si>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</si>
  <si>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</si>
  <si>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</si>
  <si>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</si>
  <si>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</si>
  <si>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km 16.8 Carretera Ticuantepe, Pozo Enacal  </t>
  </si>
  <si>
    <t>Margumar</t>
  </si>
  <si>
    <t>Zona Franca Las Mercedes, km 12,5 Carretera Norte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</si>
  <si>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</si>
  <si>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</si>
  <si>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</si>
  <si>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</si>
  <si>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</si>
  <si>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</si>
  <si>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</si>
  <si>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</si>
  <si>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</si>
  <si>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</si>
  <si>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</si>
  <si>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</si>
  <si>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</si>
  <si>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</si>
  <si>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Gasolinera Uno Plaza El Sol 100 m sur, 150 m oeste. Casa # 113 contiguo a SEVASA Los Robles</t>
  </si>
  <si>
    <t>Nicaragua American Cigars S.A.</t>
  </si>
  <si>
    <t>Rotonda el CEPAD 100 m este, 25 m sur</t>
  </si>
  <si>
    <t>km 14 Carretera Nueva a León</t>
  </si>
  <si>
    <t>km 10,5 Carretera Norte, 800 m al norte</t>
  </si>
  <si>
    <t>Orgoma-Nicaragua</t>
  </si>
  <si>
    <t>Cuerpo de Bomberos 175 m oeste, Managua</t>
  </si>
  <si>
    <t>ORTYCAST</t>
  </si>
  <si>
    <t>Semaforos Delicias del Volga, 200 m Norte, 200 m Oeste</t>
  </si>
  <si>
    <t>km 23,5 Carretera Sur, El Crucero.</t>
  </si>
  <si>
    <t>Productos Frescos del Mar San Carlos</t>
  </si>
  <si>
    <t>De La Aldea Santa Elena Choluteca, Honduras, km 2 Carretera hacia Balneario Cedeño</t>
  </si>
  <si>
    <t>Puerto Cabezas, Nicaragua</t>
  </si>
  <si>
    <t>Del puesto de buses (terminal) Masatepe 800 m Sur</t>
  </si>
  <si>
    <t>Estelí costado Norte de la Universidad Farem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</si>
  <si>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</si>
  <si>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</si>
  <si>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</si>
  <si>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</si>
  <si>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</si>
  <si>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</si>
  <si>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</si>
  <si>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</si>
  <si>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</si>
  <si>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</si>
  <si>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</si>
  <si>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</si>
  <si>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</si>
  <si>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Edificio Torres Zamora oficina 7</t>
  </si>
  <si>
    <t>Lomas del Valle N°13 B</t>
  </si>
  <si>
    <t>Simplemente Madera Millworks S.A.</t>
  </si>
  <si>
    <t>km 12,5 Carretera Nueva León, Entrada a Xiloa 300 m Hacia La Laguna</t>
  </si>
  <si>
    <t>Estelí, km 147 Carretera Panamericana Norte, Frente Operaciones Policía Nacional</t>
  </si>
  <si>
    <t>Tabacos del Sol</t>
  </si>
  <si>
    <t>Tabacalera Tavicusa S,A.</t>
  </si>
  <si>
    <t>Surtidora El Oriental 50 m Este, Estelí</t>
  </si>
  <si>
    <t>Tecshoes Latinoamérica</t>
  </si>
  <si>
    <t>Terraexport S.A. (Planta Matagalpa)</t>
  </si>
  <si>
    <t>km 104,5 Carretera Sebaco a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</si>
  <si>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</si>
  <si>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</si>
  <si>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</si>
  <si>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</si>
  <si>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</si>
  <si>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</si>
  <si>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</si>
  <si>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</si>
  <si>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</si>
  <si>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</si>
  <si>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</si>
  <si>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km 90,5 Carretera Managua - León</t>
  </si>
  <si>
    <t>casa</t>
  </si>
  <si>
    <t>Este certificado de calibración no debe ser reproducido sin la aprobación del laboratorio, excepto cuando se</t>
  </si>
  <si>
    <t>reproduce en su totalidad.</t>
  </si>
  <si>
    <t>Fecha de emisión del certificado:</t>
  </si>
  <si>
    <t>Desviación (2019)</t>
  </si>
  <si>
    <t>BP - 0,5</t>
  </si>
  <si>
    <t>Las pruebas se realizaron según NI-MCIT-D-02 Instrucción para calibración de micrómetros para medición de exteriores.</t>
  </si>
  <si>
    <t>km 6 Carretera Norte, Managua.</t>
  </si>
  <si>
    <t>Instituto Mechnikov S.A.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</si>
  <si>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</si>
  <si>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</si>
  <si>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</si>
  <si>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</si>
  <si>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</si>
  <si>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</si>
  <si>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</si>
  <si>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</si>
  <si>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</si>
  <si>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</si>
  <si>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</si>
  <si>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</si>
  <si>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</si>
  <si>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</si>
  <si>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</si>
  <si>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</si>
  <si>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</si>
  <si>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</si>
  <si>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</si>
  <si>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Aivepet Inspecciones Nicaragua S.A.</t>
  </si>
  <si>
    <t xml:space="preserve">Reparto las Palmas, del BAMPRO 2 cuadras al lago, 1 cuadra arriba, ½ cuadra al sur casa 123, (Frente a la Iglesia de los Mormones). </t>
  </si>
  <si>
    <t>Aje Nicaragua S.A.</t>
  </si>
  <si>
    <t>km 3,5 Carretera Norte</t>
  </si>
  <si>
    <t>Albanisa</t>
  </si>
  <si>
    <t>Terminal Benjamín Zeledon Corinto.</t>
  </si>
  <si>
    <t>Alejandro Alonso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</si>
  <si>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</si>
  <si>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</si>
  <si>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</si>
  <si>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</si>
  <si>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</si>
  <si>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</si>
  <si>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</si>
  <si>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</si>
  <si>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</si>
  <si>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km 45,5 Carretera San Marcos-Masatepe, Parque Industrial Las Palmeras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</si>
  <si>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</si>
  <si>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</si>
  <si>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</si>
  <si>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</si>
  <si>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</si>
  <si>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</si>
  <si>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</si>
  <si>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</si>
  <si>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</si>
  <si>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</si>
  <si>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</si>
  <si>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</si>
  <si>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</si>
  <si>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</si>
  <si>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</si>
  <si>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</si>
  <si>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</si>
  <si>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</si>
  <si>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</si>
  <si>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</si>
  <si>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</si>
  <si>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</si>
  <si>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</si>
  <si>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</si>
  <si>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</si>
  <si>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</si>
  <si>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</si>
  <si>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</si>
  <si>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</si>
  <si>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</si>
  <si>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</si>
  <si>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</si>
  <si>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Borinquen, S.A (Empacadora de Raices y Tuberculos)</t>
  </si>
  <si>
    <t>km 179 Carretera a Muy Muy, Comunidad el Plomo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</si>
  <si>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</si>
  <si>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</si>
  <si>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</si>
  <si>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</si>
  <si>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</si>
  <si>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</si>
  <si>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</si>
  <si>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</si>
  <si>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</si>
  <si>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</si>
  <si>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</si>
  <si>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</si>
  <si>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</si>
  <si>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</si>
  <si>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</si>
  <si>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</si>
  <si>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</si>
  <si>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</si>
  <si>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</si>
  <si>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</si>
  <si>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</si>
  <si>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</si>
  <si>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</si>
  <si>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</si>
  <si>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</si>
  <si>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</si>
  <si>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</si>
  <si>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</si>
  <si>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</si>
  <si>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</si>
  <si>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</si>
  <si>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</si>
  <si>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</si>
  <si>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</si>
  <si>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</si>
  <si>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</si>
  <si>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</si>
  <si>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</si>
  <si>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</si>
  <si>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</si>
  <si>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</si>
  <si>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</si>
  <si>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</si>
  <si>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</si>
  <si>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</si>
  <si>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</si>
  <si>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</si>
  <si>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</si>
  <si>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</si>
  <si>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km 6,5 Carretera Norte, Cruz Lorena 800 m norte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</si>
  <si>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</si>
  <si>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</si>
  <si>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</si>
  <si>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</si>
  <si>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</si>
  <si>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</si>
  <si>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</si>
  <si>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</si>
  <si>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</si>
  <si>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</si>
  <si>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</si>
  <si>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</si>
  <si>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</si>
  <si>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</si>
  <si>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</si>
  <si>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</si>
  <si>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</si>
  <si>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</si>
  <si>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</si>
  <si>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</si>
  <si>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Km 212 carretera hacia el Ayote, Chontales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</si>
  <si>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</si>
  <si>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</si>
  <si>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</si>
  <si>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</si>
  <si>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</si>
  <si>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</si>
  <si>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</si>
  <si>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</si>
  <si>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</si>
  <si>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</si>
  <si>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</si>
  <si>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</si>
  <si>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</si>
  <si>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</si>
  <si>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</si>
  <si>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</si>
  <si>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</si>
  <si>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</si>
  <si>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</si>
  <si>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</si>
  <si>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</si>
  <si>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</si>
  <si>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</si>
  <si>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</si>
  <si>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</si>
  <si>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</si>
  <si>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</si>
  <si>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</si>
  <si>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</si>
  <si>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</si>
  <si>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</si>
  <si>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</si>
  <si>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</si>
  <si>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</si>
  <si>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</si>
  <si>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</si>
  <si>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</si>
  <si>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</si>
  <si>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</si>
  <si>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</si>
  <si>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</si>
  <si>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</si>
  <si>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</si>
  <si>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</si>
  <si>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</si>
  <si>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 xml:space="preserve">Planta Electríca Margarita II  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</si>
  <si>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</si>
  <si>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</si>
  <si>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</si>
  <si>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</si>
  <si>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</si>
  <si>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</si>
  <si>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</si>
  <si>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</si>
  <si>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</si>
  <si>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</si>
  <si>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</si>
  <si>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</si>
  <si>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</si>
  <si>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</si>
  <si>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</si>
  <si>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</si>
  <si>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</si>
  <si>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</si>
  <si>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</si>
  <si>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</si>
  <si>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</si>
  <si>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</si>
  <si>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</si>
  <si>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</si>
  <si>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</si>
  <si>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</si>
  <si>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</si>
  <si>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</si>
  <si>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</si>
  <si>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</si>
  <si>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</si>
  <si>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</si>
  <si>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</si>
  <si>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</si>
  <si>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</si>
  <si>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Gildan Activewear y Cía Ltda.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</si>
  <si>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</si>
  <si>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</si>
  <si>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</si>
  <si>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</si>
  <si>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</si>
  <si>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</si>
  <si>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</si>
  <si>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</si>
  <si>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</si>
  <si>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</si>
  <si>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</si>
  <si>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</si>
  <si>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</si>
  <si>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</si>
  <si>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</si>
  <si>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</si>
  <si>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</si>
  <si>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</si>
  <si>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</si>
  <si>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</si>
  <si>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</si>
  <si>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</si>
  <si>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</si>
  <si>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</si>
  <si>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</si>
  <si>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</si>
  <si>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</si>
  <si>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</si>
  <si>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</si>
  <si>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</si>
  <si>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</si>
  <si>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</si>
  <si>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</si>
  <si>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</si>
  <si>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</si>
  <si>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</si>
  <si>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</si>
  <si>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</si>
  <si>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</si>
  <si>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</si>
  <si>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</si>
  <si>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</si>
  <si>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</si>
  <si>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</si>
  <si>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</si>
  <si>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</si>
  <si>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</si>
  <si>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de Pesaje S.A.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</si>
  <si>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</si>
  <si>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</si>
  <si>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</si>
  <si>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</si>
  <si>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</si>
  <si>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Carretera Norte de Laboratorios Ramos, 100 m Norte, 100 m Oeste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</si>
  <si>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</si>
  <si>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</si>
  <si>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</si>
  <si>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</si>
  <si>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</si>
  <si>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</si>
  <si>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</si>
  <si>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</si>
  <si>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</si>
  <si>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</si>
  <si>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</si>
  <si>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</si>
  <si>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</si>
  <si>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</si>
  <si>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</si>
  <si>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</si>
  <si>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</si>
  <si>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</si>
  <si>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</si>
  <si>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</si>
  <si>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</si>
  <si>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</si>
  <si>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</si>
  <si>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</si>
  <si>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</si>
  <si>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</si>
  <si>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</si>
  <si>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</si>
  <si>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</si>
  <si>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</si>
  <si>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</si>
  <si>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</si>
  <si>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</si>
  <si>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</si>
  <si>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</si>
  <si>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</si>
  <si>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</si>
  <si>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</si>
  <si>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</si>
  <si>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</si>
  <si>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</si>
  <si>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</si>
  <si>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</si>
  <si>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</si>
  <si>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</si>
  <si>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</si>
  <si>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</si>
  <si>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</si>
  <si>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</si>
  <si>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</si>
  <si>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</si>
  <si>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</si>
  <si>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</si>
  <si>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</si>
  <si>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</si>
  <si>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</si>
  <si>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</si>
  <si>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</si>
  <si>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</si>
  <si>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</si>
  <si>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</si>
  <si>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</si>
  <si>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</si>
  <si>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</si>
  <si>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</si>
  <si>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</si>
  <si>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</si>
  <si>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</si>
  <si>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</si>
  <si>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</si>
  <si>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</si>
  <si>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</si>
  <si>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</si>
  <si>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</si>
  <si>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</si>
  <si>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</si>
  <si>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</si>
  <si>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</si>
  <si>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</si>
  <si>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</si>
  <si>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</si>
  <si>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</si>
  <si>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</si>
  <si>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</si>
  <si>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</si>
  <si>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</si>
  <si>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</si>
  <si>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</si>
  <si>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</si>
  <si>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</si>
  <si>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</si>
  <si>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</si>
  <si>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</si>
  <si>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</si>
  <si>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</si>
  <si>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</si>
  <si>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</si>
  <si>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</si>
  <si>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</si>
  <si>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</si>
  <si>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</si>
  <si>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</si>
  <si>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</si>
  <si>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</si>
  <si>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</si>
  <si>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</si>
  <si>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</si>
  <si>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</si>
  <si>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</si>
  <si>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</si>
  <si>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</si>
  <si>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</si>
  <si>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</si>
  <si>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</si>
  <si>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</si>
  <si>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</si>
  <si>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</si>
  <si>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</si>
  <si>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</si>
  <si>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</si>
  <si>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</si>
  <si>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</si>
  <si>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</si>
  <si>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</si>
  <si>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</si>
  <si>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</si>
  <si>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</si>
  <si>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</si>
  <si>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</si>
  <si>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</si>
  <si>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</si>
  <si>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</si>
  <si>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</si>
  <si>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</si>
  <si>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</si>
  <si>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</si>
  <si>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</si>
  <si>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</si>
  <si>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</si>
  <si>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</si>
  <si>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</si>
  <si>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</si>
  <si>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</si>
  <si>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</si>
  <si>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</si>
  <si>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</si>
  <si>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</si>
  <si>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</si>
  <si>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</si>
  <si>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</si>
  <si>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</si>
  <si>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</si>
  <si>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</si>
  <si>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</si>
  <si>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</si>
  <si>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</si>
  <si>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</si>
  <si>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</si>
  <si>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</si>
  <si>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</si>
  <si>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</si>
  <si>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</si>
  <si>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</si>
  <si>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</si>
  <si>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</si>
  <si>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</si>
  <si>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</si>
  <si>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</si>
  <si>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</si>
  <si>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</si>
  <si>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</si>
  <si>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</si>
  <si>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</si>
  <si>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</si>
  <si>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</si>
  <si>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</si>
  <si>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</si>
  <si>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</si>
  <si>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</si>
  <si>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</si>
  <si>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</si>
  <si>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</si>
  <si>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</si>
  <si>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</si>
  <si>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</si>
  <si>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</si>
  <si>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</si>
  <si>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</si>
  <si>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</si>
  <si>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</si>
  <si>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</si>
  <si>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</si>
  <si>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</si>
  <si>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</si>
  <si>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</si>
  <si>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</si>
  <si>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</si>
  <si>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</si>
  <si>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</si>
  <si>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</si>
  <si>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</si>
  <si>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</si>
  <si>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</si>
  <si>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</si>
  <si>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</si>
  <si>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</si>
  <si>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</si>
  <si>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</si>
  <si>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</si>
  <si>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</si>
  <si>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</si>
  <si>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</si>
  <si>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</si>
  <si>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</si>
  <si>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</si>
  <si>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</si>
  <si>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</si>
  <si>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</si>
  <si>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</si>
  <si>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</si>
  <si>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</si>
  <si>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</si>
  <si>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</si>
  <si>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</si>
  <si>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</si>
  <si>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</si>
  <si>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</si>
  <si>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</si>
  <si>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</si>
  <si>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</si>
  <si>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</si>
  <si>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</si>
  <si>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</si>
  <si>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</si>
  <si>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</si>
  <si>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</si>
  <si>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</si>
  <si>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</si>
  <si>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</si>
  <si>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</si>
  <si>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</si>
  <si>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</si>
  <si>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</si>
  <si>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</si>
  <si>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</si>
  <si>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</si>
  <si>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</si>
  <si>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</si>
  <si>
    <t>Desviación (2022)</t>
  </si>
  <si>
    <t>SCM Metrología y Laboratorios SCM-00039468</t>
  </si>
  <si>
    <t>SCM Metrología y Laboratorios SCM-00039467</t>
  </si>
  <si>
    <t>SCM-00039459</t>
  </si>
  <si>
    <t>SCM-00039461</t>
  </si>
  <si>
    <t>Higrotermómetro</t>
  </si>
  <si>
    <t>SCM-00039467</t>
  </si>
  <si>
    <t>Luis A. Guevara</t>
  </si>
  <si>
    <t>EXTECH</t>
  </si>
  <si>
    <t>SCM Metrología y Laboratorios SCM-00039471</t>
  </si>
  <si>
    <t>SCM-00039471</t>
  </si>
  <si>
    <t>Extech SD700</t>
  </si>
  <si>
    <t>Corrección 2019</t>
  </si>
  <si>
    <t>Corrección 2022</t>
  </si>
  <si>
    <t>D</t>
  </si>
  <si>
    <t>Cáclulo de Deriva NI-MCPPT-02</t>
  </si>
  <si>
    <t>Cáclulo de Deriva NI-MCPPT-05</t>
  </si>
  <si>
    <t>Cáclulo de Deriva NI-MCPPT-06</t>
  </si>
  <si>
    <r>
      <rPr>
        <sz val="10"/>
        <rFont val="Symbol"/>
        <family val="1"/>
        <charset val="2"/>
      </rPr>
      <t>ax</t>
    </r>
    <r>
      <rPr>
        <sz val="10"/>
        <rFont val="Arial"/>
        <family val="2"/>
      </rPr>
      <t>(°C-1)</t>
    </r>
  </si>
  <si>
    <r>
      <t>X</t>
    </r>
    <r>
      <rPr>
        <b/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</si>
  <si>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</si>
  <si>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</si>
  <si>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</si>
  <si>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</si>
  <si>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</si>
  <si>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</si>
  <si>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</si>
  <si>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</si>
  <si>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t>X6</t>
  </si>
  <si>
    <t>X7</t>
  </si>
  <si>
    <t>X8</t>
  </si>
  <si>
    <t>X9</t>
  </si>
  <si>
    <t>X10</t>
  </si>
  <si>
    <t>NI-MC-D-02-Testificación Auditoría Interna-2023</t>
  </si>
  <si>
    <t>No Aplica (N/A)</t>
  </si>
  <si>
    <t>2023-11-25</t>
  </si>
  <si>
    <t>NI-CS-0644-23</t>
  </si>
  <si>
    <t>Laboratorio #1 Metrocal</t>
  </si>
  <si>
    <t>33236972</t>
  </si>
  <si>
    <t>Empresa</t>
  </si>
  <si>
    <t>Fecha</t>
  </si>
  <si>
    <t>Lugar de calibración</t>
  </si>
  <si>
    <t xml:space="preserve">Labotarorio de Calidad </t>
  </si>
  <si>
    <t>NI-CS-</t>
  </si>
  <si>
    <t>NI-CS-0062-23</t>
  </si>
  <si>
    <t>Descripción dispositivo</t>
  </si>
  <si>
    <r>
      <t>Fabricante/</t>
    </r>
    <r>
      <rPr>
        <sz val="9"/>
        <rFont val="Arial"/>
        <family val="2"/>
      </rPr>
      <t>Marca</t>
    </r>
  </si>
  <si>
    <t>Modelo</t>
  </si>
  <si>
    <t>293-145-30</t>
  </si>
  <si>
    <t>No de serie</t>
  </si>
  <si>
    <t>NIC-M-045</t>
  </si>
  <si>
    <r>
      <t xml:space="preserve">Rango </t>
    </r>
    <r>
      <rPr>
        <u/>
        <sz val="9"/>
        <color rgb="FFFF0000"/>
        <rFont val="Arial"/>
        <family val="2"/>
      </rPr>
      <t>de medida</t>
    </r>
  </si>
  <si>
    <t>0 mm a 150 mm</t>
  </si>
  <si>
    <t>Longitud</t>
  </si>
  <si>
    <t>Analógico</t>
  </si>
  <si>
    <t>Digital</t>
  </si>
  <si>
    <t>T. A. (ºC):</t>
  </si>
  <si>
    <t>H R (%):</t>
  </si>
  <si>
    <t>Equipo utilizado:</t>
  </si>
  <si>
    <t>Tiempo de estabilización (minutos)</t>
  </si>
  <si>
    <t>Lugar de estabilización</t>
  </si>
  <si>
    <t>Iniciales</t>
  </si>
  <si>
    <t>Finales</t>
  </si>
  <si>
    <t>NI-MCPD-</t>
  </si>
  <si>
    <r>
      <t>X</t>
    </r>
    <r>
      <rPr>
        <vertAlign val="subscript"/>
        <sz val="10"/>
        <rFont val="Arial"/>
        <family val="2"/>
      </rPr>
      <t>1</t>
    </r>
  </si>
  <si>
    <r>
      <t>X</t>
    </r>
    <r>
      <rPr>
        <vertAlign val="subscript"/>
        <sz val="10"/>
        <rFont val="Arial"/>
        <family val="2"/>
      </rPr>
      <t>2</t>
    </r>
  </si>
  <si>
    <t>Valor Nominal del Patrón (mm)</t>
  </si>
  <si>
    <t>REVISADO Y APROBADO</t>
  </si>
  <si>
    <t>Firma:</t>
  </si>
  <si>
    <t xml:space="preserve">EMITIÓ </t>
  </si>
  <si>
    <t>FECHA</t>
  </si>
  <si>
    <t>NI-MC-D-</t>
  </si>
  <si>
    <r>
      <t>X</t>
    </r>
    <r>
      <rPr>
        <vertAlign val="subscript"/>
        <sz val="10"/>
        <rFont val="Arial"/>
        <family val="2"/>
      </rPr>
      <t>3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</si>
  <si>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4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</si>
  <si>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5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</si>
  <si>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6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</si>
  <si>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7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</si>
  <si>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8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</si>
  <si>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9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</si>
  <si>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10</t>
    </r>
    <r>
      <rPr>
        <sz val="11"/>
        <color theme="1"/>
        <rFont val="Arial"/>
        <family val="2"/>
      </rPr>
      <t/>
    </r>
  </si>
  <si>
    <t>Unidad</t>
  </si>
  <si>
    <r>
      <t>1.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>INFORMACIÓN DEL CLIENTE</t>
    </r>
    <r>
      <rPr>
        <sz val="9"/>
        <rFont val="Arial"/>
        <family val="2"/>
      </rPr>
      <t xml:space="preserve"> </t>
    </r>
  </si>
  <si>
    <r>
      <t>2.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 xml:space="preserve"> INFORMACIÓN DEL EQUIPO</t>
    </r>
  </si>
  <si>
    <r>
      <t>3.</t>
    </r>
    <r>
      <rPr>
        <b/>
        <sz val="7"/>
        <rFont val="Arial"/>
        <family val="2"/>
      </rPr>
      <t xml:space="preserve">    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 xml:space="preserve">CONDICIONES AMBIENTALES </t>
    </r>
  </si>
  <si>
    <r>
      <t>4.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>DESCRIPCIÓN DEL PATRÓN</t>
    </r>
  </si>
  <si>
    <r>
      <t>5.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>OBSERVACIONES PREVIO A LA CALIBRACIÓN</t>
    </r>
  </si>
  <si>
    <r>
      <t>6.</t>
    </r>
    <r>
      <rPr>
        <b/>
        <i/>
        <sz val="7"/>
        <rFont val="Arial"/>
        <family val="2"/>
      </rPr>
      <t xml:space="preserve">    </t>
    </r>
    <r>
      <rPr>
        <b/>
        <sz val="9"/>
        <rFont val="Arial"/>
        <family val="2"/>
      </rPr>
      <t>COMPROBACIÓN DEL CERO DEL INSTRUMENTO</t>
    </r>
  </si>
  <si>
    <r>
      <t>7.</t>
    </r>
    <r>
      <rPr>
        <b/>
        <sz val="7"/>
        <rFont val="Arial"/>
        <family val="2"/>
      </rPr>
      <t xml:space="preserve">    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>PRUEBA DE EXACTITUD CARA DE MEDICIÓN DE EXTERIORES</t>
    </r>
  </si>
  <si>
    <r>
      <t>8.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 xml:space="preserve"> REALIZADO POR </t>
    </r>
  </si>
  <si>
    <r>
      <t>9.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 xml:space="preserve">NÚMERO DE CERTIFICADO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</si>
</sst>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"/>
    <numFmt numFmtId="165" formatCode="0.000"/>
    <numFmt numFmtId="166" formatCode="0.0"/>
    <numFmt numFmtId="167" formatCode="\ 0####0\ "/>
    <numFmt numFmtId="168" formatCode="0.0000"/>
    <numFmt numFmtId="169" formatCode="0.00000"/>
    <numFmt numFmtId="170" formatCode="0.0000000"/>
    <numFmt numFmtId="171" formatCode="yyyy\-mm\-dd;@"/>
    <numFmt numFmtId="172" formatCode="0.00000000"/>
  </numFmts>
  <fonts count="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7"/>
      <name val="Arial"/>
      <family val="2"/>
    </font>
    <font>
      <b/>
      <sz val="9"/>
      <color indexed="12"/>
      <name val="Arial"/>
      <family val="2"/>
    </font>
    <font>
      <b/>
      <sz val="7"/>
      <name val="Arial"/>
      <family val="2"/>
    </font>
    <font>
      <b/>
      <sz val="10"/>
      <name val="Symbol"/>
      <family val="1"/>
      <charset val="2"/>
    </font>
    <font>
      <i/>
      <sz val="10"/>
      <name val="Arial"/>
      <family val="2"/>
    </font>
    <font>
      <sz val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18"/>
      <name val="Arial"/>
      <family val="2"/>
    </font>
    <font>
      <b/>
      <vertAlign val="subscript"/>
      <sz val="10"/>
      <name val="Arial"/>
      <family val="2"/>
    </font>
    <font>
      <b/>
      <sz val="8.5"/>
      <color indexed="12"/>
      <name val="Arial"/>
      <family val="2"/>
    </font>
    <font>
      <sz val="8"/>
      <name val="Arial"/>
      <family val="2"/>
    </font>
    <font>
      <b/>
      <sz val="14"/>
      <color indexed="16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vertAlign val="superscript"/>
      <sz val="11"/>
      <color indexed="8"/>
      <name val="Calibri"/>
      <family val="2"/>
    </font>
    <font>
      <b/>
      <sz val="16"/>
      <name val="Arial"/>
      <family val="2"/>
    </font>
    <font>
      <b/>
      <sz val="10"/>
      <name val="Calibri"/>
      <family val="2"/>
    </font>
    <font>
      <b/>
      <i/>
      <sz val="10"/>
      <name val="Cambria"/>
      <family val="1"/>
    </font>
    <font>
      <b/>
      <vertAlign val="subscript"/>
      <sz val="10"/>
      <name val="Cambria"/>
      <family val="1"/>
    </font>
    <font>
      <b/>
      <vertAlign val="superscript"/>
      <sz val="10"/>
      <name val="Symbol"/>
      <family val="1"/>
      <charset val="2"/>
    </font>
    <font>
      <b/>
      <vertAlign val="superscript"/>
      <sz val="10"/>
      <name val="Arial"/>
      <family val="2"/>
    </font>
    <font>
      <b/>
      <sz val="10"/>
      <name val="Cambria"/>
      <family val="1"/>
    </font>
    <font>
      <sz val="14"/>
      <name val="Arial"/>
      <family val="2"/>
    </font>
    <font>
      <b/>
      <i/>
      <sz val="10"/>
      <name val="Arial"/>
      <family val="2"/>
    </font>
    <font>
      <sz val="10"/>
      <name val="Symbol"/>
      <family val="1"/>
      <charset val="2"/>
    </font>
    <font>
      <b/>
      <sz val="11"/>
      <name val="Symbol"/>
      <family val="1"/>
      <charset val="2"/>
    </font>
    <font>
      <sz val="10"/>
      <name val="Calibri"/>
      <family val="2"/>
    </font>
    <font>
      <b/>
      <sz val="12"/>
      <name val="Symbol"/>
      <family val="1"/>
      <charset val="2"/>
    </font>
    <font>
      <b/>
      <sz val="8"/>
      <color indexed="17"/>
      <name val="Tahoma"/>
      <family val="2"/>
    </font>
    <font>
      <b/>
      <sz val="10"/>
      <name val="Aharoni"/>
    </font>
    <font>
      <b/>
      <sz val="10"/>
      <color indexed="12"/>
      <name val="Aharoni"/>
    </font>
    <font>
      <sz val="7"/>
      <color indexed="12"/>
      <name val="Aharoni"/>
    </font>
    <font>
      <sz val="10"/>
      <color indexed="12"/>
      <name val="Aharoni"/>
    </font>
    <font>
      <b/>
      <sz val="9"/>
      <color indexed="12"/>
      <name val="Aharon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2"/>
      <color rgb="FF0000FF"/>
      <name val="Arial"/>
      <family val="2"/>
    </font>
    <font>
      <b/>
      <sz val="10"/>
      <name val="Cambria"/>
      <family val="1"/>
      <scheme val="maj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FFFF0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1"/>
      <charset val="2"/>
    </font>
    <font>
      <b/>
      <sz val="9"/>
      <name val="Arial"/>
      <family val="2"/>
    </font>
    <font>
      <sz val="9"/>
      <name val="Arial"/>
      <family val="2"/>
    </font>
    <font>
      <u/>
      <sz val="9"/>
      <color rgb="FFFF0000"/>
      <name val="Arial"/>
      <family val="2"/>
    </font>
    <font>
      <b/>
      <sz val="4"/>
      <name val="Arial"/>
      <family val="2"/>
    </font>
    <font>
      <sz val="4"/>
      <name val="Arial"/>
      <family val="2"/>
    </font>
    <font>
      <b/>
      <sz val="8"/>
      <name val="Arial"/>
      <family val="2"/>
    </font>
    <font>
      <vertAlign val="subscript"/>
      <sz val="10"/>
      <name val="Arial"/>
      <family val="2"/>
    </font>
    <font>
      <b/>
      <u/>
      <sz val="9"/>
      <color rgb="FFFF0000"/>
      <name val="Arial"/>
      <family val="2"/>
    </font>
    <font>
      <b/>
      <i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50" fillId="0" borderId="0"/>
    <xf numFmtId="0" fontId="3" fillId="0" borderId="0"/>
  </cellStyleXfs>
  <cellXfs count="564">
    <xf numFmtId="0" fontId="0" fillId="0" borderId="0" xfId="0"/>
    <xf numFmtId="0" fontId="4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6" fillId="0" borderId="12" xfId="0" quotePrefix="1" applyFont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5" fontId="7" fillId="0" borderId="13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right" vertical="center"/>
    </xf>
    <xf numFmtId="2" fontId="7" fillId="3" borderId="0" xfId="0" applyNumberFormat="1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53" fillId="0" borderId="1" xfId="1" applyFont="1" applyBorder="1"/>
    <xf numFmtId="0" fontId="7" fillId="0" borderId="1" xfId="1" applyBorder="1"/>
    <xf numFmtId="165" fontId="7" fillId="0" borderId="1" xfId="1" applyNumberFormat="1" applyBorder="1"/>
    <xf numFmtId="2" fontId="54" fillId="5" borderId="1" xfId="1" applyNumberFormat="1" applyFont="1" applyFill="1" applyBorder="1"/>
    <xf numFmtId="165" fontId="7" fillId="6" borderId="1" xfId="1" applyNumberFormat="1" applyFill="1" applyBorder="1"/>
    <xf numFmtId="0" fontId="7" fillId="0" borderId="0" xfId="1"/>
    <xf numFmtId="0" fontId="6" fillId="0" borderId="0" xfId="1" applyFont="1"/>
    <xf numFmtId="1" fontId="53" fillId="0" borderId="0" xfId="1" applyNumberFormat="1" applyFont="1"/>
    <xf numFmtId="165" fontId="55" fillId="5" borderId="1" xfId="1" applyNumberFormat="1" applyFont="1" applyFill="1" applyBorder="1"/>
    <xf numFmtId="165" fontId="0" fillId="0" borderId="0" xfId="0" applyNumberFormat="1" applyAlignment="1">
      <alignment vertical="center"/>
    </xf>
    <xf numFmtId="0" fontId="56" fillId="0" borderId="25" xfId="1" applyFont="1" applyBorder="1" applyAlignment="1">
      <alignment horizontal="center"/>
    </xf>
    <xf numFmtId="0" fontId="56" fillId="0" borderId="0" xfId="1" applyFont="1"/>
    <xf numFmtId="166" fontId="0" fillId="0" borderId="0" xfId="0" applyNumberFormat="1" applyAlignment="1">
      <alignment vertical="center"/>
    </xf>
    <xf numFmtId="2" fontId="7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2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7" fillId="3" borderId="5" xfId="0" applyFont="1" applyFill="1" applyBorder="1" applyAlignment="1">
      <alignment horizontal="center" vertical="center"/>
    </xf>
    <xf numFmtId="0" fontId="6" fillId="3" borderId="8" xfId="0" quotePrefix="1" applyFont="1" applyFill="1" applyBorder="1" applyAlignment="1">
      <alignment horizontal="center" vertical="center"/>
    </xf>
    <xf numFmtId="0" fontId="6" fillId="3" borderId="28" xfId="0" quotePrefix="1" applyFont="1" applyFill="1" applyBorder="1" applyAlignment="1">
      <alignment horizontal="center" vertical="center"/>
    </xf>
    <xf numFmtId="0" fontId="6" fillId="3" borderId="30" xfId="0" quotePrefix="1" applyFont="1" applyFill="1" applyBorder="1" applyAlignment="1">
      <alignment horizontal="center" vertical="center"/>
    </xf>
    <xf numFmtId="0" fontId="6" fillId="3" borderId="19" xfId="0" quotePrefix="1" applyFont="1" applyFill="1" applyBorder="1" applyAlignment="1">
      <alignment horizontal="center" vertical="center"/>
    </xf>
    <xf numFmtId="0" fontId="6" fillId="3" borderId="12" xfId="0" quotePrefix="1" applyFont="1" applyFill="1" applyBorder="1" applyAlignment="1">
      <alignment horizontal="center" vertical="center"/>
    </xf>
    <xf numFmtId="0" fontId="6" fillId="3" borderId="9" xfId="0" quotePrefix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66" fontId="7" fillId="3" borderId="16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7" fillId="3" borderId="16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165" fontId="53" fillId="0" borderId="0" xfId="0" applyNumberFormat="1" applyFont="1" applyAlignment="1">
      <alignment horizontal="center" vertical="center"/>
    </xf>
    <xf numFmtId="0" fontId="0" fillId="7" borderId="14" xfId="0" applyFill="1" applyBorder="1" applyAlignment="1">
      <alignment vertical="center"/>
    </xf>
    <xf numFmtId="0" fontId="0" fillId="7" borderId="29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28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32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1" fontId="0" fillId="0" borderId="16" xfId="0" applyNumberForma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165" fontId="7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3" borderId="29" xfId="0" applyFont="1" applyFill="1" applyBorder="1" applyAlignment="1">
      <alignment horizontal="left" vertical="center" wrapText="1"/>
    </xf>
    <xf numFmtId="0" fontId="7" fillId="0" borderId="1" xfId="0" quotePrefix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53" fillId="8" borderId="17" xfId="0" applyNumberFormat="1" applyFont="1" applyFill="1" applyBorder="1" applyAlignment="1">
      <alignment horizontal="center"/>
    </xf>
    <xf numFmtId="1" fontId="53" fillId="8" borderId="17" xfId="0" applyNumberFormat="1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36" fillId="5" borderId="25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0" fillId="3" borderId="0" xfId="0" applyNumberFormat="1" applyFill="1" applyAlignment="1">
      <alignment horizontal="center"/>
    </xf>
    <xf numFmtId="2" fontId="53" fillId="3" borderId="0" xfId="0" applyNumberFormat="1" applyFont="1" applyFill="1" applyAlignment="1">
      <alignment horizontal="center"/>
    </xf>
    <xf numFmtId="1" fontId="53" fillId="3" borderId="0" xfId="0" applyNumberFormat="1" applyFont="1" applyFill="1" applyAlignment="1">
      <alignment horizontal="center"/>
    </xf>
    <xf numFmtId="0" fontId="41" fillId="3" borderId="0" xfId="0" applyFon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0" xfId="0" applyFill="1"/>
    <xf numFmtId="166" fontId="53" fillId="8" borderId="17" xfId="0" applyNumberFormat="1" applyFon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49" fontId="9" fillId="9" borderId="1" xfId="0" applyNumberFormat="1" applyFont="1" applyFill="1" applyBorder="1" applyAlignment="1" applyProtection="1">
      <alignment horizontal="center"/>
      <protection locked="0"/>
    </xf>
    <xf numFmtId="0" fontId="6" fillId="9" borderId="1" xfId="0" applyFont="1" applyFill="1" applyBorder="1" applyProtection="1">
      <protection locked="0"/>
    </xf>
    <xf numFmtId="166" fontId="7" fillId="9" borderId="1" xfId="0" applyNumberFormat="1" applyFont="1" applyFill="1" applyBorder="1" applyAlignment="1" applyProtection="1">
      <alignment horizontal="center"/>
      <protection locked="0"/>
    </xf>
    <xf numFmtId="0" fontId="7" fillId="9" borderId="1" xfId="0" applyFont="1" applyFill="1" applyBorder="1" applyAlignment="1" applyProtection="1">
      <alignment horizontal="center"/>
      <protection locked="0"/>
    </xf>
    <xf numFmtId="0" fontId="15" fillId="5" borderId="1" xfId="0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49" fontId="7" fillId="9" borderId="0" xfId="0" applyNumberFormat="1" applyFont="1" applyFill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43" fillId="10" borderId="1" xfId="0" applyFont="1" applyFill="1" applyBorder="1"/>
    <xf numFmtId="0" fontId="8" fillId="10" borderId="0" xfId="0" applyFont="1" applyFill="1" applyProtection="1">
      <protection locked="0"/>
    </xf>
    <xf numFmtId="49" fontId="9" fillId="10" borderId="0" xfId="0" applyNumberFormat="1" applyFont="1" applyFill="1" applyProtection="1">
      <protection locked="0"/>
    </xf>
    <xf numFmtId="0" fontId="8" fillId="10" borderId="0" xfId="0" applyFont="1" applyFill="1"/>
    <xf numFmtId="0" fontId="6" fillId="10" borderId="0" xfId="0" applyFont="1" applyFill="1" applyAlignment="1">
      <alignment horizontal="center"/>
    </xf>
    <xf numFmtId="0" fontId="9" fillId="10" borderId="24" xfId="0" applyFont="1" applyFill="1" applyBorder="1" applyAlignment="1" applyProtection="1">
      <alignment horizontal="center"/>
      <protection locked="0"/>
    </xf>
    <xf numFmtId="0" fontId="9" fillId="10" borderId="0" xfId="0" applyFont="1" applyFill="1" applyAlignment="1" applyProtection="1">
      <alignment horizontal="center"/>
      <protection locked="0"/>
    </xf>
    <xf numFmtId="0" fontId="17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49" fontId="12" fillId="10" borderId="0" xfId="0" applyNumberFormat="1" applyFont="1" applyFill="1" applyAlignment="1" applyProtection="1">
      <alignment horizontal="left"/>
      <protection locked="0"/>
    </xf>
    <xf numFmtId="0" fontId="10" fillId="10" borderId="0" xfId="0" applyFont="1" applyFill="1" applyAlignment="1" applyProtection="1">
      <alignment horizontal="center"/>
      <protection locked="0"/>
    </xf>
    <xf numFmtId="0" fontId="10" fillId="10" borderId="25" xfId="0" applyFont="1" applyFill="1" applyBorder="1" applyAlignment="1">
      <alignment horizontal="left"/>
    </xf>
    <xf numFmtId="49" fontId="0" fillId="10" borderId="25" xfId="0" applyNumberFormat="1" applyFill="1" applyBorder="1" applyAlignment="1" applyProtection="1">
      <alignment horizontal="left"/>
      <protection locked="0"/>
    </xf>
    <xf numFmtId="49" fontId="0" fillId="10" borderId="0" xfId="0" applyNumberFormat="1" applyFill="1" applyAlignment="1" applyProtection="1">
      <alignment horizontal="left"/>
      <protection locked="0"/>
    </xf>
    <xf numFmtId="0" fontId="4" fillId="10" borderId="29" xfId="0" applyFont="1" applyFill="1" applyBorder="1"/>
    <xf numFmtId="0" fontId="4" fillId="10" borderId="0" xfId="0" applyFont="1" applyFill="1"/>
    <xf numFmtId="0" fontId="14" fillId="10" borderId="0" xfId="0" applyFont="1" applyFill="1" applyAlignment="1">
      <alignment horizontal="left"/>
    </xf>
    <xf numFmtId="0" fontId="7" fillId="10" borderId="23" xfId="0" applyFont="1" applyFill="1" applyBorder="1" applyProtection="1">
      <protection locked="0"/>
    </xf>
    <xf numFmtId="0" fontId="7" fillId="10" borderId="23" xfId="0" applyFont="1" applyFill="1" applyBorder="1" applyAlignment="1" applyProtection="1">
      <alignment horizontal="left"/>
      <protection locked="0"/>
    </xf>
    <xf numFmtId="0" fontId="7" fillId="10" borderId="0" xfId="0" applyFont="1" applyFill="1" applyAlignment="1" applyProtection="1">
      <alignment horizontal="left"/>
      <protection locked="0"/>
    </xf>
    <xf numFmtId="0" fontId="23" fillId="10" borderId="0" xfId="0" applyFont="1" applyFill="1" applyAlignment="1">
      <alignment horizontal="right"/>
    </xf>
    <xf numFmtId="0" fontId="4" fillId="10" borderId="0" xfId="0" applyFont="1" applyFill="1" applyProtection="1">
      <protection locked="0"/>
    </xf>
    <xf numFmtId="0" fontId="10" fillId="10" borderId="0" xfId="0" applyFont="1" applyFill="1"/>
    <xf numFmtId="0" fontId="14" fillId="10" borderId="0" xfId="0" applyFont="1" applyFill="1" applyAlignment="1">
      <alignment horizontal="right"/>
    </xf>
    <xf numFmtId="0" fontId="7" fillId="10" borderId="0" xfId="0" applyFont="1" applyFill="1" applyAlignment="1">
      <alignment horizontal="right"/>
    </xf>
    <xf numFmtId="0" fontId="7" fillId="10" borderId="0" xfId="0" applyFont="1" applyFill="1" applyAlignment="1">
      <alignment horizontal="left"/>
    </xf>
    <xf numFmtId="0" fontId="10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left"/>
    </xf>
    <xf numFmtId="0" fontId="7" fillId="10" borderId="1" xfId="0" applyFont="1" applyFill="1" applyBorder="1"/>
    <xf numFmtId="0" fontId="4" fillId="10" borderId="1" xfId="0" applyFont="1" applyFill="1" applyBorder="1"/>
    <xf numFmtId="0" fontId="10" fillId="0" borderId="0" xfId="0" applyFont="1" applyAlignment="1">
      <alignment horizontal="left"/>
    </xf>
    <xf numFmtId="0" fontId="36" fillId="11" borderId="25" xfId="0" applyFont="1" applyFill="1" applyBorder="1" applyAlignment="1">
      <alignment horizontal="center"/>
    </xf>
    <xf numFmtId="0" fontId="36" fillId="11" borderId="0" xfId="0" applyFont="1" applyFill="1" applyAlignment="1">
      <alignment horizontal="center"/>
    </xf>
    <xf numFmtId="0" fontId="0" fillId="11" borderId="0" xfId="0" applyFill="1"/>
    <xf numFmtId="0" fontId="6" fillId="11" borderId="1" xfId="0" applyFont="1" applyFill="1" applyBorder="1" applyAlignment="1">
      <alignment horizontal="center" vertical="center"/>
    </xf>
    <xf numFmtId="0" fontId="57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/>
    <xf numFmtId="165" fontId="7" fillId="11" borderId="1" xfId="0" applyNumberFormat="1" applyFon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7" fillId="11" borderId="29" xfId="0" applyFont="1" applyFill="1" applyBorder="1" applyAlignment="1">
      <alignment horizontal="left" vertical="center" wrapText="1"/>
    </xf>
    <xf numFmtId="0" fontId="7" fillId="11" borderId="1" xfId="0" quotePrefix="1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53" fillId="11" borderId="17" xfId="0" applyNumberFormat="1" applyFont="1" applyFill="1" applyBorder="1" applyAlignment="1">
      <alignment horizontal="center"/>
    </xf>
    <xf numFmtId="1" fontId="53" fillId="11" borderId="17" xfId="0" applyNumberFormat="1" applyFont="1" applyFill="1" applyBorder="1" applyAlignment="1">
      <alignment horizontal="center"/>
    </xf>
    <xf numFmtId="0" fontId="41" fillId="11" borderId="1" xfId="0" applyFont="1" applyFill="1" applyBorder="1" applyAlignment="1">
      <alignment horizontal="center"/>
    </xf>
    <xf numFmtId="3" fontId="7" fillId="11" borderId="1" xfId="0" applyNumberFormat="1" applyFont="1" applyFill="1" applyBorder="1" applyAlignment="1">
      <alignment horizontal="center"/>
    </xf>
    <xf numFmtId="0" fontId="37" fillId="11" borderId="1" xfId="0" applyFont="1" applyFill="1" applyBorder="1" applyAlignment="1">
      <alignment horizontal="center"/>
    </xf>
    <xf numFmtId="2" fontId="7" fillId="0" borderId="34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172" fontId="0" fillId="0" borderId="0" xfId="0" applyNumberFormat="1" applyAlignment="1">
      <alignment vertical="center"/>
    </xf>
    <xf numFmtId="0" fontId="36" fillId="5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65" fontId="7" fillId="3" borderId="13" xfId="0" applyNumberFormat="1" applyFont="1" applyFill="1" applyBorder="1" applyAlignment="1">
      <alignment horizontal="center" vertical="center"/>
    </xf>
    <xf numFmtId="170" fontId="0" fillId="3" borderId="0" xfId="0" applyNumberFormat="1" applyFill="1" applyAlignment="1">
      <alignment vertical="center"/>
    </xf>
    <xf numFmtId="11" fontId="0" fillId="0" borderId="0" xfId="0" applyNumberFormat="1" applyAlignment="1">
      <alignment vertical="center"/>
    </xf>
    <xf numFmtId="11" fontId="7" fillId="3" borderId="16" xfId="0" applyNumberFormat="1" applyFont="1" applyFill="1" applyBorder="1" applyAlignment="1">
      <alignment horizontal="center" vertical="center"/>
    </xf>
    <xf numFmtId="0" fontId="0" fillId="5" borderId="0" xfId="0" applyFill="1"/>
    <xf numFmtId="0" fontId="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165" fontId="7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left" vertical="center" wrapText="1"/>
    </xf>
    <xf numFmtId="0" fontId="7" fillId="5" borderId="1" xfId="0" quotePrefix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2" fontId="53" fillId="5" borderId="17" xfId="0" applyNumberFormat="1" applyFont="1" applyFill="1" applyBorder="1" applyAlignment="1">
      <alignment horizontal="center"/>
    </xf>
    <xf numFmtId="1" fontId="53" fillId="5" borderId="17" xfId="0" applyNumberFormat="1" applyFont="1" applyFill="1" applyBorder="1" applyAlignment="1">
      <alignment horizontal="center"/>
    </xf>
    <xf numFmtId="0" fontId="41" fillId="5" borderId="1" xfId="0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37" fillId="5" borderId="1" xfId="0" applyFont="1" applyFill="1" applyBorder="1" applyAlignment="1">
      <alignment horizontal="center"/>
    </xf>
    <xf numFmtId="0" fontId="58" fillId="0" borderId="0" xfId="0" applyFont="1" applyAlignment="1">
      <alignment horizontal="left" indent="1"/>
    </xf>
    <xf numFmtId="0" fontId="58" fillId="0" borderId="0" xfId="0" applyFont="1" applyAlignment="1">
      <alignment horizontal="left" indent="3"/>
    </xf>
    <xf numFmtId="0" fontId="59" fillId="0" borderId="0" xfId="0" applyFont="1"/>
    <xf numFmtId="0" fontId="55" fillId="0" borderId="0" xfId="0" applyFont="1"/>
    <xf numFmtId="0" fontId="55" fillId="0" borderId="0" xfId="0" applyFont="1" applyAlignment="1">
      <alignment horizontal="left"/>
    </xf>
    <xf numFmtId="0" fontId="58" fillId="0" borderId="0" xfId="0" applyFont="1" applyAlignment="1">
      <alignment horizontal="left" indent="5"/>
    </xf>
    <xf numFmtId="171" fontId="55" fillId="0" borderId="0" xfId="0" applyNumberFormat="1" applyFont="1"/>
    <xf numFmtId="0" fontId="58" fillId="0" borderId="0" xfId="0" applyFont="1" applyAlignment="1">
      <alignment horizontal="left" vertical="center" indent="1"/>
    </xf>
    <xf numFmtId="0" fontId="55" fillId="0" borderId="0" xfId="0" applyFont="1" applyAlignment="1">
      <alignment wrapText="1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right"/>
    </xf>
    <xf numFmtId="166" fontId="55" fillId="0" borderId="0" xfId="0" applyNumberFormat="1" applyFont="1" applyAlignment="1">
      <alignment horizontal="center"/>
    </xf>
    <xf numFmtId="0" fontId="58" fillId="0" borderId="0" xfId="0" applyFont="1" applyAlignment="1">
      <alignment horizontal="left"/>
    </xf>
    <xf numFmtId="0" fontId="55" fillId="3" borderId="0" xfId="0" applyFont="1" applyFill="1" applyAlignment="1">
      <alignment vertical="top"/>
    </xf>
    <xf numFmtId="0" fontId="55" fillId="0" borderId="0" xfId="0" applyFont="1" applyAlignment="1">
      <alignment vertical="top"/>
    </xf>
    <xf numFmtId="0" fontId="55" fillId="0" borderId="0" xfId="0" applyFont="1" applyAlignment="1">
      <alignment horizontal="justify" vertical="top" wrapText="1"/>
    </xf>
    <xf numFmtId="0" fontId="5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2" fontId="55" fillId="0" borderId="0" xfId="0" applyNumberFormat="1" applyFont="1"/>
    <xf numFmtId="0" fontId="58" fillId="0" borderId="0" xfId="0" applyFont="1"/>
    <xf numFmtId="0" fontId="30" fillId="0" borderId="0" xfId="0" applyFont="1" applyAlignment="1">
      <alignment horizontal="center" vertical="center"/>
    </xf>
    <xf numFmtId="169" fontId="7" fillId="0" borderId="16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10" borderId="0" xfId="0" applyFill="1"/>
    <xf numFmtId="0" fontId="44" fillId="10" borderId="0" xfId="0" applyFont="1" applyFill="1"/>
    <xf numFmtId="0" fontId="51" fillId="10" borderId="22" xfId="0" applyFont="1" applyFill="1" applyBorder="1"/>
    <xf numFmtId="0" fontId="51" fillId="0" borderId="29" xfId="0" applyFont="1" applyBorder="1" applyAlignment="1">
      <alignment horizontal="center"/>
    </xf>
    <xf numFmtId="49" fontId="51" fillId="0" borderId="29" xfId="0" applyNumberFormat="1" applyFont="1" applyBorder="1" applyAlignment="1">
      <alignment horizontal="center"/>
    </xf>
    <xf numFmtId="0" fontId="0" fillId="5" borderId="0" xfId="0" applyFill="1" applyAlignment="1" applyProtection="1">
      <alignment horizont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right"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 wrapText="1"/>
      <protection locked="0"/>
    </xf>
    <xf numFmtId="0" fontId="0" fillId="3" borderId="25" xfId="0" applyFill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43" fillId="10" borderId="0" xfId="0" applyFont="1" applyFill="1"/>
    <xf numFmtId="49" fontId="9" fillId="10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65" fontId="0" fillId="3" borderId="25" xfId="0" applyNumberFormat="1" applyFill="1" applyBorder="1" applyAlignment="1" applyProtection="1">
      <alignment horizontal="right" vertical="center"/>
      <protection locked="0"/>
    </xf>
    <xf numFmtId="168" fontId="0" fillId="3" borderId="25" xfId="0" applyNumberFormat="1" applyFill="1" applyBorder="1" applyAlignment="1" applyProtection="1">
      <alignment horizontal="right" vertical="center"/>
      <protection locked="0"/>
    </xf>
    <xf numFmtId="0" fontId="10" fillId="10" borderId="0" xfId="0" applyFont="1" applyFill="1" applyAlignment="1">
      <alignment horizontal="left"/>
    </xf>
    <xf numFmtId="0" fontId="10" fillId="10" borderId="0" xfId="0" applyFont="1" applyFill="1" applyAlignment="1">
      <alignment horizontal="right"/>
    </xf>
    <xf numFmtId="0" fontId="7" fillId="10" borderId="23" xfId="0" applyFont="1" applyFill="1" applyBorder="1" applyAlignment="1">
      <alignment horizontal="right"/>
    </xf>
    <xf numFmtId="0" fontId="4" fillId="10" borderId="0" xfId="0" applyFont="1" applyFill="1" applyAlignment="1">
      <alignment horizontal="left"/>
    </xf>
    <xf numFmtId="0" fontId="25" fillId="10" borderId="0" xfId="0" applyFont="1" applyFill="1" applyAlignment="1">
      <alignment horizontal="center"/>
    </xf>
    <xf numFmtId="0" fontId="43" fillId="10" borderId="22" xfId="0" applyFont="1" applyFill="1" applyBorder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2" fillId="13" borderId="0" xfId="0" applyFont="1" applyFill="1" applyAlignment="1" applyProtection="1">
      <alignment horizontal="center"/>
      <protection locked="0"/>
    </xf>
    <xf numFmtId="0" fontId="62" fillId="13" borderId="0" xfId="0" applyFont="1" applyFill="1" applyAlignment="1" applyProtection="1">
      <alignment horizontal="left" vertical="center" wrapText="1"/>
      <protection locked="0"/>
    </xf>
    <xf numFmtId="0" fontId="55" fillId="0" borderId="0" xfId="0" applyFont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horizontal="left" vertical="center" wrapText="1"/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left" vertical="center" wrapText="1"/>
    </xf>
    <xf numFmtId="0" fontId="55" fillId="0" borderId="0" xfId="0" applyFont="1" applyAlignment="1">
      <alignment vertical="center" wrapText="1"/>
    </xf>
    <xf numFmtId="0" fontId="55" fillId="0" borderId="0" xfId="0" applyFont="1" applyAlignment="1" applyProtection="1">
      <alignment horizontal="left" vertical="top"/>
      <protection locked="0"/>
    </xf>
    <xf numFmtId="0" fontId="55" fillId="0" borderId="0" xfId="0" applyFont="1" applyAlignment="1" applyProtection="1">
      <alignment vertical="center" wrapText="1"/>
      <protection locked="0"/>
    </xf>
    <xf numFmtId="0" fontId="59" fillId="0" borderId="0" xfId="0" applyFont="1" applyAlignment="1">
      <alignment vertical="center"/>
    </xf>
    <xf numFmtId="0" fontId="55" fillId="0" borderId="0" xfId="0" applyFont="1" applyAlignment="1">
      <alignment horizontal="left" vertical="center"/>
    </xf>
    <xf numFmtId="3" fontId="55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vertical="top"/>
    </xf>
    <xf numFmtId="166" fontId="52" fillId="0" borderId="1" xfId="0" applyNumberFormat="1" applyFont="1" applyBorder="1" applyAlignment="1">
      <alignment vertical="top"/>
    </xf>
    <xf numFmtId="0" fontId="63" fillId="0" borderId="1" xfId="0" applyFont="1" applyBorder="1" applyAlignment="1">
      <alignment horizontal="center" vertical="top"/>
    </xf>
    <xf numFmtId="0" fontId="64" fillId="0" borderId="1" xfId="0" applyFont="1" applyBorder="1" applyAlignment="1">
      <alignment horizontal="center" vertical="top"/>
    </xf>
    <xf numFmtId="171" fontId="64" fillId="0" borderId="22" xfId="0" applyNumberFormat="1" applyFont="1" applyBorder="1" applyAlignment="1">
      <alignment horizontal="center" vertical="top"/>
    </xf>
    <xf numFmtId="0" fontId="64" fillId="0" borderId="22" xfId="0" applyFont="1" applyBorder="1" applyAlignment="1">
      <alignment horizontal="center" vertical="top"/>
    </xf>
    <xf numFmtId="0" fontId="64" fillId="0" borderId="23" xfId="0" applyFont="1" applyBorder="1" applyAlignment="1">
      <alignment horizontal="center" vertical="top"/>
    </xf>
    <xf numFmtId="0" fontId="64" fillId="0" borderId="24" xfId="0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/>
    <xf numFmtId="171" fontId="52" fillId="0" borderId="22" xfId="0" applyNumberFormat="1" applyFont="1" applyBorder="1" applyAlignment="1">
      <alignment horizontal="center" vertical="top"/>
    </xf>
    <xf numFmtId="168" fontId="7" fillId="6" borderId="1" xfId="1" applyNumberFormat="1" applyFill="1" applyBorder="1"/>
    <xf numFmtId="0" fontId="4" fillId="0" borderId="0" xfId="0" applyFont="1" applyAlignment="1" applyProtection="1">
      <alignment vertical="center"/>
      <protection locked="0"/>
    </xf>
    <xf numFmtId="2" fontId="55" fillId="5" borderId="1" xfId="1" applyNumberFormat="1" applyFont="1" applyFill="1" applyBorder="1"/>
    <xf numFmtId="165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7" fillId="9" borderId="11" xfId="0" applyNumberFormat="1" applyFont="1" applyFill="1" applyBorder="1" applyAlignment="1" applyProtection="1">
      <alignment horizontal="center" vertical="center"/>
      <protection locked="0"/>
    </xf>
    <xf numFmtId="165" fontId="7" fillId="9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4" fillId="11" borderId="1" xfId="0" applyFont="1" applyFill="1" applyBorder="1"/>
    <xf numFmtId="0" fontId="65" fillId="11" borderId="1" xfId="0" applyFont="1" applyFill="1" applyBorder="1"/>
    <xf numFmtId="0" fontId="6" fillId="0" borderId="47" xfId="0" applyFont="1" applyBorder="1" applyAlignment="1">
      <alignment horizontal="center" vertical="center"/>
    </xf>
    <xf numFmtId="0" fontId="7" fillId="0" borderId="28" xfId="0" applyFont="1" applyBorder="1" applyAlignment="1" applyProtection="1">
      <alignment horizontal="left" vertical="center" wrapText="1"/>
      <protection locked="0"/>
    </xf>
    <xf numFmtId="165" fontId="0" fillId="3" borderId="0" xfId="0" applyNumberFormat="1" applyFill="1" applyAlignment="1" applyProtection="1">
      <alignment horizontal="right" vertical="center"/>
      <protection locked="0"/>
    </xf>
    <xf numFmtId="0" fontId="0" fillId="3" borderId="0" xfId="0" applyFill="1" applyAlignment="1" applyProtection="1">
      <alignment horizontal="right" vertical="center"/>
      <protection locked="0"/>
    </xf>
    <xf numFmtId="0" fontId="67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 wrapText="1"/>
    </xf>
    <xf numFmtId="0" fontId="68" fillId="0" borderId="1" xfId="0" applyFont="1" applyBorder="1" applyAlignment="1">
      <alignment vertical="center" wrapText="1"/>
    </xf>
    <xf numFmtId="0" fontId="67" fillId="0" borderId="1" xfId="0" applyFont="1" applyBorder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7" fillId="0" borderId="0" xfId="0" applyFont="1" applyAlignment="1">
      <alignment horizontal="center"/>
    </xf>
    <xf numFmtId="0" fontId="68" fillId="0" borderId="0" xfId="0" applyFont="1" applyAlignment="1">
      <alignment vertical="center" wrapText="1"/>
    </xf>
    <xf numFmtId="0" fontId="67" fillId="0" borderId="0" xfId="0" applyFont="1" applyAlignment="1">
      <alignment horizontal="center" vertical="center" wrapText="1"/>
    </xf>
    <xf numFmtId="0" fontId="69" fillId="0" borderId="0" xfId="0" applyFont="1" applyAlignment="1">
      <alignment horizontal="justify" vertical="center"/>
    </xf>
    <xf numFmtId="0" fontId="68" fillId="0" borderId="0" xfId="0" applyFont="1" applyAlignment="1">
      <alignment horizontal="left" vertical="center"/>
    </xf>
    <xf numFmtId="0" fontId="67" fillId="0" borderId="0" xfId="0" applyFont="1" applyAlignment="1">
      <alignment vertical="center" wrapText="1"/>
    </xf>
    <xf numFmtId="0" fontId="70" fillId="0" borderId="0" xfId="0" applyFont="1" applyAlignment="1">
      <alignment horizontal="justify" vertical="center"/>
    </xf>
    <xf numFmtId="0" fontId="24" fillId="0" borderId="0" xfId="0" applyFont="1" applyProtection="1">
      <protection locked="0"/>
    </xf>
    <xf numFmtId="0" fontId="71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6" fillId="0" borderId="0" xfId="0" applyFont="1" applyAlignment="1">
      <alignment horizontal="justify" vertical="center"/>
    </xf>
    <xf numFmtId="0" fontId="73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5" fillId="10" borderId="0" xfId="0" applyFont="1" applyFill="1" applyAlignment="1">
      <alignment horizontal="center"/>
    </xf>
    <xf numFmtId="0" fontId="10" fillId="10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8" fillId="10" borderId="22" xfId="0" applyFont="1" applyFill="1" applyBorder="1"/>
    <xf numFmtId="0" fontId="8" fillId="10" borderId="23" xfId="0" applyFont="1" applyFill="1" applyBorder="1"/>
    <xf numFmtId="0" fontId="8" fillId="10" borderId="24" xfId="0" applyFont="1" applyFill="1" applyBorder="1"/>
    <xf numFmtId="0" fontId="43" fillId="10" borderId="22" xfId="0" applyFont="1" applyFill="1" applyBorder="1"/>
    <xf numFmtId="0" fontId="43" fillId="10" borderId="23" xfId="0" applyFont="1" applyFill="1" applyBorder="1"/>
    <xf numFmtId="0" fontId="43" fillId="10" borderId="24" xfId="0" applyFont="1" applyFill="1" applyBorder="1"/>
    <xf numFmtId="0" fontId="6" fillId="9" borderId="28" xfId="0" applyFont="1" applyFill="1" applyBorder="1" applyProtection="1">
      <protection locked="0"/>
    </xf>
    <xf numFmtId="0" fontId="6" fillId="9" borderId="0" xfId="0" applyFont="1" applyFill="1" applyProtection="1">
      <protection locked="0"/>
    </xf>
    <xf numFmtId="0" fontId="44" fillId="10" borderId="0" xfId="0" applyFont="1" applyFill="1" applyAlignment="1">
      <alignment horizontal="left"/>
    </xf>
    <xf numFmtId="0" fontId="44" fillId="10" borderId="0" xfId="0" applyFont="1" applyFill="1" applyAlignment="1">
      <alignment horizontal="center"/>
    </xf>
    <xf numFmtId="0" fontId="4" fillId="10" borderId="0" xfId="0" applyFont="1" applyFill="1" applyAlignment="1">
      <alignment horizontal="left"/>
    </xf>
    <xf numFmtId="0" fontId="44" fillId="0" borderId="0" xfId="0" applyFont="1" applyAlignment="1">
      <alignment horizontal="center"/>
    </xf>
    <xf numFmtId="0" fontId="21" fillId="10" borderId="0" xfId="0" applyFont="1" applyFill="1" applyAlignment="1">
      <alignment horizontal="center"/>
    </xf>
    <xf numFmtId="0" fontId="7" fillId="9" borderId="22" xfId="0" applyFont="1" applyFill="1" applyBorder="1" applyAlignment="1" applyProtection="1">
      <alignment horizontal="center"/>
      <protection locked="0"/>
    </xf>
    <xf numFmtId="0" fontId="7" fillId="9" borderId="24" xfId="0" applyFont="1" applyFill="1" applyBorder="1" applyAlignment="1" applyProtection="1">
      <alignment horizontal="center"/>
      <protection locked="0"/>
    </xf>
    <xf numFmtId="0" fontId="8" fillId="10" borderId="22" xfId="0" applyFont="1" applyFill="1" applyBorder="1" applyAlignment="1">
      <alignment horizontal="left"/>
    </xf>
    <xf numFmtId="0" fontId="8" fillId="10" borderId="24" xfId="0" applyFont="1" applyFill="1" applyBorder="1" applyAlignment="1">
      <alignment horizontal="left"/>
    </xf>
    <xf numFmtId="0" fontId="10" fillId="10" borderId="0" xfId="0" applyFont="1" applyFill="1" applyAlignment="1">
      <alignment horizontal="center"/>
    </xf>
    <xf numFmtId="0" fontId="10" fillId="10" borderId="5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7" fillId="9" borderId="0" xfId="0" applyFont="1" applyFill="1" applyProtection="1">
      <protection locked="0"/>
    </xf>
    <xf numFmtId="0" fontId="47" fillId="10" borderId="0" xfId="0" applyFont="1" applyFill="1" applyAlignment="1">
      <alignment horizontal="center"/>
    </xf>
    <xf numFmtId="0" fontId="7" fillId="10" borderId="0" xfId="0" applyFont="1" applyFill="1" applyProtection="1">
      <protection locked="0"/>
    </xf>
    <xf numFmtId="0" fontId="10" fillId="10" borderId="22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43" fillId="10" borderId="0" xfId="0" applyFont="1" applyFill="1" applyAlignment="1">
      <alignment horizontal="center"/>
    </xf>
    <xf numFmtId="0" fontId="43" fillId="10" borderId="32" xfId="0" applyFont="1" applyFill="1" applyBorder="1" applyAlignment="1">
      <alignment horizontal="center"/>
    </xf>
    <xf numFmtId="0" fontId="4" fillId="10" borderId="0" xfId="0" applyFont="1" applyFill="1"/>
    <xf numFmtId="0" fontId="47" fillId="10" borderId="22" xfId="0" applyFont="1" applyFill="1" applyBorder="1" applyAlignment="1">
      <alignment horizontal="left"/>
    </xf>
    <xf numFmtId="0" fontId="47" fillId="10" borderId="23" xfId="0" applyFont="1" applyFill="1" applyBorder="1" applyAlignment="1">
      <alignment horizontal="left"/>
    </xf>
    <xf numFmtId="0" fontId="7" fillId="10" borderId="23" xfId="0" applyFont="1" applyFill="1" applyBorder="1" applyAlignment="1">
      <alignment horizontal="left"/>
    </xf>
    <xf numFmtId="49" fontId="4" fillId="9" borderId="0" xfId="0" applyNumberFormat="1" applyFont="1" applyFill="1" applyAlignment="1" applyProtection="1">
      <alignment horizontal="left" wrapText="1"/>
      <protection locked="0"/>
    </xf>
    <xf numFmtId="49" fontId="7" fillId="9" borderId="0" xfId="0" applyNumberFormat="1" applyFont="1" applyFill="1" applyAlignment="1" applyProtection="1">
      <alignment horizontal="left"/>
      <protection locked="0"/>
    </xf>
    <xf numFmtId="49" fontId="4" fillId="9" borderId="0" xfId="0" applyNumberFormat="1" applyFont="1" applyFill="1" applyAlignment="1" applyProtection="1">
      <alignment horizontal="left"/>
      <protection locked="0"/>
    </xf>
    <xf numFmtId="0" fontId="10" fillId="10" borderId="23" xfId="0" applyFont="1" applyFill="1" applyBorder="1" applyAlignment="1">
      <alignment horizontal="center"/>
    </xf>
    <xf numFmtId="0" fontId="10" fillId="10" borderId="0" xfId="0" applyFont="1" applyFill="1" applyAlignment="1">
      <alignment horizontal="right"/>
    </xf>
    <xf numFmtId="0" fontId="44" fillId="10" borderId="23" xfId="0" applyFont="1" applyFill="1" applyBorder="1" applyAlignment="1">
      <alignment horizontal="left"/>
    </xf>
    <xf numFmtId="0" fontId="44" fillId="10" borderId="22" xfId="0" applyFont="1" applyFill="1" applyBorder="1" applyAlignment="1">
      <alignment horizontal="left"/>
    </xf>
    <xf numFmtId="0" fontId="7" fillId="10" borderId="23" xfId="0" applyFont="1" applyFill="1" applyBorder="1" applyAlignment="1">
      <alignment horizontal="right"/>
    </xf>
    <xf numFmtId="0" fontId="5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6" fillId="0" borderId="0" xfId="0" applyFont="1" applyAlignment="1">
      <alignment horizontal="left" vertical="center"/>
    </xf>
    <xf numFmtId="0" fontId="67" fillId="0" borderId="1" xfId="0" applyFont="1" applyBorder="1" applyAlignment="1">
      <alignment horizontal="center" vertical="center"/>
    </xf>
    <xf numFmtId="171" fontId="67" fillId="0" borderId="1" xfId="0" applyNumberFormat="1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left"/>
    </xf>
    <xf numFmtId="0" fontId="67" fillId="0" borderId="1" xfId="0" applyFont="1" applyBorder="1" applyAlignment="1">
      <alignment vertical="center"/>
    </xf>
    <xf numFmtId="0" fontId="67" fillId="0" borderId="22" xfId="0" applyFont="1" applyBorder="1" applyAlignment="1">
      <alignment horizontal="left" vertical="center" wrapText="1"/>
    </xf>
    <xf numFmtId="0" fontId="67" fillId="0" borderId="24" xfId="0" applyFont="1" applyBorder="1" applyAlignment="1">
      <alignment horizontal="left" vertical="center" wrapText="1"/>
    </xf>
    <xf numFmtId="0" fontId="67" fillId="0" borderId="23" xfId="0" applyFont="1" applyBorder="1" applyAlignment="1">
      <alignment horizontal="left" vertical="center" wrapText="1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4" fillId="0" borderId="22" xfId="0" applyFont="1" applyBorder="1" applyAlignment="1" applyProtection="1">
      <alignment horizontal="left" vertical="center"/>
      <protection locked="0"/>
    </xf>
    <xf numFmtId="0" fontId="24" fillId="0" borderId="24" xfId="0" applyFont="1" applyBorder="1" applyAlignment="1" applyProtection="1">
      <alignment horizontal="left" vertical="center"/>
      <protection locked="0"/>
    </xf>
    <xf numFmtId="0" fontId="24" fillId="0" borderId="1" xfId="0" applyFont="1" applyBorder="1" applyAlignment="1" applyProtection="1">
      <alignment horizontal="left" vertical="center" wrapText="1"/>
      <protection locked="0"/>
    </xf>
    <xf numFmtId="0" fontId="67" fillId="0" borderId="22" xfId="0" applyFont="1" applyBorder="1" applyAlignment="1">
      <alignment horizontal="center" vertical="center"/>
    </xf>
    <xf numFmtId="0" fontId="67" fillId="0" borderId="23" xfId="0" applyFont="1" applyBorder="1" applyAlignment="1">
      <alignment horizontal="center" vertical="center"/>
    </xf>
    <xf numFmtId="0" fontId="67" fillId="0" borderId="24" xfId="0" applyFont="1" applyBorder="1" applyAlignment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67" fillId="0" borderId="29" xfId="0" applyFont="1" applyBorder="1" applyAlignment="1">
      <alignment horizontal="center" vertical="center"/>
    </xf>
    <xf numFmtId="0" fontId="66" fillId="0" borderId="2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24" fillId="0" borderId="22" xfId="0" applyFont="1" applyBorder="1" applyAlignment="1" applyProtection="1">
      <alignment horizontal="center" vertical="center" wrapText="1"/>
      <protection locked="0"/>
    </xf>
    <xf numFmtId="0" fontId="24" fillId="0" borderId="23" xfId="0" applyFont="1" applyBorder="1" applyAlignment="1" applyProtection="1">
      <alignment horizontal="center" vertical="center" wrapText="1"/>
      <protection locked="0"/>
    </xf>
    <xf numFmtId="0" fontId="24" fillId="0" borderId="24" xfId="0" applyFont="1" applyBorder="1" applyAlignment="1" applyProtection="1">
      <alignment horizontal="center" vertical="center" wrapText="1"/>
      <protection locked="0"/>
    </xf>
    <xf numFmtId="0" fontId="24" fillId="0" borderId="14" xfId="0" applyFont="1" applyBorder="1" applyAlignment="1" applyProtection="1">
      <alignment horizontal="center" vertical="center" wrapText="1"/>
      <protection locked="0"/>
    </xf>
    <xf numFmtId="0" fontId="24" fillId="0" borderId="29" xfId="0" applyFont="1" applyBorder="1" applyAlignment="1" applyProtection="1">
      <alignment horizontal="center" vertical="center" wrapText="1"/>
      <protection locked="0"/>
    </xf>
    <xf numFmtId="0" fontId="24" fillId="0" borderId="31" xfId="0" applyFont="1" applyBorder="1" applyAlignment="1" applyProtection="1">
      <alignment horizontal="center" vertical="center" wrapText="1"/>
      <protection locked="0"/>
    </xf>
    <xf numFmtId="0" fontId="24" fillId="0" borderId="16" xfId="0" applyFont="1" applyBorder="1" applyAlignment="1" applyProtection="1">
      <alignment horizontal="center" vertical="center" wrapText="1"/>
      <protection locked="0"/>
    </xf>
    <xf numFmtId="0" fontId="24" fillId="0" borderId="25" xfId="0" applyFont="1" applyBorder="1" applyAlignment="1" applyProtection="1">
      <alignment horizontal="center" vertical="center" wrapText="1"/>
      <protection locked="0"/>
    </xf>
    <xf numFmtId="0" fontId="24" fillId="0" borderId="33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right" vertical="center" wrapText="1"/>
    </xf>
    <xf numFmtId="0" fontId="71" fillId="0" borderId="22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9" fillId="5" borderId="0" xfId="1" applyFont="1" applyFill="1" applyAlignment="1">
      <alignment horizontal="center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52" fillId="0" borderId="22" xfId="0" applyFont="1" applyBorder="1" applyAlignment="1">
      <alignment horizontal="center" vertical="top"/>
    </xf>
    <xf numFmtId="0" fontId="52" fillId="0" borderId="23" xfId="0" applyFont="1" applyBorder="1" applyAlignment="1">
      <alignment horizontal="center" vertical="top"/>
    </xf>
    <xf numFmtId="0" fontId="52" fillId="0" borderId="24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6" fillId="0" borderId="0" xfId="1" applyFont="1" applyAlignment="1">
      <alignment horizontal="center"/>
    </xf>
    <xf numFmtId="0" fontId="6" fillId="0" borderId="3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6" fillId="0" borderId="25" xfId="1" applyFont="1" applyBorder="1" applyAlignment="1">
      <alignment horizont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2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166" fontId="7" fillId="0" borderId="1" xfId="0" applyNumberFormat="1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/>
    </xf>
    <xf numFmtId="165" fontId="7" fillId="0" borderId="23" xfId="0" applyNumberFormat="1" applyFont="1" applyBorder="1" applyAlignment="1">
      <alignment horizontal="center" vertical="center"/>
    </xf>
    <xf numFmtId="165" fontId="7" fillId="0" borderId="24" xfId="0" applyNumberFormat="1" applyFont="1" applyBorder="1" applyAlignment="1">
      <alignment horizontal="center" vertical="center"/>
    </xf>
    <xf numFmtId="166" fontId="7" fillId="0" borderId="22" xfId="0" applyNumberFormat="1" applyFont="1" applyBorder="1" applyAlignment="1">
      <alignment horizontal="center" vertical="center"/>
    </xf>
    <xf numFmtId="166" fontId="7" fillId="0" borderId="23" xfId="0" applyNumberFormat="1" applyFont="1" applyBorder="1" applyAlignment="1">
      <alignment horizontal="center" vertical="center"/>
    </xf>
    <xf numFmtId="166" fontId="7" fillId="0" borderId="24" xfId="0" applyNumberFormat="1" applyFont="1" applyBorder="1" applyAlignment="1">
      <alignment horizontal="center" vertical="center"/>
    </xf>
    <xf numFmtId="171" fontId="61" fillId="0" borderId="1" xfId="2" applyNumberFormat="1" applyFont="1" applyBorder="1" applyAlignment="1">
      <alignment horizontal="center" vertical="center"/>
    </xf>
    <xf numFmtId="0" fontId="61" fillId="0" borderId="22" xfId="0" applyFont="1" applyBorder="1" applyAlignment="1">
      <alignment horizontal="center" vertical="top" wrapText="1"/>
    </xf>
    <xf numFmtId="0" fontId="61" fillId="0" borderId="23" xfId="0" applyFont="1" applyBorder="1" applyAlignment="1">
      <alignment horizontal="center" vertical="top" wrapText="1"/>
    </xf>
    <xf numFmtId="0" fontId="61" fillId="0" borderId="24" xfId="0" applyFont="1" applyBorder="1" applyAlignment="1">
      <alignment horizontal="center" vertical="top" wrapText="1"/>
    </xf>
    <xf numFmtId="0" fontId="61" fillId="0" borderId="1" xfId="2" applyFont="1" applyBorder="1" applyAlignment="1">
      <alignment horizontal="center" vertical="center"/>
    </xf>
    <xf numFmtId="0" fontId="58" fillId="0" borderId="0" xfId="0" applyFont="1" applyAlignment="1">
      <alignment horizontal="left"/>
    </xf>
    <xf numFmtId="0" fontId="55" fillId="0" borderId="0" xfId="0" applyFont="1" applyAlignment="1">
      <alignment horizontal="center"/>
    </xf>
    <xf numFmtId="166" fontId="55" fillId="0" borderId="0" xfId="0" applyNumberFormat="1" applyFont="1" applyAlignment="1">
      <alignment horizontal="center"/>
    </xf>
    <xf numFmtId="0" fontId="58" fillId="12" borderId="1" xfId="0" applyFont="1" applyFill="1" applyBorder="1" applyAlignment="1">
      <alignment horizontal="center" vertical="top" wrapText="1"/>
    </xf>
    <xf numFmtId="0" fontId="60" fillId="12" borderId="1" xfId="0" applyFont="1" applyFill="1" applyBorder="1" applyAlignment="1">
      <alignment horizontal="center" vertical="center"/>
    </xf>
    <xf numFmtId="171" fontId="55" fillId="0" borderId="0" xfId="0" applyNumberFormat="1" applyFont="1" applyAlignment="1">
      <alignment horizontal="left"/>
    </xf>
    <xf numFmtId="0" fontId="5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1" fillId="0" borderId="0" xfId="0" applyFont="1" applyAlignment="1">
      <alignment horizontal="center"/>
    </xf>
    <xf numFmtId="0" fontId="55" fillId="0" borderId="29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right"/>
    </xf>
    <xf numFmtId="0" fontId="55" fillId="0" borderId="0" xfId="0" applyFont="1" applyAlignment="1">
      <alignment horizontal="justify" vertical="top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top" wrapText="1"/>
    </xf>
    <xf numFmtId="0" fontId="55" fillId="0" borderId="23" xfId="0" applyFont="1" applyBorder="1" applyAlignment="1">
      <alignment horizontal="center" vertical="top" wrapText="1"/>
    </xf>
    <xf numFmtId="0" fontId="55" fillId="0" borderId="24" xfId="0" applyFont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rmal 4" xfId="2" xr:uid="{00000000-0005-0000-0000-000003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Style="combo" dx="26" fmlaLink="'Datos Generales'!$F$1" fmlaRange="'Datos Generales'!$F$3:$F$7" noThreeD="1" sel="1" val="0"/>
</file>

<file path=xl/ctrlProps/ctrlProp10.xml><?xml version="1.0" encoding="utf-8"?>
<formControlPr xmlns="http://schemas.microsoft.com/office/spreadsheetml/2009/9/main" objectType="Drop" dropStyle="combo" dx="26" fmlaLink="Patrones!$L$12" fmlaRange="Patrones!$B$7:$B$91" noThreeD="1" sel="30" val="25"/>
</file>

<file path=xl/ctrlProps/ctrlProp100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01.xml><?xml version="1.0" encoding="utf-8"?>
<formControlPr xmlns="http://schemas.microsoft.com/office/spreadsheetml/2009/9/main" objectType="Drop" dropStyle="combo" dx="26" fmlaLink="Patrones!$R$36" fmlaRange="Patrones!$B$7:$B$91" noThreeD="1" sel="30" val="29"/>
</file>

<file path=xl/ctrlProps/ctrlProp102.xml><?xml version="1.0" encoding="utf-8"?>
<formControlPr xmlns="http://schemas.microsoft.com/office/spreadsheetml/2009/9/main" objectType="Drop" dropStyle="combo" dx="26" fmlaLink="Patrones!$S$42" fmlaRange="Patrones!$B$7:$B$91" noThreeD="1" sel="30" val="29"/>
</file>

<file path=xl/ctrlProps/ctrlProp103.xml><?xml version="1.0" encoding="utf-8"?>
<formControlPr xmlns="http://schemas.microsoft.com/office/spreadsheetml/2009/9/main" objectType="Drop" dropStyle="combo" dx="26" fmlaLink="Patrones!$L$48" fmlaRange="Patrones!$B$7:$B$91" noThreeD="1" sel="30" val="9"/>
</file>

<file path=xl/ctrlProps/ctrlProp104.xml><?xml version="1.0" encoding="utf-8"?>
<formControlPr xmlns="http://schemas.microsoft.com/office/spreadsheetml/2009/9/main" objectType="Drop" dropStyle="combo" dx="26" fmlaLink="Patrones!$M$36" fmlaRange="Patrones!$B$7:$B$91" noThreeD="1" sel="30" val="28"/>
</file>

<file path=xl/ctrlProps/ctrlProp105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106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107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108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09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11.xml><?xml version="1.0" encoding="utf-8"?>
<formControlPr xmlns="http://schemas.microsoft.com/office/spreadsheetml/2009/9/main" objectType="Drop" dropStyle="combo" dx="26" fmlaLink="Patrones!$L$18" fmlaRange="Patrones!$B$7:$B$91" noThreeD="1" sel="30" val="25"/>
</file>

<file path=xl/ctrlProps/ctrlProp110.xml><?xml version="1.0" encoding="utf-8"?>
<formControlPr xmlns="http://schemas.microsoft.com/office/spreadsheetml/2009/9/main" objectType="Drop" dropStyle="combo" dx="26" fmlaLink="Patrones!$S$36" fmlaRange="Patrones!$B$7:$B$91" noThreeD="1" sel="30" val="26"/>
</file>

<file path=xl/ctrlProps/ctrlProp111.xml><?xml version="1.0" encoding="utf-8"?>
<formControlPr xmlns="http://schemas.microsoft.com/office/spreadsheetml/2009/9/main" objectType="Drop" dropStyle="combo" dx="26" fmlaLink="Patrones!$L$54" fmlaRange="Patrones!$B$7:$B$91" noThreeD="1" sel="30" val="15"/>
</file>

<file path=xl/ctrlProps/ctrlProp112.xml><?xml version="1.0" encoding="utf-8"?>
<formControlPr xmlns="http://schemas.microsoft.com/office/spreadsheetml/2009/9/main" objectType="Drop" dropStyle="combo" dx="26" fmlaLink="Patrones!$M$36" fmlaRange="Patrones!$B$7:$B$91" noThreeD="1" sel="30" val="28"/>
</file>

<file path=xl/ctrlProps/ctrlProp113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114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115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116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17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118.xml><?xml version="1.0" encoding="utf-8"?>
<formControlPr xmlns="http://schemas.microsoft.com/office/spreadsheetml/2009/9/main" objectType="Drop" dropStyle="combo" dx="26" fmlaLink="Patrones!$S$36" fmlaRange="Patrones!$B$7:$B$91" noThreeD="1" sel="30" val="26"/>
</file>

<file path=xl/ctrlProps/ctrlProp119.xml><?xml version="1.0" encoding="utf-8"?>
<formControlPr xmlns="http://schemas.microsoft.com/office/spreadsheetml/2009/9/main" objectType="Drop" dropStyle="combo" dx="26" fmlaLink="Patrones!$L$60" fmlaRange="Patrones!$B$7:$B$91" noThreeD="1" sel="30" val="4"/>
</file>

<file path=xl/ctrlProps/ctrlProp12.xml><?xml version="1.0" encoding="utf-8"?>
<formControlPr xmlns="http://schemas.microsoft.com/office/spreadsheetml/2009/9/main" objectType="Drop" dropStyle="combo" dx="26" fmlaLink="Patrones!$L$24" fmlaRange="Patrones!$B$7:$B$91" noThreeD="1" sel="30" val="27"/>
</file>

<file path=xl/ctrlProps/ctrlProp120.xml><?xml version="1.0" encoding="utf-8"?>
<formControlPr xmlns="http://schemas.microsoft.com/office/spreadsheetml/2009/9/main" objectType="Drop" dropStyle="combo" dx="26" fmlaLink="Patrones!$M$36" fmlaRange="Patrones!$B$7:$B$91" noThreeD="1" sel="30" val="28"/>
</file>

<file path=xl/ctrlProps/ctrlProp121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122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123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124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25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126.xml><?xml version="1.0" encoding="utf-8"?>
<formControlPr xmlns="http://schemas.microsoft.com/office/spreadsheetml/2009/9/main" objectType="Drop" dropStyle="combo" dx="26" fmlaLink="Patrones!$S$36" fmlaRange="Patrones!$B$7:$B$91" noThreeD="1" sel="30" val="26"/>
</file>

<file path=xl/ctrlProps/ctrlProp127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28.xml><?xml version="1.0" encoding="utf-8"?>
<formControlPr xmlns="http://schemas.microsoft.com/office/spreadsheetml/2009/9/main" objectType="Drop" dropStyle="combo" dx="26" fmlaLink="Patrones!$M$42" fmlaRange="Patrones!$B$7:$B$91" noThreeD="1" sel="30" val="15"/>
</file>

<file path=xl/ctrlProps/ctrlProp129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.xml><?xml version="1.0" encoding="utf-8"?>
<formControlPr xmlns="http://schemas.microsoft.com/office/spreadsheetml/2009/9/main" objectType="Drop" dropStyle="combo" dx="26" fmlaLink="Patrones!$L$30" fmlaRange="Patrones!$B$7:$B$91" noThreeD="1" sel="30" val="9"/>
</file>

<file path=xl/ctrlProps/ctrlProp130.xml><?xml version="1.0" encoding="utf-8"?>
<formControlPr xmlns="http://schemas.microsoft.com/office/spreadsheetml/2009/9/main" objectType="Drop" dropStyle="combo" dx="26" fmlaLink="Patrones!$N$42" fmlaRange="Patrones!$B$7:$B$91" noThreeD="1" sel="30" val="29"/>
</file>

<file path=xl/ctrlProps/ctrlProp131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2.xml><?xml version="1.0" encoding="utf-8"?>
<formControlPr xmlns="http://schemas.microsoft.com/office/spreadsheetml/2009/9/main" objectType="Drop" dropStyle="combo" dx="26" fmlaLink="Patrones!$O$42" fmlaRange="Patrones!$B$7:$B$91" noThreeD="1" sel="30" val="29"/>
</file>

<file path=xl/ctrlProps/ctrlProp133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4.xml><?xml version="1.0" encoding="utf-8"?>
<formControlPr xmlns="http://schemas.microsoft.com/office/spreadsheetml/2009/9/main" objectType="Drop" dropStyle="combo" dx="26" fmlaLink="Patrones!$P$42" fmlaRange="Patrones!$B$7:$B$91" noThreeD="1" sel="30" val="29"/>
</file>

<file path=xl/ctrlProps/ctrlProp135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6.xml><?xml version="1.0" encoding="utf-8"?>
<formControlPr xmlns="http://schemas.microsoft.com/office/spreadsheetml/2009/9/main" objectType="Drop" dropStyle="combo" dx="26" fmlaLink="Patrones!$Q$42" fmlaRange="Patrones!$B$7:$B$91" noThreeD="1" sel="30" val="29"/>
</file>

<file path=xl/ctrlProps/ctrlProp137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8.xml><?xml version="1.0" encoding="utf-8"?>
<formControlPr xmlns="http://schemas.microsoft.com/office/spreadsheetml/2009/9/main" objectType="Drop" dropStyle="combo" dx="26" fmlaLink="Patrones!$R$42" fmlaRange="Patrones!$B$7:$B$91" noThreeD="1" sel="30" val="29"/>
</file>

<file path=xl/ctrlProps/ctrlProp139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4.xml><?xml version="1.0" encoding="utf-8"?>
<formControlPr xmlns="http://schemas.microsoft.com/office/spreadsheetml/2009/9/main" objectType="Drop" dropStyle="combo" dx="26" fmlaLink="Patrones!$L$36" fmlaRange="Patrones!$B$7:$B$91" noThreeD="1" sel="30" val="16"/>
</file>

<file path=xl/ctrlProps/ctrlProp140.xml><?xml version="1.0" encoding="utf-8"?>
<formControlPr xmlns="http://schemas.microsoft.com/office/spreadsheetml/2009/9/main" objectType="Drop" dropStyle="combo" dx="26" fmlaLink="Patrones!$S$42" fmlaRange="Patrones!$B$7:$B$91" noThreeD="1" sel="30" val="29"/>
</file>

<file path=xl/ctrlProps/ctrlProp141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2.xml><?xml version="1.0" encoding="utf-8"?>
<formControlPr xmlns="http://schemas.microsoft.com/office/spreadsheetml/2009/9/main" objectType="Drop" dropStyle="combo" dx="26" fmlaLink="Patrones!$M$48" fmlaRange="Patrones!$B$7:$B$91" noThreeD="1" sel="30" val="17"/>
</file>

<file path=xl/ctrlProps/ctrlProp143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4.xml><?xml version="1.0" encoding="utf-8"?>
<formControlPr xmlns="http://schemas.microsoft.com/office/spreadsheetml/2009/9/main" objectType="Drop" dropStyle="combo" dx="26" fmlaLink="Patrones!$N$48" fmlaRange="Patrones!$B$7:$B$91" noThreeD="1" sel="30" val="28"/>
</file>

<file path=xl/ctrlProps/ctrlProp145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6.xml><?xml version="1.0" encoding="utf-8"?>
<formControlPr xmlns="http://schemas.microsoft.com/office/spreadsheetml/2009/9/main" objectType="Drop" dropStyle="combo" dx="26" fmlaLink="Patrones!$O$48" fmlaRange="Patrones!$B$7:$B$91" noThreeD="1" sel="30" val="28"/>
</file>

<file path=xl/ctrlProps/ctrlProp147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8.xml><?xml version="1.0" encoding="utf-8"?>
<formControlPr xmlns="http://schemas.microsoft.com/office/spreadsheetml/2009/9/main" objectType="Drop" dropStyle="combo" dx="26" fmlaLink="Patrones!$P$48" fmlaRange="Patrones!$B$7:$B$91" noThreeD="1" sel="30" val="28"/>
</file>

<file path=xl/ctrlProps/ctrlProp149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5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50.xml><?xml version="1.0" encoding="utf-8"?>
<formControlPr xmlns="http://schemas.microsoft.com/office/spreadsheetml/2009/9/main" objectType="Drop" dropStyle="combo" dx="26" fmlaLink="Patrones!$Q$48" fmlaRange="Patrones!$B$7:$B$91" noThreeD="1" sel="30" val="28"/>
</file>

<file path=xl/ctrlProps/ctrlProp151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52.xml><?xml version="1.0" encoding="utf-8"?>
<formControlPr xmlns="http://schemas.microsoft.com/office/spreadsheetml/2009/9/main" objectType="Drop" dropStyle="combo" dx="26" fmlaLink="Patrones!$R$48" fmlaRange="Patrones!$B$7:$B$91" noThreeD="1" sel="30" val="28"/>
</file>

<file path=xl/ctrlProps/ctrlProp153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54.xml><?xml version="1.0" encoding="utf-8"?>
<formControlPr xmlns="http://schemas.microsoft.com/office/spreadsheetml/2009/9/main" objectType="Drop" dropStyle="combo" dx="26" fmlaLink="Patrones!$S$48" fmlaRange="Patrones!$B$7:$B$91" noThreeD="1" sel="30" val="28"/>
</file>

<file path=xl/ctrlProps/ctrlProp155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56.xml><?xml version="1.0" encoding="utf-8"?>
<formControlPr xmlns="http://schemas.microsoft.com/office/spreadsheetml/2009/9/main" objectType="Drop" dropStyle="combo" dx="26" fmlaLink="Patrones!$M$54" fmlaRange="Patrones!$B$7:$B$91" noThreeD="1" sel="30" val="29"/>
</file>

<file path=xl/ctrlProps/ctrlProp157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58.xml><?xml version="1.0" encoding="utf-8"?>
<formControlPr xmlns="http://schemas.microsoft.com/office/spreadsheetml/2009/9/main" objectType="Drop" dropStyle="combo" dx="26" fmlaLink="Patrones!$N$54" fmlaRange="Patrones!$B$7:$B$91" noThreeD="1" sel="30" val="29"/>
</file>

<file path=xl/ctrlProps/ctrlProp159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.xml><?xml version="1.0" encoding="utf-8"?>
<formControlPr xmlns="http://schemas.microsoft.com/office/spreadsheetml/2009/9/main" objectType="Drop" dropStyle="combo" dx="26" fmlaLink="Patrones!$M$12" fmlaRange="Patrones!$B$7:$B$91" noThreeD="1" sel="30" val="28"/>
</file>

<file path=xl/ctrlProps/ctrlProp160.xml><?xml version="1.0" encoding="utf-8"?>
<formControlPr xmlns="http://schemas.microsoft.com/office/spreadsheetml/2009/9/main" objectType="Drop" dropStyle="combo" dx="26" fmlaLink="Patrones!$O$54" fmlaRange="Patrones!$B$7:$B$91" noThreeD="1" sel="30" val="29"/>
</file>

<file path=xl/ctrlProps/ctrlProp161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2.xml><?xml version="1.0" encoding="utf-8"?>
<formControlPr xmlns="http://schemas.microsoft.com/office/spreadsheetml/2009/9/main" objectType="Drop" dropStyle="combo" dx="26" fmlaLink="Patrones!$P$54" fmlaRange="Patrones!$B$7:$B$91" noThreeD="1" sel="30" val="29"/>
</file>

<file path=xl/ctrlProps/ctrlProp163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4.xml><?xml version="1.0" encoding="utf-8"?>
<formControlPr xmlns="http://schemas.microsoft.com/office/spreadsheetml/2009/9/main" objectType="Drop" dropStyle="combo" dx="26" fmlaLink="Patrones!$Q$54" fmlaRange="Patrones!$B$7:$B$91" noThreeD="1" sel="30" val="29"/>
</file>

<file path=xl/ctrlProps/ctrlProp165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6.xml><?xml version="1.0" encoding="utf-8"?>
<formControlPr xmlns="http://schemas.microsoft.com/office/spreadsheetml/2009/9/main" objectType="Drop" dropStyle="combo" dx="26" fmlaLink="Patrones!$R$54" fmlaRange="Patrones!$B$7:$B$91" noThreeD="1" sel="30" val="29"/>
</file>

<file path=xl/ctrlProps/ctrlProp167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8.xml><?xml version="1.0" encoding="utf-8"?>
<formControlPr xmlns="http://schemas.microsoft.com/office/spreadsheetml/2009/9/main" objectType="Drop" dropStyle="combo" dx="26" fmlaLink="Patrones!$S$54" fmlaRange="Patrones!$B$7:$B$91" noThreeD="1" sel="30" val="29"/>
</file>

<file path=xl/ctrlProps/ctrlProp169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.xml><?xml version="1.0" encoding="utf-8"?>
<formControlPr xmlns="http://schemas.microsoft.com/office/spreadsheetml/2009/9/main" objectType="Drop" dropStyle="combo" dx="26" fmlaLink="Patrones!$M$18" fmlaRange="Patrones!$B$7:$B$91" noThreeD="1" sel="30" val="25"/>
</file>

<file path=xl/ctrlProps/ctrlProp170.xml><?xml version="1.0" encoding="utf-8"?>
<formControlPr xmlns="http://schemas.microsoft.com/office/spreadsheetml/2009/9/main" objectType="Drop" dropStyle="combo" dx="26" fmlaLink="Patrones!$M$60" fmlaRange="Patrones!$B$7:$B$91" noThreeD="1" sel="30" val="20"/>
</file>

<file path=xl/ctrlProps/ctrlProp171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2.xml><?xml version="1.0" encoding="utf-8"?>
<formControlPr xmlns="http://schemas.microsoft.com/office/spreadsheetml/2009/9/main" objectType="Drop" dropStyle="combo" dx="26" fmlaLink="Patrones!$N$60" fmlaRange="Patrones!$B$7:$B$91" noThreeD="1" sel="30" val="28"/>
</file>

<file path=xl/ctrlProps/ctrlProp173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4.xml><?xml version="1.0" encoding="utf-8"?>
<formControlPr xmlns="http://schemas.microsoft.com/office/spreadsheetml/2009/9/main" objectType="Drop" dropStyle="combo" dx="26" fmlaLink="Patrones!$O$60" fmlaRange="Patrones!$B$7:$B$91" noThreeD="1" sel="30" val="28"/>
</file>

<file path=xl/ctrlProps/ctrlProp175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6.xml><?xml version="1.0" encoding="utf-8"?>
<formControlPr xmlns="http://schemas.microsoft.com/office/spreadsheetml/2009/9/main" objectType="Drop" dropStyle="combo" dx="26" fmlaLink="Patrones!$P$60" fmlaRange="Patrones!$B$7:$B$91" noThreeD="1" sel="30" val="28"/>
</file>

<file path=xl/ctrlProps/ctrlProp177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8.xml><?xml version="1.0" encoding="utf-8"?>
<formControlPr xmlns="http://schemas.microsoft.com/office/spreadsheetml/2009/9/main" objectType="Drop" dropStyle="combo" dx="26" fmlaLink="Patrones!$Q$60" fmlaRange="Patrones!$B$7:$B$91" noThreeD="1" sel="30" val="28"/>
</file>

<file path=xl/ctrlProps/ctrlProp179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8.xml><?xml version="1.0" encoding="utf-8"?>
<formControlPr xmlns="http://schemas.microsoft.com/office/spreadsheetml/2009/9/main" objectType="Drop" dropStyle="combo" dx="26" fmlaLink="Patrones!$M$24" fmlaRange="Patrones!$B$7:$B$91" noThreeD="1" sel="30" val="27"/>
</file>

<file path=xl/ctrlProps/ctrlProp180.xml><?xml version="1.0" encoding="utf-8"?>
<formControlPr xmlns="http://schemas.microsoft.com/office/spreadsheetml/2009/9/main" objectType="Drop" dropStyle="combo" dx="26" fmlaLink="Patrones!$R$60" fmlaRange="Patrones!$B$7:$B$91" noThreeD="1" sel="30" val="28"/>
</file>

<file path=xl/ctrlProps/ctrlProp181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82.xml><?xml version="1.0" encoding="utf-8"?>
<formControlPr xmlns="http://schemas.microsoft.com/office/spreadsheetml/2009/9/main" objectType="Drop" dropStyle="combo" dx="26" fmlaLink="Patrones!$S$60" fmlaRange="Patrones!$B$7:$B$91" noThreeD="1" sel="30" val="28"/>
</file>

<file path=xl/ctrlProps/ctrlProp19.xml><?xml version="1.0" encoding="utf-8"?>
<formControlPr xmlns="http://schemas.microsoft.com/office/spreadsheetml/2009/9/main" objectType="Drop" dropStyle="combo" dx="26" fmlaLink="Patrones!$M$30" fmlaRange="Patrones!$B$7:$B$91" noThreeD="1" sel="30" val="27"/>
</file>

<file path=xl/ctrlProps/ctrlProp2.xml><?xml version="1.0" encoding="utf-8"?>
<formControlPr xmlns="http://schemas.microsoft.com/office/spreadsheetml/2009/9/main" objectType="Drop" dropStyle="combo" dx="26" fmlaLink="'Datos Generales'!$B$1" fmlaRange="'Datos Generales'!$B$3:$B$7" noThreeD="1" sel="1" val="0"/>
</file>

<file path=xl/ctrlProps/ctrlProp20.xml><?xml version="1.0" encoding="utf-8"?>
<formControlPr xmlns="http://schemas.microsoft.com/office/spreadsheetml/2009/9/main" objectType="Drop" dropStyle="combo" dx="26" fmlaLink="Patrones!$M$36" fmlaRange="Patrones!$B$7:$B$91" noThreeD="1" sel="30" val="29"/>
</file>

<file path=xl/ctrlProps/ctrlProp21.xml><?xml version="1.0" encoding="utf-8"?>
<formControlPr xmlns="http://schemas.microsoft.com/office/spreadsheetml/2009/9/main" objectType="Drop" dropStyle="combo" dx="26" fmlaLink="Patrones!$M$73" fmlaRange="Patrones!$B$7:$B$91" noThreeD="1" sel="1" val="0"/>
</file>

<file path=xl/ctrlProps/ctrlProp22.xml><?xml version="1.0" encoding="utf-8"?>
<formControlPr xmlns="http://schemas.microsoft.com/office/spreadsheetml/2009/9/main" objectType="Drop" dropStyle="combo" dx="26" fmlaLink="Patrones!$N$12" fmlaRange="Patrones!$B$7:$B$91" noThreeD="1" sel="30" val="27"/>
</file>

<file path=xl/ctrlProps/ctrlProp23.xml><?xml version="1.0" encoding="utf-8"?>
<formControlPr xmlns="http://schemas.microsoft.com/office/spreadsheetml/2009/9/main" objectType="Drop" dropStyle="combo" dx="26" fmlaLink="Patrones!$N$18" fmlaRange="Patrones!$B$7:$B$91" noThreeD="1" sel="30" val="23"/>
</file>

<file path=xl/ctrlProps/ctrlProp24.xml><?xml version="1.0" encoding="utf-8"?>
<formControlPr xmlns="http://schemas.microsoft.com/office/spreadsheetml/2009/9/main" objectType="Drop" dropStyle="combo" dx="26" fmlaLink="Patrones!$N$24" fmlaRange="Patrones!$B$7:$B$91" noThreeD="1" sel="30" val="26"/>
</file>

<file path=xl/ctrlProps/ctrlProp25.xml><?xml version="1.0" encoding="utf-8"?>
<formControlPr xmlns="http://schemas.microsoft.com/office/spreadsheetml/2009/9/main" objectType="Drop" dropStyle="combo" dx="26" fmlaLink="Patrones!$N$30" fmlaRange="Patrones!$B$7:$B$91" noThreeD="1" sel="30" val="28"/>
</file>

<file path=xl/ctrlProps/ctrlProp26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27.xml><?xml version="1.0" encoding="utf-8"?>
<formControlPr xmlns="http://schemas.microsoft.com/office/spreadsheetml/2009/9/main" objectType="Drop" dropStyle="combo" dx="26" fmlaLink="Patrones!$N$73" fmlaRange="Patrones!$B$7:$B$91" noThreeD="1" sel="1" val="0"/>
</file>

<file path=xl/ctrlProps/ctrlProp28.xml><?xml version="1.0" encoding="utf-8"?>
<formControlPr xmlns="http://schemas.microsoft.com/office/spreadsheetml/2009/9/main" objectType="Drop" dropStyle="combo" dx="26" fmlaLink="Patrones!$O$12" fmlaRange="Patrones!$B$7:$B$91" noThreeD="1" sel="30" val="28"/>
</file>

<file path=xl/ctrlProps/ctrlProp29.xml><?xml version="1.0" encoding="utf-8"?>
<formControlPr xmlns="http://schemas.microsoft.com/office/spreadsheetml/2009/9/main" objectType="Drop" dropStyle="combo" dx="26" fmlaLink="Patrones!$O$18" fmlaRange="Patrones!$B$7:$B$91" noThreeD="1" sel="30" val="29"/>
</file>

<file path=xl/ctrlProps/ctrlProp3.xml><?xml version="1.0" encoding="utf-8"?>
<formControlPr xmlns="http://schemas.microsoft.com/office/spreadsheetml/2009/9/main" objectType="Drop" dropStyle="combo" dx="26" fmlaLink="'Datos Generales'!$C$1" fmlaRange="'Datos Generales'!$C$3:$C$6" noThreeD="1" sel="2" val="0"/>
</file>

<file path=xl/ctrlProps/ctrlProp30.xml><?xml version="1.0" encoding="utf-8"?>
<formControlPr xmlns="http://schemas.microsoft.com/office/spreadsheetml/2009/9/main" objectType="Drop" dropStyle="combo" dx="26" fmlaLink="Patrones!$O$24" fmlaRange="Patrones!$B$7:$B$91" noThreeD="1" sel="30" val="24"/>
</file>

<file path=xl/ctrlProps/ctrlProp31.xml><?xml version="1.0" encoding="utf-8"?>
<formControlPr xmlns="http://schemas.microsoft.com/office/spreadsheetml/2009/9/main" objectType="Drop" dropStyle="combo" dx="26" fmlaLink="Patrones!$O$30" fmlaRange="Patrones!$B$7:$B$91" noThreeD="1" sel="30" val="26"/>
</file>

<file path=xl/ctrlProps/ctrlProp32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33.xml><?xml version="1.0" encoding="utf-8"?>
<formControlPr xmlns="http://schemas.microsoft.com/office/spreadsheetml/2009/9/main" objectType="Drop" dropStyle="combo" dx="26" fmlaLink="Patrones!$O$73" fmlaRange="Patrones!$B$7:$B$91" noThreeD="1" sel="1" val="32"/>
</file>

<file path=xl/ctrlProps/ctrlProp34.xml><?xml version="1.0" encoding="utf-8"?>
<formControlPr xmlns="http://schemas.microsoft.com/office/spreadsheetml/2009/9/main" objectType="Drop" dropStyle="combo" dx="26" fmlaLink="Patrones!$P$6" fmlaRange="Patrones!$B$7:$B$91" noThreeD="1" sel="30" val="26"/>
</file>

<file path=xl/ctrlProps/ctrlProp35.xml><?xml version="1.0" encoding="utf-8"?>
<formControlPr xmlns="http://schemas.microsoft.com/office/spreadsheetml/2009/9/main" objectType="Drop" dropStyle="combo" dx="26" fmlaLink="Patrones!$Q$6" fmlaRange="Patrones!$B$7:$B$91" noThreeD="1" sel="30" val="27"/>
</file>

<file path=xl/ctrlProps/ctrlProp36.xml><?xml version="1.0" encoding="utf-8"?>
<formControlPr xmlns="http://schemas.microsoft.com/office/spreadsheetml/2009/9/main" objectType="Drop" dropStyle="combo" dx="26" fmlaLink="Patrones!$P$12" fmlaRange="Patrones!$B$7:$B$91" noThreeD="1" sel="30" val="23"/>
</file>

<file path=xl/ctrlProps/ctrlProp37.xml><?xml version="1.0" encoding="utf-8"?>
<formControlPr xmlns="http://schemas.microsoft.com/office/spreadsheetml/2009/9/main" objectType="Drop" dropStyle="combo" dx="26" fmlaLink="Patrones!$Q$12" fmlaRange="Patrones!$B$7:$B$91" noThreeD="1" sel="30" val="28"/>
</file>

<file path=xl/ctrlProps/ctrlProp38.xml><?xml version="1.0" encoding="utf-8"?>
<formControlPr xmlns="http://schemas.microsoft.com/office/spreadsheetml/2009/9/main" objectType="Drop" dropStyle="combo" dx="26" fmlaLink="Patrones!$P$18" fmlaRange="Patrones!$B$7:$B$91" noThreeD="1" sel="30" val="24"/>
</file>

<file path=xl/ctrlProps/ctrlProp39.xml><?xml version="1.0" encoding="utf-8"?>
<formControlPr xmlns="http://schemas.microsoft.com/office/spreadsheetml/2009/9/main" objectType="Drop" dropStyle="combo" dx="26" fmlaLink="Patrones!$Q$18" fmlaRange="Patrones!$B$7:$B$91" noThreeD="1" sel="30" val="24"/>
</file>

<file path=xl/ctrlProps/ctrlProp4.xml><?xml version="1.0" encoding="utf-8"?>
<formControlPr xmlns="http://schemas.microsoft.com/office/spreadsheetml/2009/9/main" objectType="Drop" dropStyle="combo" dx="26" fmlaLink="'Datos Generales'!$G$1" noThreeD="1" sel="0" val="0"/>
</file>

<file path=xl/ctrlProps/ctrlProp40.xml><?xml version="1.0" encoding="utf-8"?>
<formControlPr xmlns="http://schemas.microsoft.com/office/spreadsheetml/2009/9/main" objectType="Drop" dropStyle="combo" dx="26" fmlaLink="Patrones!$P$24" fmlaRange="Patrones!$B$7:$B$91" noThreeD="1" sel="30" val="29"/>
</file>

<file path=xl/ctrlProps/ctrlProp41.xml><?xml version="1.0" encoding="utf-8"?>
<formControlPr xmlns="http://schemas.microsoft.com/office/spreadsheetml/2009/9/main" objectType="Drop" dropStyle="combo" dx="26" fmlaLink="Patrones!$Q$24" fmlaRange="Patrones!$B$7:$B$91" noThreeD="1" sel="30" val="28"/>
</file>

<file path=xl/ctrlProps/ctrlProp42.xml><?xml version="1.0" encoding="utf-8"?>
<formControlPr xmlns="http://schemas.microsoft.com/office/spreadsheetml/2009/9/main" objectType="Drop" dropStyle="combo" dx="26" fmlaLink="Patrones!$P$30" fmlaRange="Patrones!$B$7:$B$91" noThreeD="1" sel="30" val="24"/>
</file>

<file path=xl/ctrlProps/ctrlProp43.xml><?xml version="1.0" encoding="utf-8"?>
<formControlPr xmlns="http://schemas.microsoft.com/office/spreadsheetml/2009/9/main" objectType="Drop" dropStyle="combo" dx="26" fmlaLink="Patrones!$Q$30" fmlaRange="Patrones!$B$7:$B$91" noThreeD="1" sel="30" val="28"/>
</file>

<file path=xl/ctrlProps/ctrlProp44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45.xml><?xml version="1.0" encoding="utf-8"?>
<formControlPr xmlns="http://schemas.microsoft.com/office/spreadsheetml/2009/9/main" objectType="Drop" dropStyle="combo" dx="26" fmlaLink="Patrones!$Q$36" fmlaRange="Patrones!$B$7:$B$91" noThreeD="1" sel="30" val="29"/>
</file>

<file path=xl/ctrlProps/ctrlProp46.xml><?xml version="1.0" encoding="utf-8"?>
<formControlPr xmlns="http://schemas.microsoft.com/office/spreadsheetml/2009/9/main" objectType="Drop" dropStyle="combo" dx="26" fmlaLink="Patrones!$P$73" fmlaRange="Patrones!$B$7:$B$91" noThreeD="1" sel="1" val="0"/>
</file>

<file path=xl/ctrlProps/ctrlProp47.xml><?xml version="1.0" encoding="utf-8"?>
<formControlPr xmlns="http://schemas.microsoft.com/office/spreadsheetml/2009/9/main" objectType="Drop" dropStyle="combo" dx="26" fmlaLink="Patrones!$Q$73" fmlaRange="Patrones!$B$7:$B$91" noThreeD="1" sel="1" val="0"/>
</file>

<file path=xl/ctrlProps/ctrlProp48.xml><?xml version="1.0" encoding="utf-8"?>
<formControlPr xmlns="http://schemas.microsoft.com/office/spreadsheetml/2009/9/main" objectType="Drop" dropStyle="combo" dx="26" fmlaLink="Patrones!$R$6" fmlaRange="Patrones!$B$7:$B$91" noThreeD="1" sel="30" val="27"/>
</file>

<file path=xl/ctrlProps/ctrlProp49.xml><?xml version="1.0" encoding="utf-8"?>
<formControlPr xmlns="http://schemas.microsoft.com/office/spreadsheetml/2009/9/main" objectType="Drop" dropStyle="combo" dx="26" fmlaLink="Patrones!$S$6" fmlaRange="Patrones!$B$7:$B$91" noThreeD="1" sel="30" val="27"/>
</file>

<file path=xl/ctrlProps/ctrlProp5.xml><?xml version="1.0" encoding="utf-8"?>
<formControlPr xmlns="http://schemas.microsoft.com/office/spreadsheetml/2009/9/main" objectType="Drop" dropStyle="combo" dx="26" fmlaLink="'Datos Generales'!$L$1" fmlaRange="'Datos Generales'!$L$3:$L$4" noThreeD="1" sel="1" val="0"/>
</file>

<file path=xl/ctrlProps/ctrlProp50.xml><?xml version="1.0" encoding="utf-8"?>
<formControlPr xmlns="http://schemas.microsoft.com/office/spreadsheetml/2009/9/main" objectType="Drop" dropStyle="combo" dx="26" fmlaLink="Patrones!$R$12" fmlaRange="Patrones!$B$7:$B$91" noThreeD="1" sel="30" val="27"/>
</file>

<file path=xl/ctrlProps/ctrlProp51.xml><?xml version="1.0" encoding="utf-8"?>
<formControlPr xmlns="http://schemas.microsoft.com/office/spreadsheetml/2009/9/main" objectType="Drop" dropStyle="combo" dx="26" fmlaLink="Patrones!$S$12" fmlaRange="Patrones!$B$7:$B$91" noThreeD="1" sel="30" val="22"/>
</file>

<file path=xl/ctrlProps/ctrlProp52.xml><?xml version="1.0" encoding="utf-8"?>
<formControlPr xmlns="http://schemas.microsoft.com/office/spreadsheetml/2009/9/main" objectType="Drop" dropStyle="combo" dx="26" fmlaLink="Patrones!$R$18" fmlaRange="Patrones!$B$7:$B$91" noThreeD="1" sel="30" val="24"/>
</file>

<file path=xl/ctrlProps/ctrlProp53.xml><?xml version="1.0" encoding="utf-8"?>
<formControlPr xmlns="http://schemas.microsoft.com/office/spreadsheetml/2009/9/main" objectType="Drop" dropStyle="combo" dx="26" fmlaLink="Patrones!$S$18" fmlaRange="Patrones!$B$7:$B$91" noThreeD="1" sel="30" val="28"/>
</file>

<file path=xl/ctrlProps/ctrlProp54.xml><?xml version="1.0" encoding="utf-8"?>
<formControlPr xmlns="http://schemas.microsoft.com/office/spreadsheetml/2009/9/main" objectType="Drop" dropStyle="combo" dx="26" fmlaLink="Patrones!$R$24" fmlaRange="Patrones!$B$7:$B$91" noThreeD="1" sel="30" val="24"/>
</file>

<file path=xl/ctrlProps/ctrlProp55.xml><?xml version="1.0" encoding="utf-8"?>
<formControlPr xmlns="http://schemas.microsoft.com/office/spreadsheetml/2009/9/main" objectType="Drop" dropStyle="combo" dx="26" fmlaLink="Patrones!$S$24" fmlaRange="Patrones!$B$7:$B$91" noThreeD="1" sel="30" val="28"/>
</file>

<file path=xl/ctrlProps/ctrlProp56.xml><?xml version="1.0" encoding="utf-8"?>
<formControlPr xmlns="http://schemas.microsoft.com/office/spreadsheetml/2009/9/main" objectType="Drop" dropStyle="combo" dx="26" fmlaLink="Patrones!$R$30" fmlaRange="Patrones!$B$7:$B$91" noThreeD="1" sel="30" val="28"/>
</file>

<file path=xl/ctrlProps/ctrlProp57.xml><?xml version="1.0" encoding="utf-8"?>
<formControlPr xmlns="http://schemas.microsoft.com/office/spreadsheetml/2009/9/main" objectType="Drop" dropStyle="combo" dx="26" fmlaLink="Patrones!$S$30" fmlaRange="Patrones!$B$7:$B$91" noThreeD="1" sel="30" val="29"/>
</file>

<file path=xl/ctrlProps/ctrlProp58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59.xml><?xml version="1.0" encoding="utf-8"?>
<formControlPr xmlns="http://schemas.microsoft.com/office/spreadsheetml/2009/9/main" objectType="Drop" dropStyle="combo" dx="26" fmlaLink="Patrones!$S$36" fmlaRange="Patrones!$B$7:$B$91" noThreeD="1" sel="30" val="29"/>
</file>

<file path=xl/ctrlProps/ctrlProp6.xml><?xml version="1.0" encoding="utf-8"?>
<formControlPr xmlns="http://schemas.microsoft.com/office/spreadsheetml/2009/9/main" objectType="Drop" dropStyle="combo" dx="26" fmlaLink="Patrones!$L$6" fmlaRange="Patrones!$B$7:$B$91" noThreeD="1" sel="30" val="24"/>
</file>

<file path=xl/ctrlProps/ctrlProp60.xml><?xml version="1.0" encoding="utf-8"?>
<formControlPr xmlns="http://schemas.microsoft.com/office/spreadsheetml/2009/9/main" objectType="Drop" dropStyle="combo" dx="26" fmlaLink="Patrones!$R$73" fmlaRange="Patrones!$B$7:$B$91" noThreeD="1" sel="1" val="0"/>
</file>

<file path=xl/ctrlProps/ctrlProp61.xml><?xml version="1.0" encoding="utf-8"?>
<formControlPr xmlns="http://schemas.microsoft.com/office/spreadsheetml/2009/9/main" objectType="Drop" dropStyle="combo" dx="26" fmlaLink="Patrones!$S$73" fmlaRange="Patrones!$B$7:$B$91" noThreeD="1" sel="1" val="0"/>
</file>

<file path=xl/ctrlProps/ctrlProp62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63.xml><?xml version="1.0" encoding="utf-8"?>
<formControlPr xmlns="http://schemas.microsoft.com/office/spreadsheetml/2009/9/main" objectType="Drop" dropStyle="combo" dx="26" fmlaLink="Patrones!$M$79" fmlaRange="Patrones!$B$7:$B$91" noThreeD="1" sel="1" val="0"/>
</file>

<file path=xl/ctrlProps/ctrlProp64.xml><?xml version="1.0" encoding="utf-8"?>
<formControlPr xmlns="http://schemas.microsoft.com/office/spreadsheetml/2009/9/main" objectType="Drop" dropStyle="combo" dx="26" fmlaLink="Patrones!$N$79" fmlaRange="Patrones!$B$7:$B$91" noThreeD="1" sel="1" val="0"/>
</file>

<file path=xl/ctrlProps/ctrlProp65.xml><?xml version="1.0" encoding="utf-8"?>
<formControlPr xmlns="http://schemas.microsoft.com/office/spreadsheetml/2009/9/main" objectType="Drop" dropStyle="combo" dx="26" fmlaLink="Patrones!$O$79" fmlaRange="Patrones!$B$7:$B$91" noThreeD="1" sel="1" val="0"/>
</file>

<file path=xl/ctrlProps/ctrlProp66.xml><?xml version="1.0" encoding="utf-8"?>
<formControlPr xmlns="http://schemas.microsoft.com/office/spreadsheetml/2009/9/main" objectType="Drop" dropStyle="combo" dx="26" fmlaLink="Patrones!$P$79" fmlaRange="Patrones!$B$7:$B$91" noThreeD="1" sel="1" val="0"/>
</file>

<file path=xl/ctrlProps/ctrlProp67.xml><?xml version="1.0" encoding="utf-8"?>
<formControlPr xmlns="http://schemas.microsoft.com/office/spreadsheetml/2009/9/main" objectType="Drop" dropStyle="combo" dx="26" fmlaLink="Patrones!$Q$79" fmlaRange="Patrones!$B$7:$B$91" noThreeD="1" sel="1" val="0"/>
</file>

<file path=xl/ctrlProps/ctrlProp68.xml><?xml version="1.0" encoding="utf-8"?>
<formControlPr xmlns="http://schemas.microsoft.com/office/spreadsheetml/2009/9/main" objectType="Drop" dropStyle="combo" dx="26" fmlaLink="Patrones!$R$79" fmlaRange="Patrones!$B$7:$B$91" noThreeD="1" sel="1" val="0"/>
</file>

<file path=xl/ctrlProps/ctrlProp69.xml><?xml version="1.0" encoding="utf-8"?>
<formControlPr xmlns="http://schemas.microsoft.com/office/spreadsheetml/2009/9/main" objectType="Drop" dropStyle="combo" dx="26" fmlaLink="Patrones!$S$79" fmlaRange="Patrones!$B$7:$B$91" noThreeD="1" sel="1" val="0"/>
</file>

<file path=xl/ctrlProps/ctrlProp7.xml><?xml version="1.0" encoding="utf-8"?>
<formControlPr xmlns="http://schemas.microsoft.com/office/spreadsheetml/2009/9/main" objectType="Drop" dropStyle="combo" dx="26" fmlaLink="Patrones!$M$6" fmlaRange="Patrones!$B$7:$B$91" noThreeD="1" sel="30" val="24"/>
</file>

<file path=xl/ctrlProps/ctrlProp70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71.xml><?xml version="1.0" encoding="utf-8"?>
<formControlPr xmlns="http://schemas.microsoft.com/office/spreadsheetml/2009/9/main" objectType="Drop" dropStyle="combo" dx="26" fmlaLink="Patrones!$M$85" fmlaRange="Patrones!$B$7:$B$91" noThreeD="1" sel="1" val="0"/>
</file>

<file path=xl/ctrlProps/ctrlProp72.xml><?xml version="1.0" encoding="utf-8"?>
<formControlPr xmlns="http://schemas.microsoft.com/office/spreadsheetml/2009/9/main" objectType="Drop" dropStyle="combo" dx="26" fmlaLink="Patrones!$N$85" fmlaRange="Patrones!$B$7:$B$91" noThreeD="1" sel="1" val="0"/>
</file>

<file path=xl/ctrlProps/ctrlProp73.xml><?xml version="1.0" encoding="utf-8"?>
<formControlPr xmlns="http://schemas.microsoft.com/office/spreadsheetml/2009/9/main" objectType="Drop" dropStyle="combo" dx="26" fmlaLink="Patrones!$O$85" fmlaRange="Patrones!$B$7:$B$91" noThreeD="1" sel="1" val="0"/>
</file>

<file path=xl/ctrlProps/ctrlProp74.xml><?xml version="1.0" encoding="utf-8"?>
<formControlPr xmlns="http://schemas.microsoft.com/office/spreadsheetml/2009/9/main" objectType="Drop" dropStyle="combo" dx="26" fmlaLink="Patrones!$P$85" fmlaRange="Patrones!$B$7:$B$91" noThreeD="1" sel="1" val="0"/>
</file>

<file path=xl/ctrlProps/ctrlProp75.xml><?xml version="1.0" encoding="utf-8"?>
<formControlPr xmlns="http://schemas.microsoft.com/office/spreadsheetml/2009/9/main" objectType="Drop" dropStyle="combo" dx="26" fmlaLink="Patrones!$Q$85" fmlaRange="Patrones!$B$7:$B$91" noThreeD="1" sel="1" val="0"/>
</file>

<file path=xl/ctrlProps/ctrlProp76.xml><?xml version="1.0" encoding="utf-8"?>
<formControlPr xmlns="http://schemas.microsoft.com/office/spreadsheetml/2009/9/main" objectType="Drop" dropStyle="combo" dx="26" fmlaLink="Patrones!$R$85" fmlaRange="Patrones!$B$7:$B$91" noThreeD="1" sel="1" val="0"/>
</file>

<file path=xl/ctrlProps/ctrlProp77.xml><?xml version="1.0" encoding="utf-8"?>
<formControlPr xmlns="http://schemas.microsoft.com/office/spreadsheetml/2009/9/main" objectType="Drop" dropStyle="combo" dx="26" fmlaLink="Patrones!$S$85" fmlaRange="Patrones!$B$7:$B$91" noThreeD="1" sel="1" val="0"/>
</file>

<file path=xl/ctrlProps/ctrlProp78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79.xml><?xml version="1.0" encoding="utf-8"?>
<formControlPr xmlns="http://schemas.microsoft.com/office/spreadsheetml/2009/9/main" objectType="Drop" dropStyle="combo" dx="26" fmlaLink="Patrones!$M$91" fmlaRange="Patrones!$B$7:$B$91" noThreeD="1" sel="10" val="0"/>
</file>

<file path=xl/ctrlProps/ctrlProp8.xml><?xml version="1.0" encoding="utf-8"?>
<formControlPr xmlns="http://schemas.microsoft.com/office/spreadsheetml/2009/9/main" objectType="Drop" dropStyle="combo" dx="26" fmlaLink="Patrones!$N$6" fmlaRange="Patrones!$B$7:$B$91" noThreeD="1" sel="30" val="29"/>
</file>

<file path=xl/ctrlProps/ctrlProp80.xml><?xml version="1.0" encoding="utf-8"?>
<formControlPr xmlns="http://schemas.microsoft.com/office/spreadsheetml/2009/9/main" objectType="Drop" dropStyle="combo" dx="26" fmlaLink="Patrones!$N$91" fmlaRange="Patrones!$B$7:$B$91" noThreeD="1" sel="30" val="0"/>
</file>

<file path=xl/ctrlProps/ctrlProp81.xml><?xml version="1.0" encoding="utf-8"?>
<formControlPr xmlns="http://schemas.microsoft.com/office/spreadsheetml/2009/9/main" objectType="Drop" dropStyle="combo" dx="26" fmlaLink="Patrones!$O$91" fmlaRange="Patrones!$B$7:$B$91" noThreeD="1" sel="30" val="32"/>
</file>

<file path=xl/ctrlProps/ctrlProp82.xml><?xml version="1.0" encoding="utf-8"?>
<formControlPr xmlns="http://schemas.microsoft.com/office/spreadsheetml/2009/9/main" objectType="Drop" dropStyle="combo" dx="26" fmlaLink="Patrones!$P$91" fmlaRange="Patrones!$B$7:$B$91" noThreeD="1" sel="30" val="0"/>
</file>

<file path=xl/ctrlProps/ctrlProp83.xml><?xml version="1.0" encoding="utf-8"?>
<formControlPr xmlns="http://schemas.microsoft.com/office/spreadsheetml/2009/9/main" objectType="Drop" dropStyle="combo" dx="26" fmlaLink="Patrones!$Q$91" fmlaRange="Patrones!$B$7:$B$91" noThreeD="1" sel="30" val="0"/>
</file>

<file path=xl/ctrlProps/ctrlProp84.xml><?xml version="1.0" encoding="utf-8"?>
<formControlPr xmlns="http://schemas.microsoft.com/office/spreadsheetml/2009/9/main" objectType="Drop" dropStyle="combo" dx="26" fmlaLink="Patrones!$R$91" fmlaRange="Patrones!$B$7:$B$91" noThreeD="1" sel="30" val="0"/>
</file>

<file path=xl/ctrlProps/ctrlProp85.xml><?xml version="1.0" encoding="utf-8"?>
<formControlPr xmlns="http://schemas.microsoft.com/office/spreadsheetml/2009/9/main" objectType="Drop" dropStyle="combo" dx="26" fmlaLink="Patrones!$S$91" fmlaRange="Patrones!$B$7:$B$91" noThreeD="1" sel="30" val="0"/>
</file>

<file path=xl/ctrlProps/ctrlProp86.xml><?xml version="1.0" encoding="utf-8"?>
<formControlPr xmlns="http://schemas.microsoft.com/office/spreadsheetml/2009/9/main" objectType="Drop" dropStyle="combo" dx="26" fmlaLink="$Z$66" fmlaRange="$Z$69:$Z$73" noThreeD="1" sel="3" val="0"/>
</file>

<file path=xl/ctrlProps/ctrlProp87.xml><?xml version="1.0" encoding="utf-8"?>
<formControlPr xmlns="http://schemas.microsoft.com/office/spreadsheetml/2009/9/main" objectType="Drop" dropStyle="combo" dx="26" fmlaLink="Patrones!$L$66" fmlaRange="Patrones!$B$7:$B$91" noThreeD="1" sel="30" val="20"/>
</file>

<file path=xl/ctrlProps/ctrlProp88.xml><?xml version="1.0" encoding="utf-8"?>
<formControlPr xmlns="http://schemas.microsoft.com/office/spreadsheetml/2009/9/main" objectType="Drop" dropStyle="combo" dx="26" fmlaLink="Patrones!$M$66" fmlaRange="Patrones!$B$7:$B$91" noThreeD="1" sel="30" val="3"/>
</file>

<file path=xl/ctrlProps/ctrlProp89.xml><?xml version="1.0" encoding="utf-8"?>
<formControlPr xmlns="http://schemas.microsoft.com/office/spreadsheetml/2009/9/main" objectType="Drop" dropStyle="combo" dx="26" fmlaLink="Patrones!$N$66" fmlaRange="Patrones!$B$7:$B$91" noThreeD="1" sel="30" val="24"/>
</file>

<file path=xl/ctrlProps/ctrlProp9.xml><?xml version="1.0" encoding="utf-8"?>
<formControlPr xmlns="http://schemas.microsoft.com/office/spreadsheetml/2009/9/main" objectType="Drop" dropStyle="combo" dx="26" fmlaLink="Patrones!$O$6" fmlaRange="Patrones!$B$7:$B$91" noThreeD="1" sel="30" val="26"/>
</file>

<file path=xl/ctrlProps/ctrlProp90.xml><?xml version="1.0" encoding="utf-8"?>
<formControlPr xmlns="http://schemas.microsoft.com/office/spreadsheetml/2009/9/main" objectType="Drop" dropStyle="combo" dx="26" fmlaLink="Patrones!$O$66" fmlaRange="Patrones!$B$7:$B$91" noThreeD="1" sel="30" val="24"/>
</file>

<file path=xl/ctrlProps/ctrlProp91.xml><?xml version="1.0" encoding="utf-8"?>
<formControlPr xmlns="http://schemas.microsoft.com/office/spreadsheetml/2009/9/main" objectType="Drop" dropStyle="combo" dx="26" fmlaLink="Patrones!$P$66" fmlaRange="Patrones!$B$7:$B$91" noThreeD="1" sel="30" val="24"/>
</file>

<file path=xl/ctrlProps/ctrlProp92.xml><?xml version="1.0" encoding="utf-8"?>
<formControlPr xmlns="http://schemas.microsoft.com/office/spreadsheetml/2009/9/main" objectType="Drop" dropStyle="combo" dx="26" fmlaLink="Patrones!$Q$66" fmlaRange="Patrones!$B$7:$B$91" noThreeD="1" sel="30" val="24"/>
</file>

<file path=xl/ctrlProps/ctrlProp93.xml><?xml version="1.0" encoding="utf-8"?>
<formControlPr xmlns="http://schemas.microsoft.com/office/spreadsheetml/2009/9/main" objectType="Drop" dropStyle="combo" dx="26" fmlaLink="Patrones!$R$66" fmlaRange="Patrones!$B$7:$B$91" noThreeD="1" sel="30" val="24"/>
</file>

<file path=xl/ctrlProps/ctrlProp94.xml><?xml version="1.0" encoding="utf-8"?>
<formControlPr xmlns="http://schemas.microsoft.com/office/spreadsheetml/2009/9/main" objectType="Drop" dropStyle="combo" dx="26" fmlaLink="Patrones!$S$66" fmlaRange="Patrones!$B$7:$B$91" noThreeD="1" sel="30" val="24"/>
</file>

<file path=xl/ctrlProps/ctrlProp95.xml><?xml version="1.0" encoding="utf-8"?>
<formControlPr xmlns="http://schemas.microsoft.com/office/spreadsheetml/2009/9/main" objectType="Drop" dropStyle="combo" dx="26" fmlaLink="Patrones!$L$42" fmlaRange="Patrones!$B$7:$B$91" noThreeD="1" sel="30" val="3"/>
</file>

<file path=xl/ctrlProps/ctrlProp96.xml><?xml version="1.0" encoding="utf-8"?>
<formControlPr xmlns="http://schemas.microsoft.com/office/spreadsheetml/2009/9/main" objectType="Drop" dropStyle="combo" dx="26" fmlaLink="Patrones!$M$36" fmlaRange="Patrones!$B$7:$B$91" noThreeD="1" sel="30" val="29"/>
</file>

<file path=xl/ctrlProps/ctrlProp97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98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99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7620</xdr:rowOff>
        </xdr:from>
        <xdr:to>
          <xdr:col>5</xdr:col>
          <xdr:colOff>266700</xdr:colOff>
          <xdr:row>32</xdr:row>
          <xdr:rowOff>0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5</xdr:col>
          <xdr:colOff>876300</xdr:colOff>
          <xdr:row>8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7</xdr:row>
          <xdr:rowOff>0</xdr:rowOff>
        </xdr:from>
        <xdr:to>
          <xdr:col>12</xdr:col>
          <xdr:colOff>99060</xdr:colOff>
          <xdr:row>8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7620</xdr:rowOff>
        </xdr:from>
        <xdr:to>
          <xdr:col>5</xdr:col>
          <xdr:colOff>274320</xdr:colOff>
          <xdr:row>34</xdr:row>
          <xdr:rowOff>7620</xdr:rowOff>
        </xdr:to>
        <xdr:sp macro="" textlink="">
          <xdr:nvSpPr>
            <xdr:cNvPr id="5236" name="Drop Down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0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876300</xdr:colOff>
          <xdr:row>11</xdr:row>
          <xdr:rowOff>0</xdr:rowOff>
        </xdr:to>
        <xdr:sp macro="" textlink="">
          <xdr:nvSpPr>
            <xdr:cNvPr id="5241" name="Drop Down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0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18</xdr:row>
      <xdr:rowOff>38100</xdr:rowOff>
    </xdr:from>
    <xdr:to>
      <xdr:col>16</xdr:col>
      <xdr:colOff>213360</xdr:colOff>
      <xdr:row>18</xdr:row>
      <xdr:rowOff>38100</xdr:rowOff>
    </xdr:to>
    <xdr:sp macro="" textlink="">
      <xdr:nvSpPr>
        <xdr:cNvPr id="423711" name="Line 96">
          <a:extLst>
            <a:ext uri="{FF2B5EF4-FFF2-40B4-BE49-F238E27FC236}">
              <a16:creationId xmlns:a16="http://schemas.microsoft.com/office/drawing/2014/main" id="{00000000-0008-0000-0300-00001F770600}"/>
            </a:ext>
          </a:extLst>
        </xdr:cNvPr>
        <xdr:cNvSpPr>
          <a:spLocks noChangeShapeType="1"/>
        </xdr:cNvSpPr>
      </xdr:nvSpPr>
      <xdr:spPr bwMode="auto">
        <a:xfrm>
          <a:off x="8915400" y="331470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350520</xdr:colOff>
      <xdr:row>18</xdr:row>
      <xdr:rowOff>30480</xdr:rowOff>
    </xdr:from>
    <xdr:to>
      <xdr:col>14</xdr:col>
      <xdr:colOff>434340</xdr:colOff>
      <xdr:row>18</xdr:row>
      <xdr:rowOff>30480</xdr:rowOff>
    </xdr:to>
    <xdr:sp macro="" textlink="">
      <xdr:nvSpPr>
        <xdr:cNvPr id="423712" name="Line 178">
          <a:extLst>
            <a:ext uri="{FF2B5EF4-FFF2-40B4-BE49-F238E27FC236}">
              <a16:creationId xmlns:a16="http://schemas.microsoft.com/office/drawing/2014/main" id="{00000000-0008-0000-0300-000020770600}"/>
            </a:ext>
          </a:extLst>
        </xdr:cNvPr>
        <xdr:cNvSpPr>
          <a:spLocks noChangeShapeType="1"/>
        </xdr:cNvSpPr>
      </xdr:nvSpPr>
      <xdr:spPr bwMode="auto">
        <a:xfrm>
          <a:off x="7543800" y="3307080"/>
          <a:ext cx="838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350520</xdr:colOff>
      <xdr:row>8</xdr:row>
      <xdr:rowOff>7620</xdr:rowOff>
    </xdr:from>
    <xdr:to>
      <xdr:col>11</xdr:col>
      <xdr:colOff>434340</xdr:colOff>
      <xdr:row>8</xdr:row>
      <xdr:rowOff>7620</xdr:rowOff>
    </xdr:to>
    <xdr:sp macro="" textlink="">
      <xdr:nvSpPr>
        <xdr:cNvPr id="423713" name="Line 179">
          <a:extLst>
            <a:ext uri="{FF2B5EF4-FFF2-40B4-BE49-F238E27FC236}">
              <a16:creationId xmlns:a16="http://schemas.microsoft.com/office/drawing/2014/main" id="{00000000-0008-0000-0300-000021770600}"/>
            </a:ext>
          </a:extLst>
        </xdr:cNvPr>
        <xdr:cNvSpPr>
          <a:spLocks noChangeShapeType="1"/>
        </xdr:cNvSpPr>
      </xdr:nvSpPr>
      <xdr:spPr bwMode="auto">
        <a:xfrm>
          <a:off x="5143500" y="1455420"/>
          <a:ext cx="838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2</xdr:col>
          <xdr:colOff>723900</xdr:colOff>
          <xdr:row>35</xdr:row>
          <xdr:rowOff>0</xdr:rowOff>
        </xdr:to>
        <xdr:sp macro="" textlink="">
          <xdr:nvSpPr>
            <xdr:cNvPr id="418914" name="Drop Down 98" hidden="1">
              <a:extLst>
                <a:ext uri="{63B3BB69-23CF-44E3-9099-C40C66FF867C}">
                  <a14:compatExt spid="_x0000_s418914"/>
                </a:ext>
                <a:ext uri="{FF2B5EF4-FFF2-40B4-BE49-F238E27FC236}">
                  <a16:creationId xmlns:a16="http://schemas.microsoft.com/office/drawing/2014/main" id="{00000000-0008-0000-0300-00006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723900</xdr:colOff>
          <xdr:row>35</xdr:row>
          <xdr:rowOff>198120</xdr:rowOff>
        </xdr:to>
        <xdr:sp macro="" textlink="">
          <xdr:nvSpPr>
            <xdr:cNvPr id="418915" name="Drop Down 99" hidden="1">
              <a:extLst>
                <a:ext uri="{63B3BB69-23CF-44E3-9099-C40C66FF867C}">
                  <a14:compatExt spid="_x0000_s418915"/>
                </a:ext>
                <a:ext uri="{FF2B5EF4-FFF2-40B4-BE49-F238E27FC236}">
                  <a16:creationId xmlns:a16="http://schemas.microsoft.com/office/drawing/2014/main" id="{00000000-0008-0000-0300-00006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2</xdr:col>
          <xdr:colOff>723900</xdr:colOff>
          <xdr:row>37</xdr:row>
          <xdr:rowOff>0</xdr:rowOff>
        </xdr:to>
        <xdr:sp macro="" textlink="">
          <xdr:nvSpPr>
            <xdr:cNvPr id="418916" name="Drop Down 100" hidden="1">
              <a:extLst>
                <a:ext uri="{63B3BB69-23CF-44E3-9099-C40C66FF867C}">
                  <a14:compatExt spid="_x0000_s418916"/>
                </a:ext>
                <a:ext uri="{FF2B5EF4-FFF2-40B4-BE49-F238E27FC236}">
                  <a16:creationId xmlns:a16="http://schemas.microsoft.com/office/drawing/2014/main" id="{00000000-0008-0000-0300-00006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723900</xdr:colOff>
          <xdr:row>38</xdr:row>
          <xdr:rowOff>0</xdr:rowOff>
        </xdr:to>
        <xdr:sp macro="" textlink="">
          <xdr:nvSpPr>
            <xdr:cNvPr id="418917" name="Drop Down 101" hidden="1">
              <a:extLst>
                <a:ext uri="{63B3BB69-23CF-44E3-9099-C40C66FF867C}">
                  <a14:compatExt spid="_x0000_s418917"/>
                </a:ext>
                <a:ext uri="{FF2B5EF4-FFF2-40B4-BE49-F238E27FC236}">
                  <a16:creationId xmlns:a16="http://schemas.microsoft.com/office/drawing/2014/main" id="{00000000-0008-0000-0300-00006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3</xdr:col>
          <xdr:colOff>723900</xdr:colOff>
          <xdr:row>35</xdr:row>
          <xdr:rowOff>0</xdr:rowOff>
        </xdr:to>
        <xdr:sp macro="" textlink="">
          <xdr:nvSpPr>
            <xdr:cNvPr id="418918" name="Drop Down 102" hidden="1">
              <a:extLst>
                <a:ext uri="{63B3BB69-23CF-44E3-9099-C40C66FF867C}">
                  <a14:compatExt spid="_x0000_s418918"/>
                </a:ext>
                <a:ext uri="{FF2B5EF4-FFF2-40B4-BE49-F238E27FC236}">
                  <a16:creationId xmlns:a16="http://schemas.microsoft.com/office/drawing/2014/main" id="{00000000-0008-0000-0300-00006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723900</xdr:colOff>
          <xdr:row>35</xdr:row>
          <xdr:rowOff>0</xdr:rowOff>
        </xdr:to>
        <xdr:sp macro="" textlink="">
          <xdr:nvSpPr>
            <xdr:cNvPr id="418919" name="Drop Down 103" hidden="1">
              <a:extLst>
                <a:ext uri="{63B3BB69-23CF-44E3-9099-C40C66FF867C}">
                  <a14:compatExt spid="_x0000_s418919"/>
                </a:ext>
                <a:ext uri="{FF2B5EF4-FFF2-40B4-BE49-F238E27FC236}">
                  <a16:creationId xmlns:a16="http://schemas.microsoft.com/office/drawing/2014/main" id="{00000000-0008-0000-0300-00006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723900</xdr:colOff>
          <xdr:row>35</xdr:row>
          <xdr:rowOff>0</xdr:rowOff>
        </xdr:to>
        <xdr:sp macro="" textlink="">
          <xdr:nvSpPr>
            <xdr:cNvPr id="418920" name="Drop Down 104" hidden="1">
              <a:extLst>
                <a:ext uri="{63B3BB69-23CF-44E3-9099-C40C66FF867C}">
                  <a14:compatExt spid="_x0000_s418920"/>
                </a:ext>
                <a:ext uri="{FF2B5EF4-FFF2-40B4-BE49-F238E27FC236}">
                  <a16:creationId xmlns:a16="http://schemas.microsoft.com/office/drawing/2014/main" id="{00000000-0008-0000-0300-00006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723900</xdr:colOff>
          <xdr:row>35</xdr:row>
          <xdr:rowOff>0</xdr:rowOff>
        </xdr:to>
        <xdr:sp macro="" textlink="">
          <xdr:nvSpPr>
            <xdr:cNvPr id="418921" name="Drop Down 105" hidden="1">
              <a:extLst>
                <a:ext uri="{63B3BB69-23CF-44E3-9099-C40C66FF867C}">
                  <a14:compatExt spid="_x0000_s418921"/>
                </a:ext>
                <a:ext uri="{FF2B5EF4-FFF2-40B4-BE49-F238E27FC236}">
                  <a16:creationId xmlns:a16="http://schemas.microsoft.com/office/drawing/2014/main" id="{00000000-0008-0000-0300-00006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7</xdr:col>
          <xdr:colOff>723900</xdr:colOff>
          <xdr:row>35</xdr:row>
          <xdr:rowOff>0</xdr:rowOff>
        </xdr:to>
        <xdr:sp macro="" textlink="">
          <xdr:nvSpPr>
            <xdr:cNvPr id="418922" name="Drop Down 106" hidden="1">
              <a:extLst>
                <a:ext uri="{63B3BB69-23CF-44E3-9099-C40C66FF867C}">
                  <a14:compatExt spid="_x0000_s418922"/>
                </a:ext>
                <a:ext uri="{FF2B5EF4-FFF2-40B4-BE49-F238E27FC236}">
                  <a16:creationId xmlns:a16="http://schemas.microsoft.com/office/drawing/2014/main" id="{00000000-0008-0000-0300-00006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8</xdr:col>
          <xdr:colOff>723900</xdr:colOff>
          <xdr:row>35</xdr:row>
          <xdr:rowOff>0</xdr:rowOff>
        </xdr:to>
        <xdr:sp macro="" textlink="">
          <xdr:nvSpPr>
            <xdr:cNvPr id="418923" name="Drop Down 107" hidden="1">
              <a:extLst>
                <a:ext uri="{63B3BB69-23CF-44E3-9099-C40C66FF867C}">
                  <a14:compatExt spid="_x0000_s418923"/>
                </a:ext>
                <a:ext uri="{FF2B5EF4-FFF2-40B4-BE49-F238E27FC236}">
                  <a16:creationId xmlns:a16="http://schemas.microsoft.com/office/drawing/2014/main" id="{00000000-0008-0000-0300-00006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3</xdr:col>
          <xdr:colOff>723900</xdr:colOff>
          <xdr:row>35</xdr:row>
          <xdr:rowOff>198120</xdr:rowOff>
        </xdr:to>
        <xdr:sp macro="" textlink="">
          <xdr:nvSpPr>
            <xdr:cNvPr id="418924" name="Drop Down 108" hidden="1">
              <a:extLst>
                <a:ext uri="{63B3BB69-23CF-44E3-9099-C40C66FF867C}">
                  <a14:compatExt spid="_x0000_s418924"/>
                </a:ext>
                <a:ext uri="{FF2B5EF4-FFF2-40B4-BE49-F238E27FC236}">
                  <a16:creationId xmlns:a16="http://schemas.microsoft.com/office/drawing/2014/main" id="{00000000-0008-0000-0300-00006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723900</xdr:colOff>
          <xdr:row>35</xdr:row>
          <xdr:rowOff>198120</xdr:rowOff>
        </xdr:to>
        <xdr:sp macro="" textlink="">
          <xdr:nvSpPr>
            <xdr:cNvPr id="418925" name="Drop Down 109" hidden="1">
              <a:extLst>
                <a:ext uri="{63B3BB69-23CF-44E3-9099-C40C66FF867C}">
                  <a14:compatExt spid="_x0000_s418925"/>
                </a:ext>
                <a:ext uri="{FF2B5EF4-FFF2-40B4-BE49-F238E27FC236}">
                  <a16:creationId xmlns:a16="http://schemas.microsoft.com/office/drawing/2014/main" id="{00000000-0008-0000-0300-00006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723900</xdr:colOff>
          <xdr:row>35</xdr:row>
          <xdr:rowOff>198120</xdr:rowOff>
        </xdr:to>
        <xdr:sp macro="" textlink="">
          <xdr:nvSpPr>
            <xdr:cNvPr id="418926" name="Drop Down 110" hidden="1">
              <a:extLst>
                <a:ext uri="{63B3BB69-23CF-44E3-9099-C40C66FF867C}">
                  <a14:compatExt spid="_x0000_s418926"/>
                </a:ext>
                <a:ext uri="{FF2B5EF4-FFF2-40B4-BE49-F238E27FC236}">
                  <a16:creationId xmlns:a16="http://schemas.microsoft.com/office/drawing/2014/main" id="{00000000-0008-0000-0300-00006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723900</xdr:colOff>
          <xdr:row>35</xdr:row>
          <xdr:rowOff>198120</xdr:rowOff>
        </xdr:to>
        <xdr:sp macro="" textlink="">
          <xdr:nvSpPr>
            <xdr:cNvPr id="418927" name="Drop Down 111" hidden="1">
              <a:extLst>
                <a:ext uri="{63B3BB69-23CF-44E3-9099-C40C66FF867C}">
                  <a14:compatExt spid="_x0000_s418927"/>
                </a:ext>
                <a:ext uri="{FF2B5EF4-FFF2-40B4-BE49-F238E27FC236}">
                  <a16:creationId xmlns:a16="http://schemas.microsoft.com/office/drawing/2014/main" id="{00000000-0008-0000-0300-00006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7</xdr:col>
          <xdr:colOff>723900</xdr:colOff>
          <xdr:row>35</xdr:row>
          <xdr:rowOff>198120</xdr:rowOff>
        </xdr:to>
        <xdr:sp macro="" textlink="">
          <xdr:nvSpPr>
            <xdr:cNvPr id="418928" name="Drop Down 112" hidden="1">
              <a:extLst>
                <a:ext uri="{63B3BB69-23CF-44E3-9099-C40C66FF867C}">
                  <a14:compatExt spid="_x0000_s418928"/>
                </a:ext>
                <a:ext uri="{FF2B5EF4-FFF2-40B4-BE49-F238E27FC236}">
                  <a16:creationId xmlns:a16="http://schemas.microsoft.com/office/drawing/2014/main" id="{00000000-0008-0000-0300-00007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35</xdr:row>
          <xdr:rowOff>198120</xdr:rowOff>
        </xdr:to>
        <xdr:sp macro="" textlink="">
          <xdr:nvSpPr>
            <xdr:cNvPr id="418929" name="Drop Down 113" hidden="1">
              <a:extLst>
                <a:ext uri="{63B3BB69-23CF-44E3-9099-C40C66FF867C}">
                  <a14:compatExt spid="_x0000_s418929"/>
                </a:ext>
                <a:ext uri="{FF2B5EF4-FFF2-40B4-BE49-F238E27FC236}">
                  <a16:creationId xmlns:a16="http://schemas.microsoft.com/office/drawing/2014/main" id="{00000000-0008-0000-0300-00007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723900</xdr:colOff>
          <xdr:row>37</xdr:row>
          <xdr:rowOff>0</xdr:rowOff>
        </xdr:to>
        <xdr:sp macro="" textlink="">
          <xdr:nvSpPr>
            <xdr:cNvPr id="418930" name="Drop Down 114" hidden="1">
              <a:extLst>
                <a:ext uri="{63B3BB69-23CF-44E3-9099-C40C66FF867C}">
                  <a14:compatExt spid="_x0000_s418930"/>
                </a:ext>
                <a:ext uri="{FF2B5EF4-FFF2-40B4-BE49-F238E27FC236}">
                  <a16:creationId xmlns:a16="http://schemas.microsoft.com/office/drawing/2014/main" id="{00000000-0008-0000-0300-00007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723900</xdr:colOff>
          <xdr:row>37</xdr:row>
          <xdr:rowOff>0</xdr:rowOff>
        </xdr:to>
        <xdr:sp macro="" textlink="">
          <xdr:nvSpPr>
            <xdr:cNvPr id="418931" name="Drop Down 115" hidden="1">
              <a:extLst>
                <a:ext uri="{63B3BB69-23CF-44E3-9099-C40C66FF867C}">
                  <a14:compatExt spid="_x0000_s418931"/>
                </a:ext>
                <a:ext uri="{FF2B5EF4-FFF2-40B4-BE49-F238E27FC236}">
                  <a16:creationId xmlns:a16="http://schemas.microsoft.com/office/drawing/2014/main" id="{00000000-0008-0000-0300-00007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723900</xdr:colOff>
          <xdr:row>37</xdr:row>
          <xdr:rowOff>0</xdr:rowOff>
        </xdr:to>
        <xdr:sp macro="" textlink="">
          <xdr:nvSpPr>
            <xdr:cNvPr id="418932" name="Drop Down 116" hidden="1">
              <a:extLst>
                <a:ext uri="{63B3BB69-23CF-44E3-9099-C40C66FF867C}">
                  <a14:compatExt spid="_x0000_s418932"/>
                </a:ext>
                <a:ext uri="{FF2B5EF4-FFF2-40B4-BE49-F238E27FC236}">
                  <a16:creationId xmlns:a16="http://schemas.microsoft.com/office/drawing/2014/main" id="{00000000-0008-0000-0300-00007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723900</xdr:colOff>
          <xdr:row>37</xdr:row>
          <xdr:rowOff>0</xdr:rowOff>
        </xdr:to>
        <xdr:sp macro="" textlink="">
          <xdr:nvSpPr>
            <xdr:cNvPr id="418933" name="Drop Down 117" hidden="1">
              <a:extLst>
                <a:ext uri="{63B3BB69-23CF-44E3-9099-C40C66FF867C}">
                  <a14:compatExt spid="_x0000_s418933"/>
                </a:ext>
                <a:ext uri="{FF2B5EF4-FFF2-40B4-BE49-F238E27FC236}">
                  <a16:creationId xmlns:a16="http://schemas.microsoft.com/office/drawing/2014/main" id="{00000000-0008-0000-0300-00007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7</xdr:col>
          <xdr:colOff>723900</xdr:colOff>
          <xdr:row>37</xdr:row>
          <xdr:rowOff>0</xdr:rowOff>
        </xdr:to>
        <xdr:sp macro="" textlink="">
          <xdr:nvSpPr>
            <xdr:cNvPr id="418934" name="Drop Down 118" hidden="1">
              <a:extLst>
                <a:ext uri="{63B3BB69-23CF-44E3-9099-C40C66FF867C}">
                  <a14:compatExt spid="_x0000_s418934"/>
                </a:ext>
                <a:ext uri="{FF2B5EF4-FFF2-40B4-BE49-F238E27FC236}">
                  <a16:creationId xmlns:a16="http://schemas.microsoft.com/office/drawing/2014/main" id="{00000000-0008-0000-0300-00007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18935" name="Drop Down 119" hidden="1">
              <a:extLst>
                <a:ext uri="{63B3BB69-23CF-44E3-9099-C40C66FF867C}">
                  <a14:compatExt spid="_x0000_s418935"/>
                </a:ext>
                <a:ext uri="{FF2B5EF4-FFF2-40B4-BE49-F238E27FC236}">
                  <a16:creationId xmlns:a16="http://schemas.microsoft.com/office/drawing/2014/main" id="{00000000-0008-0000-0300-00007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3</xdr:col>
          <xdr:colOff>723900</xdr:colOff>
          <xdr:row>38</xdr:row>
          <xdr:rowOff>0</xdr:rowOff>
        </xdr:to>
        <xdr:sp macro="" textlink="">
          <xdr:nvSpPr>
            <xdr:cNvPr id="418936" name="Drop Down 120" hidden="1">
              <a:extLst>
                <a:ext uri="{63B3BB69-23CF-44E3-9099-C40C66FF867C}">
                  <a14:compatExt spid="_x0000_s418936"/>
                </a:ext>
                <a:ext uri="{FF2B5EF4-FFF2-40B4-BE49-F238E27FC236}">
                  <a16:creationId xmlns:a16="http://schemas.microsoft.com/office/drawing/2014/main" id="{00000000-0008-0000-0300-00007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723900</xdr:colOff>
          <xdr:row>38</xdr:row>
          <xdr:rowOff>0</xdr:rowOff>
        </xdr:to>
        <xdr:sp macro="" textlink="">
          <xdr:nvSpPr>
            <xdr:cNvPr id="418937" name="Drop Down 121" hidden="1">
              <a:extLst>
                <a:ext uri="{63B3BB69-23CF-44E3-9099-C40C66FF867C}">
                  <a14:compatExt spid="_x0000_s418937"/>
                </a:ext>
                <a:ext uri="{FF2B5EF4-FFF2-40B4-BE49-F238E27FC236}">
                  <a16:creationId xmlns:a16="http://schemas.microsoft.com/office/drawing/2014/main" id="{00000000-0008-0000-0300-00007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723900</xdr:colOff>
          <xdr:row>38</xdr:row>
          <xdr:rowOff>0</xdr:rowOff>
        </xdr:to>
        <xdr:sp macro="" textlink="">
          <xdr:nvSpPr>
            <xdr:cNvPr id="418938" name="Drop Down 122" hidden="1">
              <a:extLst>
                <a:ext uri="{63B3BB69-23CF-44E3-9099-C40C66FF867C}">
                  <a14:compatExt spid="_x0000_s418938"/>
                </a:ext>
                <a:ext uri="{FF2B5EF4-FFF2-40B4-BE49-F238E27FC236}">
                  <a16:creationId xmlns:a16="http://schemas.microsoft.com/office/drawing/2014/main" id="{00000000-0008-0000-0300-00007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723900</xdr:colOff>
          <xdr:row>38</xdr:row>
          <xdr:rowOff>0</xdr:rowOff>
        </xdr:to>
        <xdr:sp macro="" textlink="">
          <xdr:nvSpPr>
            <xdr:cNvPr id="418939" name="Drop Down 123" hidden="1">
              <a:extLst>
                <a:ext uri="{63B3BB69-23CF-44E3-9099-C40C66FF867C}">
                  <a14:compatExt spid="_x0000_s418939"/>
                </a:ext>
                <a:ext uri="{FF2B5EF4-FFF2-40B4-BE49-F238E27FC236}">
                  <a16:creationId xmlns:a16="http://schemas.microsoft.com/office/drawing/2014/main" id="{00000000-0008-0000-0300-00007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7</xdr:col>
          <xdr:colOff>723900</xdr:colOff>
          <xdr:row>38</xdr:row>
          <xdr:rowOff>0</xdr:rowOff>
        </xdr:to>
        <xdr:sp macro="" textlink="">
          <xdr:nvSpPr>
            <xdr:cNvPr id="418940" name="Drop Down 124" hidden="1">
              <a:extLst>
                <a:ext uri="{63B3BB69-23CF-44E3-9099-C40C66FF867C}">
                  <a14:compatExt spid="_x0000_s418940"/>
                </a:ext>
                <a:ext uri="{FF2B5EF4-FFF2-40B4-BE49-F238E27FC236}">
                  <a16:creationId xmlns:a16="http://schemas.microsoft.com/office/drawing/2014/main" id="{00000000-0008-0000-0300-00007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18941" name="Drop Down 125" hidden="1">
              <a:extLst>
                <a:ext uri="{63B3BB69-23CF-44E3-9099-C40C66FF867C}">
                  <a14:compatExt spid="_x0000_s418941"/>
                </a:ext>
                <a:ext uri="{FF2B5EF4-FFF2-40B4-BE49-F238E27FC236}">
                  <a16:creationId xmlns:a16="http://schemas.microsoft.com/office/drawing/2014/main" id="{00000000-0008-0000-0300-00007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723900</xdr:colOff>
          <xdr:row>39</xdr:row>
          <xdr:rowOff>0</xdr:rowOff>
        </xdr:to>
        <xdr:sp macro="" textlink="">
          <xdr:nvSpPr>
            <xdr:cNvPr id="418942" name="Drop Down 126" hidden="1">
              <a:extLst>
                <a:ext uri="{63B3BB69-23CF-44E3-9099-C40C66FF867C}">
                  <a14:compatExt spid="_x0000_s418942"/>
                </a:ext>
                <a:ext uri="{FF2B5EF4-FFF2-40B4-BE49-F238E27FC236}">
                  <a16:creationId xmlns:a16="http://schemas.microsoft.com/office/drawing/2014/main" id="{00000000-0008-0000-0300-00007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723900</xdr:colOff>
          <xdr:row>40</xdr:row>
          <xdr:rowOff>0</xdr:rowOff>
        </xdr:to>
        <xdr:sp macro="" textlink="">
          <xdr:nvSpPr>
            <xdr:cNvPr id="418943" name="Drop Down 127" hidden="1">
              <a:extLst>
                <a:ext uri="{63B3BB69-23CF-44E3-9099-C40C66FF867C}">
                  <a14:compatExt spid="_x0000_s418943"/>
                </a:ext>
                <a:ext uri="{FF2B5EF4-FFF2-40B4-BE49-F238E27FC236}">
                  <a16:creationId xmlns:a16="http://schemas.microsoft.com/office/drawing/2014/main" id="{00000000-0008-0000-0300-00007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3</xdr:col>
          <xdr:colOff>723900</xdr:colOff>
          <xdr:row>39</xdr:row>
          <xdr:rowOff>0</xdr:rowOff>
        </xdr:to>
        <xdr:sp macro="" textlink="">
          <xdr:nvSpPr>
            <xdr:cNvPr id="418944" name="Drop Down 128" hidden="1">
              <a:extLst>
                <a:ext uri="{63B3BB69-23CF-44E3-9099-C40C66FF867C}">
                  <a14:compatExt spid="_x0000_s418944"/>
                </a:ext>
                <a:ext uri="{FF2B5EF4-FFF2-40B4-BE49-F238E27FC236}">
                  <a16:creationId xmlns:a16="http://schemas.microsoft.com/office/drawing/2014/main" id="{00000000-0008-0000-0300-00008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3</xdr:col>
          <xdr:colOff>723900</xdr:colOff>
          <xdr:row>40</xdr:row>
          <xdr:rowOff>0</xdr:rowOff>
        </xdr:to>
        <xdr:sp macro="" textlink="">
          <xdr:nvSpPr>
            <xdr:cNvPr id="418945" name="Drop Down 129" hidden="1">
              <a:extLst>
                <a:ext uri="{63B3BB69-23CF-44E3-9099-C40C66FF867C}">
                  <a14:compatExt spid="_x0000_s418945"/>
                </a:ext>
                <a:ext uri="{FF2B5EF4-FFF2-40B4-BE49-F238E27FC236}">
                  <a16:creationId xmlns:a16="http://schemas.microsoft.com/office/drawing/2014/main" id="{00000000-0008-0000-0300-00008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723900</xdr:colOff>
          <xdr:row>39</xdr:row>
          <xdr:rowOff>0</xdr:rowOff>
        </xdr:to>
        <xdr:sp macro="" textlink="">
          <xdr:nvSpPr>
            <xdr:cNvPr id="418946" name="Drop Down 130" hidden="1">
              <a:extLst>
                <a:ext uri="{63B3BB69-23CF-44E3-9099-C40C66FF867C}">
                  <a14:compatExt spid="_x0000_s418946"/>
                </a:ext>
                <a:ext uri="{FF2B5EF4-FFF2-40B4-BE49-F238E27FC236}">
                  <a16:creationId xmlns:a16="http://schemas.microsoft.com/office/drawing/2014/main" id="{00000000-0008-0000-0300-00008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723900</xdr:colOff>
          <xdr:row>40</xdr:row>
          <xdr:rowOff>0</xdr:rowOff>
        </xdr:to>
        <xdr:sp macro="" textlink="">
          <xdr:nvSpPr>
            <xdr:cNvPr id="418947" name="Drop Down 131" hidden="1">
              <a:extLst>
                <a:ext uri="{63B3BB69-23CF-44E3-9099-C40C66FF867C}">
                  <a14:compatExt spid="_x0000_s418947"/>
                </a:ext>
                <a:ext uri="{FF2B5EF4-FFF2-40B4-BE49-F238E27FC236}">
                  <a16:creationId xmlns:a16="http://schemas.microsoft.com/office/drawing/2014/main" id="{00000000-0008-0000-0300-00008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723900</xdr:colOff>
          <xdr:row>39</xdr:row>
          <xdr:rowOff>0</xdr:rowOff>
        </xdr:to>
        <xdr:sp macro="" textlink="">
          <xdr:nvSpPr>
            <xdr:cNvPr id="418948" name="Drop Down 132" hidden="1">
              <a:extLst>
                <a:ext uri="{63B3BB69-23CF-44E3-9099-C40C66FF867C}">
                  <a14:compatExt spid="_x0000_s418948"/>
                </a:ext>
                <a:ext uri="{FF2B5EF4-FFF2-40B4-BE49-F238E27FC236}">
                  <a16:creationId xmlns:a16="http://schemas.microsoft.com/office/drawing/2014/main" id="{00000000-0008-0000-0300-00008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723900</xdr:colOff>
          <xdr:row>40</xdr:row>
          <xdr:rowOff>0</xdr:rowOff>
        </xdr:to>
        <xdr:sp macro="" textlink="">
          <xdr:nvSpPr>
            <xdr:cNvPr id="418949" name="Drop Down 133" hidden="1">
              <a:extLst>
                <a:ext uri="{63B3BB69-23CF-44E3-9099-C40C66FF867C}">
                  <a14:compatExt spid="_x0000_s418949"/>
                </a:ext>
                <a:ext uri="{FF2B5EF4-FFF2-40B4-BE49-F238E27FC236}">
                  <a16:creationId xmlns:a16="http://schemas.microsoft.com/office/drawing/2014/main" id="{00000000-0008-0000-0300-00008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723900</xdr:colOff>
          <xdr:row>39</xdr:row>
          <xdr:rowOff>0</xdr:rowOff>
        </xdr:to>
        <xdr:sp macro="" textlink="">
          <xdr:nvSpPr>
            <xdr:cNvPr id="418950" name="Drop Down 134" hidden="1">
              <a:extLst>
                <a:ext uri="{63B3BB69-23CF-44E3-9099-C40C66FF867C}">
                  <a14:compatExt spid="_x0000_s418950"/>
                </a:ext>
                <a:ext uri="{FF2B5EF4-FFF2-40B4-BE49-F238E27FC236}">
                  <a16:creationId xmlns:a16="http://schemas.microsoft.com/office/drawing/2014/main" id="{00000000-0008-0000-0300-00008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723900</xdr:colOff>
          <xdr:row>40</xdr:row>
          <xdr:rowOff>0</xdr:rowOff>
        </xdr:to>
        <xdr:sp macro="" textlink="">
          <xdr:nvSpPr>
            <xdr:cNvPr id="418951" name="Drop Down 135" hidden="1">
              <a:extLst>
                <a:ext uri="{63B3BB69-23CF-44E3-9099-C40C66FF867C}">
                  <a14:compatExt spid="_x0000_s418951"/>
                </a:ext>
                <a:ext uri="{FF2B5EF4-FFF2-40B4-BE49-F238E27FC236}">
                  <a16:creationId xmlns:a16="http://schemas.microsoft.com/office/drawing/2014/main" id="{00000000-0008-0000-0300-00008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7</xdr:col>
          <xdr:colOff>723900</xdr:colOff>
          <xdr:row>39</xdr:row>
          <xdr:rowOff>0</xdr:rowOff>
        </xdr:to>
        <xdr:sp macro="" textlink="">
          <xdr:nvSpPr>
            <xdr:cNvPr id="418952" name="Drop Down 136" hidden="1">
              <a:extLst>
                <a:ext uri="{63B3BB69-23CF-44E3-9099-C40C66FF867C}">
                  <a14:compatExt spid="_x0000_s418952"/>
                </a:ext>
                <a:ext uri="{FF2B5EF4-FFF2-40B4-BE49-F238E27FC236}">
                  <a16:creationId xmlns:a16="http://schemas.microsoft.com/office/drawing/2014/main" id="{00000000-0008-0000-0300-00008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7</xdr:col>
          <xdr:colOff>723900</xdr:colOff>
          <xdr:row>40</xdr:row>
          <xdr:rowOff>0</xdr:rowOff>
        </xdr:to>
        <xdr:sp macro="" textlink="">
          <xdr:nvSpPr>
            <xdr:cNvPr id="418953" name="Drop Down 137" hidden="1">
              <a:extLst>
                <a:ext uri="{63B3BB69-23CF-44E3-9099-C40C66FF867C}">
                  <a14:compatExt spid="_x0000_s418953"/>
                </a:ext>
                <a:ext uri="{FF2B5EF4-FFF2-40B4-BE49-F238E27FC236}">
                  <a16:creationId xmlns:a16="http://schemas.microsoft.com/office/drawing/2014/main" id="{00000000-0008-0000-0300-00008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18954" name="Drop Down 138" hidden="1">
              <a:extLst>
                <a:ext uri="{63B3BB69-23CF-44E3-9099-C40C66FF867C}">
                  <a14:compatExt spid="_x0000_s418954"/>
                </a:ext>
                <a:ext uri="{FF2B5EF4-FFF2-40B4-BE49-F238E27FC236}">
                  <a16:creationId xmlns:a16="http://schemas.microsoft.com/office/drawing/2014/main" id="{00000000-0008-0000-0300-00008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18955" name="Drop Down 139" hidden="1">
              <a:extLst>
                <a:ext uri="{63B3BB69-23CF-44E3-9099-C40C66FF867C}">
                  <a14:compatExt spid="_x0000_s418955"/>
                </a:ext>
                <a:ext uri="{FF2B5EF4-FFF2-40B4-BE49-F238E27FC236}">
                  <a16:creationId xmlns:a16="http://schemas.microsoft.com/office/drawing/2014/main" id="{00000000-0008-0000-0300-00008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723900</xdr:colOff>
          <xdr:row>41</xdr:row>
          <xdr:rowOff>0</xdr:rowOff>
        </xdr:to>
        <xdr:sp macro="" textlink="">
          <xdr:nvSpPr>
            <xdr:cNvPr id="418956" name="Drop Down 140" hidden="1">
              <a:extLst>
                <a:ext uri="{63B3BB69-23CF-44E3-9099-C40C66FF867C}">
                  <a14:compatExt spid="_x0000_s418956"/>
                </a:ext>
                <a:ext uri="{FF2B5EF4-FFF2-40B4-BE49-F238E27FC236}">
                  <a16:creationId xmlns:a16="http://schemas.microsoft.com/office/drawing/2014/main" id="{00000000-0008-0000-0300-00008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2</xdr:col>
          <xdr:colOff>723900</xdr:colOff>
          <xdr:row>42</xdr:row>
          <xdr:rowOff>0</xdr:rowOff>
        </xdr:to>
        <xdr:sp macro="" textlink="">
          <xdr:nvSpPr>
            <xdr:cNvPr id="418957" name="Drop Down 141" hidden="1">
              <a:extLst>
                <a:ext uri="{63B3BB69-23CF-44E3-9099-C40C66FF867C}">
                  <a14:compatExt spid="_x0000_s418957"/>
                </a:ext>
                <a:ext uri="{FF2B5EF4-FFF2-40B4-BE49-F238E27FC236}">
                  <a16:creationId xmlns:a16="http://schemas.microsoft.com/office/drawing/2014/main" id="{00000000-0008-0000-0300-00008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0</xdr:rowOff>
        </xdr:from>
        <xdr:to>
          <xdr:col>3</xdr:col>
          <xdr:colOff>723900</xdr:colOff>
          <xdr:row>41</xdr:row>
          <xdr:rowOff>0</xdr:rowOff>
        </xdr:to>
        <xdr:sp macro="" textlink="">
          <xdr:nvSpPr>
            <xdr:cNvPr id="418958" name="Drop Down 142" hidden="1">
              <a:extLst>
                <a:ext uri="{63B3BB69-23CF-44E3-9099-C40C66FF867C}">
                  <a14:compatExt spid="_x0000_s418958"/>
                </a:ext>
                <a:ext uri="{FF2B5EF4-FFF2-40B4-BE49-F238E27FC236}">
                  <a16:creationId xmlns:a16="http://schemas.microsoft.com/office/drawing/2014/main" id="{00000000-0008-0000-0300-00008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0</xdr:rowOff>
        </xdr:from>
        <xdr:to>
          <xdr:col>3</xdr:col>
          <xdr:colOff>723900</xdr:colOff>
          <xdr:row>42</xdr:row>
          <xdr:rowOff>0</xdr:rowOff>
        </xdr:to>
        <xdr:sp macro="" textlink="">
          <xdr:nvSpPr>
            <xdr:cNvPr id="418959" name="Drop Down 143" hidden="1">
              <a:extLst>
                <a:ext uri="{63B3BB69-23CF-44E3-9099-C40C66FF867C}">
                  <a14:compatExt spid="_x0000_s418959"/>
                </a:ext>
                <a:ext uri="{FF2B5EF4-FFF2-40B4-BE49-F238E27FC236}">
                  <a16:creationId xmlns:a16="http://schemas.microsoft.com/office/drawing/2014/main" id="{00000000-0008-0000-0300-00008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723900</xdr:colOff>
          <xdr:row>41</xdr:row>
          <xdr:rowOff>0</xdr:rowOff>
        </xdr:to>
        <xdr:sp macro="" textlink="">
          <xdr:nvSpPr>
            <xdr:cNvPr id="418960" name="Drop Down 144" hidden="1">
              <a:extLst>
                <a:ext uri="{63B3BB69-23CF-44E3-9099-C40C66FF867C}">
                  <a14:compatExt spid="_x0000_s418960"/>
                </a:ext>
                <a:ext uri="{FF2B5EF4-FFF2-40B4-BE49-F238E27FC236}">
                  <a16:creationId xmlns:a16="http://schemas.microsoft.com/office/drawing/2014/main" id="{00000000-0008-0000-0300-00009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723900</xdr:colOff>
          <xdr:row>42</xdr:row>
          <xdr:rowOff>0</xdr:rowOff>
        </xdr:to>
        <xdr:sp macro="" textlink="">
          <xdr:nvSpPr>
            <xdr:cNvPr id="418961" name="Drop Down 145" hidden="1">
              <a:extLst>
                <a:ext uri="{63B3BB69-23CF-44E3-9099-C40C66FF867C}">
                  <a14:compatExt spid="_x0000_s418961"/>
                </a:ext>
                <a:ext uri="{FF2B5EF4-FFF2-40B4-BE49-F238E27FC236}">
                  <a16:creationId xmlns:a16="http://schemas.microsoft.com/office/drawing/2014/main" id="{00000000-0008-0000-0300-00009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723900</xdr:colOff>
          <xdr:row>41</xdr:row>
          <xdr:rowOff>0</xdr:rowOff>
        </xdr:to>
        <xdr:sp macro="" textlink="">
          <xdr:nvSpPr>
            <xdr:cNvPr id="418962" name="Drop Down 146" hidden="1">
              <a:extLst>
                <a:ext uri="{63B3BB69-23CF-44E3-9099-C40C66FF867C}">
                  <a14:compatExt spid="_x0000_s418962"/>
                </a:ext>
                <a:ext uri="{FF2B5EF4-FFF2-40B4-BE49-F238E27FC236}">
                  <a16:creationId xmlns:a16="http://schemas.microsoft.com/office/drawing/2014/main" id="{00000000-0008-0000-0300-00009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723900</xdr:colOff>
          <xdr:row>42</xdr:row>
          <xdr:rowOff>0</xdr:rowOff>
        </xdr:to>
        <xdr:sp macro="" textlink="">
          <xdr:nvSpPr>
            <xdr:cNvPr id="418963" name="Drop Down 147" hidden="1">
              <a:extLst>
                <a:ext uri="{63B3BB69-23CF-44E3-9099-C40C66FF867C}">
                  <a14:compatExt spid="_x0000_s418963"/>
                </a:ext>
                <a:ext uri="{FF2B5EF4-FFF2-40B4-BE49-F238E27FC236}">
                  <a16:creationId xmlns:a16="http://schemas.microsoft.com/office/drawing/2014/main" id="{00000000-0008-0000-0300-00009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723900</xdr:colOff>
          <xdr:row>41</xdr:row>
          <xdr:rowOff>0</xdr:rowOff>
        </xdr:to>
        <xdr:sp macro="" textlink="">
          <xdr:nvSpPr>
            <xdr:cNvPr id="418964" name="Drop Down 148" hidden="1">
              <a:extLst>
                <a:ext uri="{63B3BB69-23CF-44E3-9099-C40C66FF867C}">
                  <a14:compatExt spid="_x0000_s418964"/>
                </a:ext>
                <a:ext uri="{FF2B5EF4-FFF2-40B4-BE49-F238E27FC236}">
                  <a16:creationId xmlns:a16="http://schemas.microsoft.com/office/drawing/2014/main" id="{00000000-0008-0000-0300-00009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723900</xdr:colOff>
          <xdr:row>42</xdr:row>
          <xdr:rowOff>0</xdr:rowOff>
        </xdr:to>
        <xdr:sp macro="" textlink="">
          <xdr:nvSpPr>
            <xdr:cNvPr id="418965" name="Drop Down 149" hidden="1">
              <a:extLst>
                <a:ext uri="{63B3BB69-23CF-44E3-9099-C40C66FF867C}">
                  <a14:compatExt spid="_x0000_s418965"/>
                </a:ext>
                <a:ext uri="{FF2B5EF4-FFF2-40B4-BE49-F238E27FC236}">
                  <a16:creationId xmlns:a16="http://schemas.microsoft.com/office/drawing/2014/main" id="{00000000-0008-0000-0300-00009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7</xdr:col>
          <xdr:colOff>723900</xdr:colOff>
          <xdr:row>41</xdr:row>
          <xdr:rowOff>0</xdr:rowOff>
        </xdr:to>
        <xdr:sp macro="" textlink="">
          <xdr:nvSpPr>
            <xdr:cNvPr id="418966" name="Drop Down 150" hidden="1">
              <a:extLst>
                <a:ext uri="{63B3BB69-23CF-44E3-9099-C40C66FF867C}">
                  <a14:compatExt spid="_x0000_s418966"/>
                </a:ext>
                <a:ext uri="{FF2B5EF4-FFF2-40B4-BE49-F238E27FC236}">
                  <a16:creationId xmlns:a16="http://schemas.microsoft.com/office/drawing/2014/main" id="{00000000-0008-0000-0300-00009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7</xdr:col>
          <xdr:colOff>723900</xdr:colOff>
          <xdr:row>42</xdr:row>
          <xdr:rowOff>0</xdr:rowOff>
        </xdr:to>
        <xdr:sp macro="" textlink="">
          <xdr:nvSpPr>
            <xdr:cNvPr id="418967" name="Drop Down 151" hidden="1">
              <a:extLst>
                <a:ext uri="{63B3BB69-23CF-44E3-9099-C40C66FF867C}">
                  <a14:compatExt spid="_x0000_s418967"/>
                </a:ext>
                <a:ext uri="{FF2B5EF4-FFF2-40B4-BE49-F238E27FC236}">
                  <a16:creationId xmlns:a16="http://schemas.microsoft.com/office/drawing/2014/main" id="{00000000-0008-0000-0300-00009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18968" name="Drop Down 152" hidden="1">
              <a:extLst>
                <a:ext uri="{63B3BB69-23CF-44E3-9099-C40C66FF867C}">
                  <a14:compatExt spid="_x0000_s418968"/>
                </a:ext>
                <a:ext uri="{FF2B5EF4-FFF2-40B4-BE49-F238E27FC236}">
                  <a16:creationId xmlns:a16="http://schemas.microsoft.com/office/drawing/2014/main" id="{00000000-0008-0000-0300-00009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18969" name="Drop Down 153" hidden="1">
              <a:extLst>
                <a:ext uri="{63B3BB69-23CF-44E3-9099-C40C66FF867C}">
                  <a14:compatExt spid="_x0000_s418969"/>
                </a:ext>
                <a:ext uri="{FF2B5EF4-FFF2-40B4-BE49-F238E27FC236}">
                  <a16:creationId xmlns:a16="http://schemas.microsoft.com/office/drawing/2014/main" id="{00000000-0008-0000-0300-00009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723900</xdr:colOff>
          <xdr:row>35</xdr:row>
          <xdr:rowOff>0</xdr:rowOff>
        </xdr:to>
        <xdr:sp macro="" textlink="">
          <xdr:nvSpPr>
            <xdr:cNvPr id="418970" name="Drop Down 154" hidden="1">
              <a:extLst>
                <a:ext uri="{63B3BB69-23CF-44E3-9099-C40C66FF867C}">
                  <a14:compatExt spid="_x0000_s418970"/>
                </a:ext>
                <a:ext uri="{FF2B5EF4-FFF2-40B4-BE49-F238E27FC236}">
                  <a16:creationId xmlns:a16="http://schemas.microsoft.com/office/drawing/2014/main" id="{00000000-0008-0000-0300-00009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35</xdr:row>
          <xdr:rowOff>198120</xdr:rowOff>
        </xdr:to>
        <xdr:sp macro="" textlink="">
          <xdr:nvSpPr>
            <xdr:cNvPr id="418971" name="Drop Down 155" hidden="1">
              <a:extLst>
                <a:ext uri="{63B3BB69-23CF-44E3-9099-C40C66FF867C}">
                  <a14:compatExt spid="_x0000_s418971"/>
                </a:ext>
                <a:ext uri="{FF2B5EF4-FFF2-40B4-BE49-F238E27FC236}">
                  <a16:creationId xmlns:a16="http://schemas.microsoft.com/office/drawing/2014/main" id="{00000000-0008-0000-0300-00009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18972" name="Drop Down 156" hidden="1">
              <a:extLst>
                <a:ext uri="{63B3BB69-23CF-44E3-9099-C40C66FF867C}">
                  <a14:compatExt spid="_x0000_s418972"/>
                </a:ext>
                <a:ext uri="{FF2B5EF4-FFF2-40B4-BE49-F238E27FC236}">
                  <a16:creationId xmlns:a16="http://schemas.microsoft.com/office/drawing/2014/main" id="{00000000-0008-0000-0300-00009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18973" name="Drop Down 157" hidden="1">
              <a:extLst>
                <a:ext uri="{63B3BB69-23CF-44E3-9099-C40C66FF867C}">
                  <a14:compatExt spid="_x0000_s418973"/>
                </a:ext>
                <a:ext uri="{FF2B5EF4-FFF2-40B4-BE49-F238E27FC236}">
                  <a16:creationId xmlns:a16="http://schemas.microsoft.com/office/drawing/2014/main" id="{00000000-0008-0000-0300-00009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18974" name="Drop Down 158" hidden="1">
              <a:extLst>
                <a:ext uri="{63B3BB69-23CF-44E3-9099-C40C66FF867C}">
                  <a14:compatExt spid="_x0000_s418974"/>
                </a:ext>
                <a:ext uri="{FF2B5EF4-FFF2-40B4-BE49-F238E27FC236}">
                  <a16:creationId xmlns:a16="http://schemas.microsoft.com/office/drawing/2014/main" id="{00000000-0008-0000-0300-00009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18975" name="Drop Down 159" hidden="1">
              <a:extLst>
                <a:ext uri="{63B3BB69-23CF-44E3-9099-C40C66FF867C}">
                  <a14:compatExt spid="_x0000_s418975"/>
                </a:ext>
                <a:ext uri="{FF2B5EF4-FFF2-40B4-BE49-F238E27FC236}">
                  <a16:creationId xmlns:a16="http://schemas.microsoft.com/office/drawing/2014/main" id="{00000000-0008-0000-0300-00009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18976" name="Drop Down 160" hidden="1">
              <a:extLst>
                <a:ext uri="{63B3BB69-23CF-44E3-9099-C40C66FF867C}">
                  <a14:compatExt spid="_x0000_s418976"/>
                </a:ext>
                <a:ext uri="{FF2B5EF4-FFF2-40B4-BE49-F238E27FC236}">
                  <a16:creationId xmlns:a16="http://schemas.microsoft.com/office/drawing/2014/main" id="{00000000-0008-0000-0300-0000A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18977" name="Drop Down 161" hidden="1">
              <a:extLst>
                <a:ext uri="{63B3BB69-23CF-44E3-9099-C40C66FF867C}">
                  <a14:compatExt spid="_x0000_s418977"/>
                </a:ext>
                <a:ext uri="{FF2B5EF4-FFF2-40B4-BE49-F238E27FC236}">
                  <a16:creationId xmlns:a16="http://schemas.microsoft.com/office/drawing/2014/main" id="{00000000-0008-0000-0300-0000A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10</xdr:col>
          <xdr:colOff>723900</xdr:colOff>
          <xdr:row>35</xdr:row>
          <xdr:rowOff>0</xdr:rowOff>
        </xdr:to>
        <xdr:sp macro="" textlink="">
          <xdr:nvSpPr>
            <xdr:cNvPr id="418978" name="Drop Down 162" hidden="1">
              <a:extLst>
                <a:ext uri="{63B3BB69-23CF-44E3-9099-C40C66FF867C}">
                  <a14:compatExt spid="_x0000_s418978"/>
                </a:ext>
                <a:ext uri="{FF2B5EF4-FFF2-40B4-BE49-F238E27FC236}">
                  <a16:creationId xmlns:a16="http://schemas.microsoft.com/office/drawing/2014/main" id="{00000000-0008-0000-0300-0000A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35</xdr:row>
          <xdr:rowOff>198120</xdr:rowOff>
        </xdr:to>
        <xdr:sp macro="" textlink="">
          <xdr:nvSpPr>
            <xdr:cNvPr id="418979" name="Drop Down 163" hidden="1">
              <a:extLst>
                <a:ext uri="{63B3BB69-23CF-44E3-9099-C40C66FF867C}">
                  <a14:compatExt spid="_x0000_s418979"/>
                </a:ext>
                <a:ext uri="{FF2B5EF4-FFF2-40B4-BE49-F238E27FC236}">
                  <a16:creationId xmlns:a16="http://schemas.microsoft.com/office/drawing/2014/main" id="{00000000-0008-0000-0300-0000A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18980" name="Drop Down 164" hidden="1">
              <a:extLst>
                <a:ext uri="{63B3BB69-23CF-44E3-9099-C40C66FF867C}">
                  <a14:compatExt spid="_x0000_s418980"/>
                </a:ext>
                <a:ext uri="{FF2B5EF4-FFF2-40B4-BE49-F238E27FC236}">
                  <a16:creationId xmlns:a16="http://schemas.microsoft.com/office/drawing/2014/main" id="{00000000-0008-0000-0300-0000A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18981" name="Drop Down 165" hidden="1">
              <a:extLst>
                <a:ext uri="{63B3BB69-23CF-44E3-9099-C40C66FF867C}">
                  <a14:compatExt spid="_x0000_s418981"/>
                </a:ext>
                <a:ext uri="{FF2B5EF4-FFF2-40B4-BE49-F238E27FC236}">
                  <a16:creationId xmlns:a16="http://schemas.microsoft.com/office/drawing/2014/main" id="{00000000-0008-0000-0300-0000A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18982" name="Drop Down 166" hidden="1">
              <a:extLst>
                <a:ext uri="{63B3BB69-23CF-44E3-9099-C40C66FF867C}">
                  <a14:compatExt spid="_x0000_s418982"/>
                </a:ext>
                <a:ext uri="{FF2B5EF4-FFF2-40B4-BE49-F238E27FC236}">
                  <a16:creationId xmlns:a16="http://schemas.microsoft.com/office/drawing/2014/main" id="{00000000-0008-0000-0300-0000A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18983" name="Drop Down 167" hidden="1">
              <a:extLst>
                <a:ext uri="{63B3BB69-23CF-44E3-9099-C40C66FF867C}">
                  <a14:compatExt spid="_x0000_s418983"/>
                </a:ext>
                <a:ext uri="{FF2B5EF4-FFF2-40B4-BE49-F238E27FC236}">
                  <a16:creationId xmlns:a16="http://schemas.microsoft.com/office/drawing/2014/main" id="{00000000-0008-0000-0300-0000A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18984" name="Drop Down 168" hidden="1">
              <a:extLst>
                <a:ext uri="{63B3BB69-23CF-44E3-9099-C40C66FF867C}">
                  <a14:compatExt spid="_x0000_s418984"/>
                </a:ext>
                <a:ext uri="{FF2B5EF4-FFF2-40B4-BE49-F238E27FC236}">
                  <a16:creationId xmlns:a16="http://schemas.microsoft.com/office/drawing/2014/main" id="{00000000-0008-0000-0300-0000A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18985" name="Drop Down 169" hidden="1">
              <a:extLst>
                <a:ext uri="{63B3BB69-23CF-44E3-9099-C40C66FF867C}">
                  <a14:compatExt spid="_x0000_s418985"/>
                </a:ext>
                <a:ext uri="{FF2B5EF4-FFF2-40B4-BE49-F238E27FC236}">
                  <a16:creationId xmlns:a16="http://schemas.microsoft.com/office/drawing/2014/main" id="{00000000-0008-0000-0300-0000A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11</xdr:col>
          <xdr:colOff>723900</xdr:colOff>
          <xdr:row>35</xdr:row>
          <xdr:rowOff>0</xdr:rowOff>
        </xdr:to>
        <xdr:sp macro="" textlink="">
          <xdr:nvSpPr>
            <xdr:cNvPr id="418986" name="Drop Down 170" hidden="1">
              <a:extLst>
                <a:ext uri="{63B3BB69-23CF-44E3-9099-C40C66FF867C}">
                  <a14:compatExt spid="_x0000_s418986"/>
                </a:ext>
                <a:ext uri="{FF2B5EF4-FFF2-40B4-BE49-F238E27FC236}">
                  <a16:creationId xmlns:a16="http://schemas.microsoft.com/office/drawing/2014/main" id="{00000000-0008-0000-0300-0000A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35</xdr:row>
          <xdr:rowOff>198120</xdr:rowOff>
        </xdr:to>
        <xdr:sp macro="" textlink="">
          <xdr:nvSpPr>
            <xdr:cNvPr id="418987" name="Drop Down 171" hidden="1">
              <a:extLst>
                <a:ext uri="{63B3BB69-23CF-44E3-9099-C40C66FF867C}">
                  <a14:compatExt spid="_x0000_s418987"/>
                </a:ext>
                <a:ext uri="{FF2B5EF4-FFF2-40B4-BE49-F238E27FC236}">
                  <a16:creationId xmlns:a16="http://schemas.microsoft.com/office/drawing/2014/main" id="{00000000-0008-0000-0300-0000A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18988" name="Drop Down 172" hidden="1">
              <a:extLst>
                <a:ext uri="{63B3BB69-23CF-44E3-9099-C40C66FF867C}">
                  <a14:compatExt spid="_x0000_s418988"/>
                </a:ext>
                <a:ext uri="{FF2B5EF4-FFF2-40B4-BE49-F238E27FC236}">
                  <a16:creationId xmlns:a16="http://schemas.microsoft.com/office/drawing/2014/main" id="{00000000-0008-0000-0300-0000A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18989" name="Drop Down 173" hidden="1">
              <a:extLst>
                <a:ext uri="{63B3BB69-23CF-44E3-9099-C40C66FF867C}">
                  <a14:compatExt spid="_x0000_s418989"/>
                </a:ext>
                <a:ext uri="{FF2B5EF4-FFF2-40B4-BE49-F238E27FC236}">
                  <a16:creationId xmlns:a16="http://schemas.microsoft.com/office/drawing/2014/main" id="{00000000-0008-0000-0300-0000A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18990" name="Drop Down 174" hidden="1">
              <a:extLst>
                <a:ext uri="{63B3BB69-23CF-44E3-9099-C40C66FF867C}">
                  <a14:compatExt spid="_x0000_s418990"/>
                </a:ext>
                <a:ext uri="{FF2B5EF4-FFF2-40B4-BE49-F238E27FC236}">
                  <a16:creationId xmlns:a16="http://schemas.microsoft.com/office/drawing/2014/main" id="{00000000-0008-0000-0300-0000A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18991" name="Drop Down 175" hidden="1">
              <a:extLst>
                <a:ext uri="{63B3BB69-23CF-44E3-9099-C40C66FF867C}">
                  <a14:compatExt spid="_x0000_s418991"/>
                </a:ext>
                <a:ext uri="{FF2B5EF4-FFF2-40B4-BE49-F238E27FC236}">
                  <a16:creationId xmlns:a16="http://schemas.microsoft.com/office/drawing/2014/main" id="{00000000-0008-0000-0300-0000A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18992" name="Drop Down 176" hidden="1">
              <a:extLst>
                <a:ext uri="{63B3BB69-23CF-44E3-9099-C40C66FF867C}">
                  <a14:compatExt spid="_x0000_s418992"/>
                </a:ext>
                <a:ext uri="{FF2B5EF4-FFF2-40B4-BE49-F238E27FC236}">
                  <a16:creationId xmlns:a16="http://schemas.microsoft.com/office/drawing/2014/main" id="{00000000-0008-0000-0300-0000B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18993" name="Drop Down 177" hidden="1">
              <a:extLst>
                <a:ext uri="{63B3BB69-23CF-44E3-9099-C40C66FF867C}">
                  <a14:compatExt spid="_x0000_s418993"/>
                </a:ext>
                <a:ext uri="{FF2B5EF4-FFF2-40B4-BE49-F238E27FC236}">
                  <a16:creationId xmlns:a16="http://schemas.microsoft.com/office/drawing/2014/main" id="{00000000-0008-0000-0300-0000B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24</xdr:col>
      <xdr:colOff>106680</xdr:colOff>
      <xdr:row>58</xdr:row>
      <xdr:rowOff>121920</xdr:rowOff>
    </xdr:from>
    <xdr:to>
      <xdr:col>28</xdr:col>
      <xdr:colOff>358140</xdr:colOff>
      <xdr:row>61</xdr:row>
      <xdr:rowOff>106680</xdr:rowOff>
    </xdr:to>
    <xdr:pic>
      <xdr:nvPicPr>
        <xdr:cNvPr id="423714" name="84 Imagen">
          <a:extLst>
            <a:ext uri="{FF2B5EF4-FFF2-40B4-BE49-F238E27FC236}">
              <a16:creationId xmlns:a16="http://schemas.microsoft.com/office/drawing/2014/main" id="{00000000-0008-0000-0300-000022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4740" y="10782300"/>
          <a:ext cx="33604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801893</xdr:colOff>
      <xdr:row>55</xdr:row>
      <xdr:rowOff>68467</xdr:rowOff>
    </xdr:from>
    <xdr:to>
      <xdr:col>21</xdr:col>
      <xdr:colOff>304127</xdr:colOff>
      <xdr:row>59</xdr:row>
      <xdr:rowOff>112955</xdr:rowOff>
    </xdr:to>
    <xdr:pic>
      <xdr:nvPicPr>
        <xdr:cNvPr id="423715" name="85 Imagen">
          <a:extLst>
            <a:ext uri="{FF2B5EF4-FFF2-40B4-BE49-F238E27FC236}">
              <a16:creationId xmlns:a16="http://schemas.microsoft.com/office/drawing/2014/main" id="{00000000-0008-0000-0300-000023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8069" y="10277026"/>
          <a:ext cx="331470" cy="672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304800</xdr:colOff>
      <xdr:row>58</xdr:row>
      <xdr:rowOff>167640</xdr:rowOff>
    </xdr:from>
    <xdr:to>
      <xdr:col>21</xdr:col>
      <xdr:colOff>777240</xdr:colOff>
      <xdr:row>60</xdr:row>
      <xdr:rowOff>175260</xdr:rowOff>
    </xdr:to>
    <xdr:pic>
      <xdr:nvPicPr>
        <xdr:cNvPr id="423716" name="86 Imagen">
          <a:extLst>
            <a:ext uri="{FF2B5EF4-FFF2-40B4-BE49-F238E27FC236}">
              <a16:creationId xmlns:a16="http://schemas.microsoft.com/office/drawing/2014/main" id="{00000000-0008-0000-0300-000024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0" y="10828020"/>
          <a:ext cx="35814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419100</xdr:colOff>
          <xdr:row>63</xdr:row>
          <xdr:rowOff>30480</xdr:rowOff>
        </xdr:from>
        <xdr:to>
          <xdr:col>26</xdr:col>
          <xdr:colOff>685800</xdr:colOff>
          <xdr:row>64</xdr:row>
          <xdr:rowOff>106680</xdr:rowOff>
        </xdr:to>
        <xdr:sp macro="" textlink="">
          <xdr:nvSpPr>
            <xdr:cNvPr id="419138" name="Drop Down 322" hidden="1">
              <a:extLst>
                <a:ext uri="{63B3BB69-23CF-44E3-9099-C40C66FF867C}">
                  <a14:compatExt spid="_x0000_s419138"/>
                </a:ext>
                <a:ext uri="{FF2B5EF4-FFF2-40B4-BE49-F238E27FC236}">
                  <a16:creationId xmlns:a16="http://schemas.microsoft.com/office/drawing/2014/main" id="{00000000-0008-0000-0300-0000426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21</xdr:col>
      <xdr:colOff>335280</xdr:colOff>
      <xdr:row>61</xdr:row>
      <xdr:rowOff>45720</xdr:rowOff>
    </xdr:from>
    <xdr:to>
      <xdr:col>21</xdr:col>
      <xdr:colOff>762000</xdr:colOff>
      <xdr:row>63</xdr:row>
      <xdr:rowOff>68580</xdr:rowOff>
    </xdr:to>
    <xdr:pic>
      <xdr:nvPicPr>
        <xdr:cNvPr id="423717" name="88 Imagen">
          <a:extLst>
            <a:ext uri="{FF2B5EF4-FFF2-40B4-BE49-F238E27FC236}">
              <a16:creationId xmlns:a16="http://schemas.microsoft.com/office/drawing/2014/main" id="{00000000-0008-0000-0300-000025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3080" y="11209020"/>
          <a:ext cx="32766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312420</xdr:colOff>
      <xdr:row>64</xdr:row>
      <xdr:rowOff>38100</xdr:rowOff>
    </xdr:from>
    <xdr:to>
      <xdr:col>21</xdr:col>
      <xdr:colOff>769620</xdr:colOff>
      <xdr:row>66</xdr:row>
      <xdr:rowOff>99060</xdr:rowOff>
    </xdr:to>
    <xdr:pic>
      <xdr:nvPicPr>
        <xdr:cNvPr id="423718" name="89 Imagen">
          <a:extLst>
            <a:ext uri="{FF2B5EF4-FFF2-40B4-BE49-F238E27FC236}">
              <a16:creationId xmlns:a16="http://schemas.microsoft.com/office/drawing/2014/main" id="{00000000-0008-0000-0300-000026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0220" y="11704320"/>
          <a:ext cx="35052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922020</xdr:colOff>
      <xdr:row>66</xdr:row>
      <xdr:rowOff>121920</xdr:rowOff>
    </xdr:from>
    <xdr:to>
      <xdr:col>22</xdr:col>
      <xdr:colOff>91440</xdr:colOff>
      <xdr:row>67</xdr:row>
      <xdr:rowOff>373380</xdr:rowOff>
    </xdr:to>
    <xdr:pic>
      <xdr:nvPicPr>
        <xdr:cNvPr id="423719" name="90 Imagen">
          <a:extLst>
            <a:ext uri="{FF2B5EF4-FFF2-40B4-BE49-F238E27FC236}">
              <a16:creationId xmlns:a16="http://schemas.microsoft.com/office/drawing/2014/main" id="{00000000-0008-0000-0300-000027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4360" y="12123420"/>
          <a:ext cx="160782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12</xdr:col>
          <xdr:colOff>723900</xdr:colOff>
          <xdr:row>35</xdr:row>
          <xdr:rowOff>0</xdr:rowOff>
        </xdr:to>
        <xdr:sp macro="" textlink="">
          <xdr:nvSpPr>
            <xdr:cNvPr id="423377" name="Drop Down 1489" hidden="1">
              <a:extLst>
                <a:ext uri="{63B3BB69-23CF-44E3-9099-C40C66FF867C}">
                  <a14:compatExt spid="_x0000_s423377"/>
                </a:ext>
                <a:ext uri="{FF2B5EF4-FFF2-40B4-BE49-F238E27FC236}">
                  <a16:creationId xmlns:a16="http://schemas.microsoft.com/office/drawing/2014/main" id="{00000000-0008-0000-0300-0000D1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12</xdr:col>
          <xdr:colOff>723900</xdr:colOff>
          <xdr:row>35</xdr:row>
          <xdr:rowOff>198120</xdr:rowOff>
        </xdr:to>
        <xdr:sp macro="" textlink="">
          <xdr:nvSpPr>
            <xdr:cNvPr id="423378" name="Drop Down 1490" hidden="1">
              <a:extLst>
                <a:ext uri="{63B3BB69-23CF-44E3-9099-C40C66FF867C}">
                  <a14:compatExt spid="_x0000_s423378"/>
                </a:ext>
                <a:ext uri="{FF2B5EF4-FFF2-40B4-BE49-F238E27FC236}">
                  <a16:creationId xmlns:a16="http://schemas.microsoft.com/office/drawing/2014/main" id="{00000000-0008-0000-0300-0000D2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12</xdr:col>
          <xdr:colOff>723900</xdr:colOff>
          <xdr:row>37</xdr:row>
          <xdr:rowOff>0</xdr:rowOff>
        </xdr:to>
        <xdr:sp macro="" textlink="">
          <xdr:nvSpPr>
            <xdr:cNvPr id="423379" name="Drop Down 1491" hidden="1">
              <a:extLst>
                <a:ext uri="{63B3BB69-23CF-44E3-9099-C40C66FF867C}">
                  <a14:compatExt spid="_x0000_s423379"/>
                </a:ext>
                <a:ext uri="{FF2B5EF4-FFF2-40B4-BE49-F238E27FC236}">
                  <a16:creationId xmlns:a16="http://schemas.microsoft.com/office/drawing/2014/main" id="{00000000-0008-0000-0300-0000D3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12</xdr:col>
          <xdr:colOff>723900</xdr:colOff>
          <xdr:row>38</xdr:row>
          <xdr:rowOff>0</xdr:rowOff>
        </xdr:to>
        <xdr:sp macro="" textlink="">
          <xdr:nvSpPr>
            <xdr:cNvPr id="423380" name="Drop Down 1492" hidden="1">
              <a:extLst>
                <a:ext uri="{63B3BB69-23CF-44E3-9099-C40C66FF867C}">
                  <a14:compatExt spid="_x0000_s423380"/>
                </a:ext>
                <a:ext uri="{FF2B5EF4-FFF2-40B4-BE49-F238E27FC236}">
                  <a16:creationId xmlns:a16="http://schemas.microsoft.com/office/drawing/2014/main" id="{00000000-0008-0000-0300-0000D4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12</xdr:col>
          <xdr:colOff>723900</xdr:colOff>
          <xdr:row>39</xdr:row>
          <xdr:rowOff>0</xdr:rowOff>
        </xdr:to>
        <xdr:sp macro="" textlink="">
          <xdr:nvSpPr>
            <xdr:cNvPr id="423381" name="Drop Down 1493" hidden="1">
              <a:extLst>
                <a:ext uri="{63B3BB69-23CF-44E3-9099-C40C66FF867C}">
                  <a14:compatExt spid="_x0000_s423381"/>
                </a:ext>
                <a:ext uri="{FF2B5EF4-FFF2-40B4-BE49-F238E27FC236}">
                  <a16:creationId xmlns:a16="http://schemas.microsoft.com/office/drawing/2014/main" id="{00000000-0008-0000-0300-0000D5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12</xdr:col>
          <xdr:colOff>723900</xdr:colOff>
          <xdr:row>40</xdr:row>
          <xdr:rowOff>0</xdr:rowOff>
        </xdr:to>
        <xdr:sp macro="" textlink="">
          <xdr:nvSpPr>
            <xdr:cNvPr id="423382" name="Drop Down 1494" hidden="1">
              <a:extLst>
                <a:ext uri="{63B3BB69-23CF-44E3-9099-C40C66FF867C}">
                  <a14:compatExt spid="_x0000_s423382"/>
                </a:ext>
                <a:ext uri="{FF2B5EF4-FFF2-40B4-BE49-F238E27FC236}">
                  <a16:creationId xmlns:a16="http://schemas.microsoft.com/office/drawing/2014/main" id="{00000000-0008-0000-0300-0000D6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12</xdr:col>
          <xdr:colOff>723900</xdr:colOff>
          <xdr:row>41</xdr:row>
          <xdr:rowOff>0</xdr:rowOff>
        </xdr:to>
        <xdr:sp macro="" textlink="">
          <xdr:nvSpPr>
            <xdr:cNvPr id="423383" name="Drop Down 1495" hidden="1">
              <a:extLst>
                <a:ext uri="{63B3BB69-23CF-44E3-9099-C40C66FF867C}">
                  <a14:compatExt spid="_x0000_s423383"/>
                </a:ext>
                <a:ext uri="{FF2B5EF4-FFF2-40B4-BE49-F238E27FC236}">
                  <a16:creationId xmlns:a16="http://schemas.microsoft.com/office/drawing/2014/main" id="{00000000-0008-0000-0300-0000D7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12</xdr:col>
          <xdr:colOff>723900</xdr:colOff>
          <xdr:row>42</xdr:row>
          <xdr:rowOff>0</xdr:rowOff>
        </xdr:to>
        <xdr:sp macro="" textlink="">
          <xdr:nvSpPr>
            <xdr:cNvPr id="423384" name="Drop Down 1496" hidden="1">
              <a:extLst>
                <a:ext uri="{63B3BB69-23CF-44E3-9099-C40C66FF867C}">
                  <a14:compatExt spid="_x0000_s423384"/>
                </a:ext>
                <a:ext uri="{FF2B5EF4-FFF2-40B4-BE49-F238E27FC236}">
                  <a16:creationId xmlns:a16="http://schemas.microsoft.com/office/drawing/2014/main" id="{00000000-0008-0000-0300-0000D8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8</xdr:col>
          <xdr:colOff>723900</xdr:colOff>
          <xdr:row>35</xdr:row>
          <xdr:rowOff>0</xdr:rowOff>
        </xdr:to>
        <xdr:sp macro="" textlink="">
          <xdr:nvSpPr>
            <xdr:cNvPr id="423497" name="Drop Down 1609" hidden="1">
              <a:extLst>
                <a:ext uri="{63B3BB69-23CF-44E3-9099-C40C66FF867C}">
                  <a14:compatExt spid="_x0000_s423497"/>
                </a:ext>
                <a:ext uri="{FF2B5EF4-FFF2-40B4-BE49-F238E27FC236}">
                  <a16:creationId xmlns:a16="http://schemas.microsoft.com/office/drawing/2014/main" id="{00000000-0008-0000-0300-00004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35</xdr:row>
          <xdr:rowOff>198120</xdr:rowOff>
        </xdr:to>
        <xdr:sp macro="" textlink="">
          <xdr:nvSpPr>
            <xdr:cNvPr id="423498" name="Drop Down 1610" hidden="1">
              <a:extLst>
                <a:ext uri="{63B3BB69-23CF-44E3-9099-C40C66FF867C}">
                  <a14:compatExt spid="_x0000_s423498"/>
                </a:ext>
                <a:ext uri="{FF2B5EF4-FFF2-40B4-BE49-F238E27FC236}">
                  <a16:creationId xmlns:a16="http://schemas.microsoft.com/office/drawing/2014/main" id="{00000000-0008-0000-0300-00004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23499" name="Drop Down 1611" hidden="1">
              <a:extLst>
                <a:ext uri="{63B3BB69-23CF-44E3-9099-C40C66FF867C}">
                  <a14:compatExt spid="_x0000_s423499"/>
                </a:ext>
                <a:ext uri="{FF2B5EF4-FFF2-40B4-BE49-F238E27FC236}">
                  <a16:creationId xmlns:a16="http://schemas.microsoft.com/office/drawing/2014/main" id="{00000000-0008-0000-0300-00004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23500" name="Drop Down 1612" hidden="1">
              <a:extLst>
                <a:ext uri="{63B3BB69-23CF-44E3-9099-C40C66FF867C}">
                  <a14:compatExt spid="_x0000_s423500"/>
                </a:ext>
                <a:ext uri="{FF2B5EF4-FFF2-40B4-BE49-F238E27FC236}">
                  <a16:creationId xmlns:a16="http://schemas.microsoft.com/office/drawing/2014/main" id="{00000000-0008-0000-0300-00004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23501" name="Drop Down 1613" hidden="1">
              <a:extLst>
                <a:ext uri="{63B3BB69-23CF-44E3-9099-C40C66FF867C}">
                  <a14:compatExt spid="_x0000_s423501"/>
                </a:ext>
                <a:ext uri="{FF2B5EF4-FFF2-40B4-BE49-F238E27FC236}">
                  <a16:creationId xmlns:a16="http://schemas.microsoft.com/office/drawing/2014/main" id="{00000000-0008-0000-0300-00004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23502" name="Drop Down 1614" hidden="1">
              <a:extLst>
                <a:ext uri="{63B3BB69-23CF-44E3-9099-C40C66FF867C}">
                  <a14:compatExt spid="_x0000_s423502"/>
                </a:ext>
                <a:ext uri="{FF2B5EF4-FFF2-40B4-BE49-F238E27FC236}">
                  <a16:creationId xmlns:a16="http://schemas.microsoft.com/office/drawing/2014/main" id="{00000000-0008-0000-0300-00004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23503" name="Drop Down 1615" hidden="1">
              <a:extLst>
                <a:ext uri="{63B3BB69-23CF-44E3-9099-C40C66FF867C}">
                  <a14:compatExt spid="_x0000_s423503"/>
                </a:ext>
                <a:ext uri="{FF2B5EF4-FFF2-40B4-BE49-F238E27FC236}">
                  <a16:creationId xmlns:a16="http://schemas.microsoft.com/office/drawing/2014/main" id="{00000000-0008-0000-0300-00004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23504" name="Drop Down 1616" hidden="1">
              <a:extLst>
                <a:ext uri="{63B3BB69-23CF-44E3-9099-C40C66FF867C}">
                  <a14:compatExt spid="_x0000_s423504"/>
                </a:ext>
                <a:ext uri="{FF2B5EF4-FFF2-40B4-BE49-F238E27FC236}">
                  <a16:creationId xmlns:a16="http://schemas.microsoft.com/office/drawing/2014/main" id="{00000000-0008-0000-0300-00005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723900</xdr:colOff>
          <xdr:row>35</xdr:row>
          <xdr:rowOff>0</xdr:rowOff>
        </xdr:to>
        <xdr:sp macro="" textlink="">
          <xdr:nvSpPr>
            <xdr:cNvPr id="423505" name="Drop Down 1617" hidden="1">
              <a:extLst>
                <a:ext uri="{63B3BB69-23CF-44E3-9099-C40C66FF867C}">
                  <a14:compatExt spid="_x0000_s423505"/>
                </a:ext>
                <a:ext uri="{FF2B5EF4-FFF2-40B4-BE49-F238E27FC236}">
                  <a16:creationId xmlns:a16="http://schemas.microsoft.com/office/drawing/2014/main" id="{00000000-0008-0000-0300-00005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35</xdr:row>
          <xdr:rowOff>198120</xdr:rowOff>
        </xdr:to>
        <xdr:sp macro="" textlink="">
          <xdr:nvSpPr>
            <xdr:cNvPr id="423506" name="Drop Down 1618" hidden="1">
              <a:extLst>
                <a:ext uri="{63B3BB69-23CF-44E3-9099-C40C66FF867C}">
                  <a14:compatExt spid="_x0000_s423506"/>
                </a:ext>
                <a:ext uri="{FF2B5EF4-FFF2-40B4-BE49-F238E27FC236}">
                  <a16:creationId xmlns:a16="http://schemas.microsoft.com/office/drawing/2014/main" id="{00000000-0008-0000-0300-00005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23507" name="Drop Down 1619" hidden="1">
              <a:extLst>
                <a:ext uri="{63B3BB69-23CF-44E3-9099-C40C66FF867C}">
                  <a14:compatExt spid="_x0000_s423507"/>
                </a:ext>
                <a:ext uri="{FF2B5EF4-FFF2-40B4-BE49-F238E27FC236}">
                  <a16:creationId xmlns:a16="http://schemas.microsoft.com/office/drawing/2014/main" id="{00000000-0008-0000-0300-00005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23508" name="Drop Down 1620" hidden="1">
              <a:extLst>
                <a:ext uri="{63B3BB69-23CF-44E3-9099-C40C66FF867C}">
                  <a14:compatExt spid="_x0000_s423508"/>
                </a:ext>
                <a:ext uri="{FF2B5EF4-FFF2-40B4-BE49-F238E27FC236}">
                  <a16:creationId xmlns:a16="http://schemas.microsoft.com/office/drawing/2014/main" id="{00000000-0008-0000-0300-00005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23509" name="Drop Down 1621" hidden="1">
              <a:extLst>
                <a:ext uri="{63B3BB69-23CF-44E3-9099-C40C66FF867C}">
                  <a14:compatExt spid="_x0000_s423509"/>
                </a:ext>
                <a:ext uri="{FF2B5EF4-FFF2-40B4-BE49-F238E27FC236}">
                  <a16:creationId xmlns:a16="http://schemas.microsoft.com/office/drawing/2014/main" id="{00000000-0008-0000-0300-00005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23510" name="Drop Down 1622" hidden="1">
              <a:extLst>
                <a:ext uri="{63B3BB69-23CF-44E3-9099-C40C66FF867C}">
                  <a14:compatExt spid="_x0000_s423510"/>
                </a:ext>
                <a:ext uri="{FF2B5EF4-FFF2-40B4-BE49-F238E27FC236}">
                  <a16:creationId xmlns:a16="http://schemas.microsoft.com/office/drawing/2014/main" id="{00000000-0008-0000-0300-00005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23511" name="Drop Down 1623" hidden="1">
              <a:extLst>
                <a:ext uri="{63B3BB69-23CF-44E3-9099-C40C66FF867C}">
                  <a14:compatExt spid="_x0000_s423511"/>
                </a:ext>
                <a:ext uri="{FF2B5EF4-FFF2-40B4-BE49-F238E27FC236}">
                  <a16:creationId xmlns:a16="http://schemas.microsoft.com/office/drawing/2014/main" id="{00000000-0008-0000-0300-00005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23512" name="Drop Down 1624" hidden="1">
              <a:extLst>
                <a:ext uri="{63B3BB69-23CF-44E3-9099-C40C66FF867C}">
                  <a14:compatExt spid="_x0000_s423512"/>
                </a:ext>
                <a:ext uri="{FF2B5EF4-FFF2-40B4-BE49-F238E27FC236}">
                  <a16:creationId xmlns:a16="http://schemas.microsoft.com/office/drawing/2014/main" id="{00000000-0008-0000-0300-00005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10</xdr:col>
          <xdr:colOff>723900</xdr:colOff>
          <xdr:row>35</xdr:row>
          <xdr:rowOff>0</xdr:rowOff>
        </xdr:to>
        <xdr:sp macro="" textlink="">
          <xdr:nvSpPr>
            <xdr:cNvPr id="423513" name="Drop Down 1625" hidden="1">
              <a:extLst>
                <a:ext uri="{63B3BB69-23CF-44E3-9099-C40C66FF867C}">
                  <a14:compatExt spid="_x0000_s423513"/>
                </a:ext>
                <a:ext uri="{FF2B5EF4-FFF2-40B4-BE49-F238E27FC236}">
                  <a16:creationId xmlns:a16="http://schemas.microsoft.com/office/drawing/2014/main" id="{00000000-0008-0000-0300-00005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35</xdr:row>
          <xdr:rowOff>198120</xdr:rowOff>
        </xdr:to>
        <xdr:sp macro="" textlink="">
          <xdr:nvSpPr>
            <xdr:cNvPr id="423514" name="Drop Down 1626" hidden="1">
              <a:extLst>
                <a:ext uri="{63B3BB69-23CF-44E3-9099-C40C66FF867C}">
                  <a14:compatExt spid="_x0000_s423514"/>
                </a:ext>
                <a:ext uri="{FF2B5EF4-FFF2-40B4-BE49-F238E27FC236}">
                  <a16:creationId xmlns:a16="http://schemas.microsoft.com/office/drawing/2014/main" id="{00000000-0008-0000-0300-00005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23515" name="Drop Down 1627" hidden="1">
              <a:extLst>
                <a:ext uri="{63B3BB69-23CF-44E3-9099-C40C66FF867C}">
                  <a14:compatExt spid="_x0000_s423515"/>
                </a:ext>
                <a:ext uri="{FF2B5EF4-FFF2-40B4-BE49-F238E27FC236}">
                  <a16:creationId xmlns:a16="http://schemas.microsoft.com/office/drawing/2014/main" id="{00000000-0008-0000-0300-00005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23516" name="Drop Down 1628" hidden="1">
              <a:extLst>
                <a:ext uri="{63B3BB69-23CF-44E3-9099-C40C66FF867C}">
                  <a14:compatExt spid="_x0000_s423516"/>
                </a:ext>
                <a:ext uri="{FF2B5EF4-FFF2-40B4-BE49-F238E27FC236}">
                  <a16:creationId xmlns:a16="http://schemas.microsoft.com/office/drawing/2014/main" id="{00000000-0008-0000-0300-00005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23517" name="Drop Down 1629" hidden="1">
              <a:extLst>
                <a:ext uri="{63B3BB69-23CF-44E3-9099-C40C66FF867C}">
                  <a14:compatExt spid="_x0000_s423517"/>
                </a:ext>
                <a:ext uri="{FF2B5EF4-FFF2-40B4-BE49-F238E27FC236}">
                  <a16:creationId xmlns:a16="http://schemas.microsoft.com/office/drawing/2014/main" id="{00000000-0008-0000-0300-00005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23518" name="Drop Down 1630" hidden="1">
              <a:extLst>
                <a:ext uri="{63B3BB69-23CF-44E3-9099-C40C66FF867C}">
                  <a14:compatExt spid="_x0000_s423518"/>
                </a:ext>
                <a:ext uri="{FF2B5EF4-FFF2-40B4-BE49-F238E27FC236}">
                  <a16:creationId xmlns:a16="http://schemas.microsoft.com/office/drawing/2014/main" id="{00000000-0008-0000-0300-00005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23519" name="Drop Down 1631" hidden="1">
              <a:extLst>
                <a:ext uri="{63B3BB69-23CF-44E3-9099-C40C66FF867C}">
                  <a14:compatExt spid="_x0000_s423519"/>
                </a:ext>
                <a:ext uri="{FF2B5EF4-FFF2-40B4-BE49-F238E27FC236}">
                  <a16:creationId xmlns:a16="http://schemas.microsoft.com/office/drawing/2014/main" id="{00000000-0008-0000-0300-00005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23520" name="Drop Down 1632" hidden="1">
              <a:extLst>
                <a:ext uri="{63B3BB69-23CF-44E3-9099-C40C66FF867C}">
                  <a14:compatExt spid="_x0000_s423520"/>
                </a:ext>
                <a:ext uri="{FF2B5EF4-FFF2-40B4-BE49-F238E27FC236}">
                  <a16:creationId xmlns:a16="http://schemas.microsoft.com/office/drawing/2014/main" id="{00000000-0008-0000-0300-00006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11</xdr:col>
          <xdr:colOff>723900</xdr:colOff>
          <xdr:row>35</xdr:row>
          <xdr:rowOff>0</xdr:rowOff>
        </xdr:to>
        <xdr:sp macro="" textlink="">
          <xdr:nvSpPr>
            <xdr:cNvPr id="423521" name="Drop Down 1633" hidden="1">
              <a:extLst>
                <a:ext uri="{63B3BB69-23CF-44E3-9099-C40C66FF867C}">
                  <a14:compatExt spid="_x0000_s423521"/>
                </a:ext>
                <a:ext uri="{FF2B5EF4-FFF2-40B4-BE49-F238E27FC236}">
                  <a16:creationId xmlns:a16="http://schemas.microsoft.com/office/drawing/2014/main" id="{00000000-0008-0000-0300-00006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35</xdr:row>
          <xdr:rowOff>198120</xdr:rowOff>
        </xdr:to>
        <xdr:sp macro="" textlink="">
          <xdr:nvSpPr>
            <xdr:cNvPr id="423522" name="Drop Down 1634" hidden="1">
              <a:extLst>
                <a:ext uri="{63B3BB69-23CF-44E3-9099-C40C66FF867C}">
                  <a14:compatExt spid="_x0000_s423522"/>
                </a:ext>
                <a:ext uri="{FF2B5EF4-FFF2-40B4-BE49-F238E27FC236}">
                  <a16:creationId xmlns:a16="http://schemas.microsoft.com/office/drawing/2014/main" id="{00000000-0008-0000-0300-00006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23523" name="Drop Down 1635" hidden="1">
              <a:extLst>
                <a:ext uri="{63B3BB69-23CF-44E3-9099-C40C66FF867C}">
                  <a14:compatExt spid="_x0000_s423523"/>
                </a:ext>
                <a:ext uri="{FF2B5EF4-FFF2-40B4-BE49-F238E27FC236}">
                  <a16:creationId xmlns:a16="http://schemas.microsoft.com/office/drawing/2014/main" id="{00000000-0008-0000-0300-00006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23524" name="Drop Down 1636" hidden="1">
              <a:extLst>
                <a:ext uri="{63B3BB69-23CF-44E3-9099-C40C66FF867C}">
                  <a14:compatExt spid="_x0000_s423524"/>
                </a:ext>
                <a:ext uri="{FF2B5EF4-FFF2-40B4-BE49-F238E27FC236}">
                  <a16:creationId xmlns:a16="http://schemas.microsoft.com/office/drawing/2014/main" id="{00000000-0008-0000-0300-00006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23525" name="Drop Down 1637" hidden="1">
              <a:extLst>
                <a:ext uri="{63B3BB69-23CF-44E3-9099-C40C66FF867C}">
                  <a14:compatExt spid="_x0000_s423525"/>
                </a:ext>
                <a:ext uri="{FF2B5EF4-FFF2-40B4-BE49-F238E27FC236}">
                  <a16:creationId xmlns:a16="http://schemas.microsoft.com/office/drawing/2014/main" id="{00000000-0008-0000-0300-00006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23526" name="Drop Down 1638" hidden="1">
              <a:extLst>
                <a:ext uri="{63B3BB69-23CF-44E3-9099-C40C66FF867C}">
                  <a14:compatExt spid="_x0000_s423526"/>
                </a:ext>
                <a:ext uri="{FF2B5EF4-FFF2-40B4-BE49-F238E27FC236}">
                  <a16:creationId xmlns:a16="http://schemas.microsoft.com/office/drawing/2014/main" id="{00000000-0008-0000-0300-00006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23527" name="Drop Down 1639" hidden="1">
              <a:extLst>
                <a:ext uri="{63B3BB69-23CF-44E3-9099-C40C66FF867C}">
                  <a14:compatExt spid="_x0000_s423527"/>
                </a:ext>
                <a:ext uri="{FF2B5EF4-FFF2-40B4-BE49-F238E27FC236}">
                  <a16:creationId xmlns:a16="http://schemas.microsoft.com/office/drawing/2014/main" id="{00000000-0008-0000-0300-00006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23528" name="Drop Down 1640" hidden="1">
              <a:extLst>
                <a:ext uri="{63B3BB69-23CF-44E3-9099-C40C66FF867C}">
                  <a14:compatExt spid="_x0000_s423528"/>
                </a:ext>
                <a:ext uri="{FF2B5EF4-FFF2-40B4-BE49-F238E27FC236}">
                  <a16:creationId xmlns:a16="http://schemas.microsoft.com/office/drawing/2014/main" id="{00000000-0008-0000-0300-00006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36</xdr:row>
          <xdr:rowOff>0</xdr:rowOff>
        </xdr:to>
        <xdr:sp macro="" textlink="">
          <xdr:nvSpPr>
            <xdr:cNvPr id="423537" name="Drop Down 1649" hidden="1">
              <a:extLst>
                <a:ext uri="{63B3BB69-23CF-44E3-9099-C40C66FF867C}">
                  <a14:compatExt spid="_x0000_s423537"/>
                </a:ext>
                <a:ext uri="{FF2B5EF4-FFF2-40B4-BE49-F238E27FC236}">
                  <a16:creationId xmlns:a16="http://schemas.microsoft.com/office/drawing/2014/main" id="{00000000-0008-0000-0300-00007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36</xdr:row>
          <xdr:rowOff>0</xdr:rowOff>
        </xdr:to>
        <xdr:sp macro="" textlink="">
          <xdr:nvSpPr>
            <xdr:cNvPr id="423538" name="Drop Down 1650" hidden="1">
              <a:extLst>
                <a:ext uri="{63B3BB69-23CF-44E3-9099-C40C66FF867C}">
                  <a14:compatExt spid="_x0000_s423538"/>
                </a:ext>
                <a:ext uri="{FF2B5EF4-FFF2-40B4-BE49-F238E27FC236}">
                  <a16:creationId xmlns:a16="http://schemas.microsoft.com/office/drawing/2014/main" id="{00000000-0008-0000-0300-00007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23539" name="Drop Down 1651" hidden="1">
              <a:extLst>
                <a:ext uri="{63B3BB69-23CF-44E3-9099-C40C66FF867C}">
                  <a14:compatExt spid="_x0000_s423539"/>
                </a:ext>
                <a:ext uri="{FF2B5EF4-FFF2-40B4-BE49-F238E27FC236}">
                  <a16:creationId xmlns:a16="http://schemas.microsoft.com/office/drawing/2014/main" id="{00000000-0008-0000-0300-00007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23540" name="Drop Down 1652" hidden="1">
              <a:extLst>
                <a:ext uri="{63B3BB69-23CF-44E3-9099-C40C66FF867C}">
                  <a14:compatExt spid="_x0000_s423540"/>
                </a:ext>
                <a:ext uri="{FF2B5EF4-FFF2-40B4-BE49-F238E27FC236}">
                  <a16:creationId xmlns:a16="http://schemas.microsoft.com/office/drawing/2014/main" id="{00000000-0008-0000-0300-00007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23541" name="Drop Down 1653" hidden="1">
              <a:extLst>
                <a:ext uri="{63B3BB69-23CF-44E3-9099-C40C66FF867C}">
                  <a14:compatExt spid="_x0000_s423541"/>
                </a:ext>
                <a:ext uri="{FF2B5EF4-FFF2-40B4-BE49-F238E27FC236}">
                  <a16:creationId xmlns:a16="http://schemas.microsoft.com/office/drawing/2014/main" id="{00000000-0008-0000-0300-00007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23542" name="Drop Down 1654" hidden="1">
              <a:extLst>
                <a:ext uri="{63B3BB69-23CF-44E3-9099-C40C66FF867C}">
                  <a14:compatExt spid="_x0000_s423542"/>
                </a:ext>
                <a:ext uri="{FF2B5EF4-FFF2-40B4-BE49-F238E27FC236}">
                  <a16:creationId xmlns:a16="http://schemas.microsoft.com/office/drawing/2014/main" id="{00000000-0008-0000-0300-00007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23543" name="Drop Down 1655" hidden="1">
              <a:extLst>
                <a:ext uri="{63B3BB69-23CF-44E3-9099-C40C66FF867C}">
                  <a14:compatExt spid="_x0000_s423543"/>
                </a:ext>
                <a:ext uri="{FF2B5EF4-FFF2-40B4-BE49-F238E27FC236}">
                  <a16:creationId xmlns:a16="http://schemas.microsoft.com/office/drawing/2014/main" id="{00000000-0008-0000-0300-00007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23544" name="Drop Down 1656" hidden="1">
              <a:extLst>
                <a:ext uri="{63B3BB69-23CF-44E3-9099-C40C66FF867C}">
                  <a14:compatExt spid="_x0000_s423544"/>
                </a:ext>
                <a:ext uri="{FF2B5EF4-FFF2-40B4-BE49-F238E27FC236}">
                  <a16:creationId xmlns:a16="http://schemas.microsoft.com/office/drawing/2014/main" id="{00000000-0008-0000-0300-00007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23545" name="Drop Down 1657" hidden="1">
              <a:extLst>
                <a:ext uri="{63B3BB69-23CF-44E3-9099-C40C66FF867C}">
                  <a14:compatExt spid="_x0000_s423545"/>
                </a:ext>
                <a:ext uri="{FF2B5EF4-FFF2-40B4-BE49-F238E27FC236}">
                  <a16:creationId xmlns:a16="http://schemas.microsoft.com/office/drawing/2014/main" id="{00000000-0008-0000-0300-00007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23546" name="Drop Down 1658" hidden="1">
              <a:extLst>
                <a:ext uri="{63B3BB69-23CF-44E3-9099-C40C66FF867C}">
                  <a14:compatExt spid="_x0000_s423546"/>
                </a:ext>
                <a:ext uri="{FF2B5EF4-FFF2-40B4-BE49-F238E27FC236}">
                  <a16:creationId xmlns:a16="http://schemas.microsoft.com/office/drawing/2014/main" id="{00000000-0008-0000-0300-00007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23547" name="Drop Down 1659" hidden="1">
              <a:extLst>
                <a:ext uri="{63B3BB69-23CF-44E3-9099-C40C66FF867C}">
                  <a14:compatExt spid="_x0000_s423547"/>
                </a:ext>
                <a:ext uri="{FF2B5EF4-FFF2-40B4-BE49-F238E27FC236}">
                  <a16:creationId xmlns:a16="http://schemas.microsoft.com/office/drawing/2014/main" id="{00000000-0008-0000-0300-00007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23548" name="Drop Down 1660" hidden="1">
              <a:extLst>
                <a:ext uri="{63B3BB69-23CF-44E3-9099-C40C66FF867C}">
                  <a14:compatExt spid="_x0000_s423548"/>
                </a:ext>
                <a:ext uri="{FF2B5EF4-FFF2-40B4-BE49-F238E27FC236}">
                  <a16:creationId xmlns:a16="http://schemas.microsoft.com/office/drawing/2014/main" id="{00000000-0008-0000-0300-00007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23549" name="Drop Down 1661" hidden="1">
              <a:extLst>
                <a:ext uri="{63B3BB69-23CF-44E3-9099-C40C66FF867C}">
                  <a14:compatExt spid="_x0000_s423549"/>
                </a:ext>
                <a:ext uri="{FF2B5EF4-FFF2-40B4-BE49-F238E27FC236}">
                  <a16:creationId xmlns:a16="http://schemas.microsoft.com/office/drawing/2014/main" id="{00000000-0008-0000-0300-00007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23550" name="Drop Down 1662" hidden="1">
              <a:extLst>
                <a:ext uri="{63B3BB69-23CF-44E3-9099-C40C66FF867C}">
                  <a14:compatExt spid="_x0000_s423550"/>
                </a:ext>
                <a:ext uri="{FF2B5EF4-FFF2-40B4-BE49-F238E27FC236}">
                  <a16:creationId xmlns:a16="http://schemas.microsoft.com/office/drawing/2014/main" id="{00000000-0008-0000-0300-00007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36</xdr:row>
          <xdr:rowOff>0</xdr:rowOff>
        </xdr:to>
        <xdr:sp macro="" textlink="">
          <xdr:nvSpPr>
            <xdr:cNvPr id="423567" name="Drop Down 1679" hidden="1">
              <a:extLst>
                <a:ext uri="{63B3BB69-23CF-44E3-9099-C40C66FF867C}">
                  <a14:compatExt spid="_x0000_s423567"/>
                </a:ext>
                <a:ext uri="{FF2B5EF4-FFF2-40B4-BE49-F238E27FC236}">
                  <a16:creationId xmlns:a16="http://schemas.microsoft.com/office/drawing/2014/main" id="{00000000-0008-0000-0300-00008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36</xdr:row>
          <xdr:rowOff>0</xdr:rowOff>
        </xdr:to>
        <xdr:sp macro="" textlink="">
          <xdr:nvSpPr>
            <xdr:cNvPr id="423568" name="Drop Down 1680" hidden="1">
              <a:extLst>
                <a:ext uri="{63B3BB69-23CF-44E3-9099-C40C66FF867C}">
                  <a14:compatExt spid="_x0000_s423568"/>
                </a:ext>
                <a:ext uri="{FF2B5EF4-FFF2-40B4-BE49-F238E27FC236}">
                  <a16:creationId xmlns:a16="http://schemas.microsoft.com/office/drawing/2014/main" id="{00000000-0008-0000-0300-00009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23569" name="Drop Down 1681" hidden="1">
              <a:extLst>
                <a:ext uri="{63B3BB69-23CF-44E3-9099-C40C66FF867C}">
                  <a14:compatExt spid="_x0000_s423569"/>
                </a:ext>
                <a:ext uri="{FF2B5EF4-FFF2-40B4-BE49-F238E27FC236}">
                  <a16:creationId xmlns:a16="http://schemas.microsoft.com/office/drawing/2014/main" id="{00000000-0008-0000-0300-00009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23570" name="Drop Down 1682" hidden="1">
              <a:extLst>
                <a:ext uri="{63B3BB69-23CF-44E3-9099-C40C66FF867C}">
                  <a14:compatExt spid="_x0000_s423570"/>
                </a:ext>
                <a:ext uri="{FF2B5EF4-FFF2-40B4-BE49-F238E27FC236}">
                  <a16:creationId xmlns:a16="http://schemas.microsoft.com/office/drawing/2014/main" id="{00000000-0008-0000-0300-00009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23571" name="Drop Down 1683" hidden="1">
              <a:extLst>
                <a:ext uri="{63B3BB69-23CF-44E3-9099-C40C66FF867C}">
                  <a14:compatExt spid="_x0000_s423571"/>
                </a:ext>
                <a:ext uri="{FF2B5EF4-FFF2-40B4-BE49-F238E27FC236}">
                  <a16:creationId xmlns:a16="http://schemas.microsoft.com/office/drawing/2014/main" id="{00000000-0008-0000-0300-00009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23572" name="Drop Down 1684" hidden="1">
              <a:extLst>
                <a:ext uri="{63B3BB69-23CF-44E3-9099-C40C66FF867C}">
                  <a14:compatExt spid="_x0000_s423572"/>
                </a:ext>
                <a:ext uri="{FF2B5EF4-FFF2-40B4-BE49-F238E27FC236}">
                  <a16:creationId xmlns:a16="http://schemas.microsoft.com/office/drawing/2014/main" id="{00000000-0008-0000-0300-00009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23573" name="Drop Down 1685" hidden="1">
              <a:extLst>
                <a:ext uri="{63B3BB69-23CF-44E3-9099-C40C66FF867C}">
                  <a14:compatExt spid="_x0000_s423573"/>
                </a:ext>
                <a:ext uri="{FF2B5EF4-FFF2-40B4-BE49-F238E27FC236}">
                  <a16:creationId xmlns:a16="http://schemas.microsoft.com/office/drawing/2014/main" id="{00000000-0008-0000-0300-00009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23574" name="Drop Down 1686" hidden="1">
              <a:extLst>
                <a:ext uri="{63B3BB69-23CF-44E3-9099-C40C66FF867C}">
                  <a14:compatExt spid="_x0000_s423574"/>
                </a:ext>
                <a:ext uri="{FF2B5EF4-FFF2-40B4-BE49-F238E27FC236}">
                  <a16:creationId xmlns:a16="http://schemas.microsoft.com/office/drawing/2014/main" id="{00000000-0008-0000-0300-00009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23575" name="Drop Down 1687" hidden="1">
              <a:extLst>
                <a:ext uri="{63B3BB69-23CF-44E3-9099-C40C66FF867C}">
                  <a14:compatExt spid="_x0000_s423575"/>
                </a:ext>
                <a:ext uri="{FF2B5EF4-FFF2-40B4-BE49-F238E27FC236}">
                  <a16:creationId xmlns:a16="http://schemas.microsoft.com/office/drawing/2014/main" id="{00000000-0008-0000-0300-00009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23576" name="Drop Down 1688" hidden="1">
              <a:extLst>
                <a:ext uri="{63B3BB69-23CF-44E3-9099-C40C66FF867C}">
                  <a14:compatExt spid="_x0000_s423576"/>
                </a:ext>
                <a:ext uri="{FF2B5EF4-FFF2-40B4-BE49-F238E27FC236}">
                  <a16:creationId xmlns:a16="http://schemas.microsoft.com/office/drawing/2014/main" id="{00000000-0008-0000-0300-00009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23577" name="Drop Down 1689" hidden="1">
              <a:extLst>
                <a:ext uri="{63B3BB69-23CF-44E3-9099-C40C66FF867C}">
                  <a14:compatExt spid="_x0000_s423577"/>
                </a:ext>
                <a:ext uri="{FF2B5EF4-FFF2-40B4-BE49-F238E27FC236}">
                  <a16:creationId xmlns:a16="http://schemas.microsoft.com/office/drawing/2014/main" id="{00000000-0008-0000-0300-00009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23578" name="Drop Down 1690" hidden="1">
              <a:extLst>
                <a:ext uri="{63B3BB69-23CF-44E3-9099-C40C66FF867C}">
                  <a14:compatExt spid="_x0000_s423578"/>
                </a:ext>
                <a:ext uri="{FF2B5EF4-FFF2-40B4-BE49-F238E27FC236}">
                  <a16:creationId xmlns:a16="http://schemas.microsoft.com/office/drawing/2014/main" id="{00000000-0008-0000-0300-00009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23579" name="Drop Down 1691" hidden="1">
              <a:extLst>
                <a:ext uri="{63B3BB69-23CF-44E3-9099-C40C66FF867C}">
                  <a14:compatExt spid="_x0000_s423579"/>
                </a:ext>
                <a:ext uri="{FF2B5EF4-FFF2-40B4-BE49-F238E27FC236}">
                  <a16:creationId xmlns:a16="http://schemas.microsoft.com/office/drawing/2014/main" id="{00000000-0008-0000-0300-00009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23580" name="Drop Down 1692" hidden="1">
              <a:extLst>
                <a:ext uri="{63B3BB69-23CF-44E3-9099-C40C66FF867C}">
                  <a14:compatExt spid="_x0000_s423580"/>
                </a:ext>
                <a:ext uri="{FF2B5EF4-FFF2-40B4-BE49-F238E27FC236}">
                  <a16:creationId xmlns:a16="http://schemas.microsoft.com/office/drawing/2014/main" id="{00000000-0008-0000-0300-00009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36</xdr:row>
          <xdr:rowOff>0</xdr:rowOff>
        </xdr:to>
        <xdr:sp macro="" textlink="">
          <xdr:nvSpPr>
            <xdr:cNvPr id="423581" name="Drop Down 1693" hidden="1">
              <a:extLst>
                <a:ext uri="{63B3BB69-23CF-44E3-9099-C40C66FF867C}">
                  <a14:compatExt spid="_x0000_s423581"/>
                </a:ext>
                <a:ext uri="{FF2B5EF4-FFF2-40B4-BE49-F238E27FC236}">
                  <a16:creationId xmlns:a16="http://schemas.microsoft.com/office/drawing/2014/main" id="{00000000-0008-0000-0300-00009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36</xdr:row>
          <xdr:rowOff>0</xdr:rowOff>
        </xdr:to>
        <xdr:sp macro="" textlink="">
          <xdr:nvSpPr>
            <xdr:cNvPr id="423582" name="Drop Down 1694" hidden="1">
              <a:extLst>
                <a:ext uri="{63B3BB69-23CF-44E3-9099-C40C66FF867C}">
                  <a14:compatExt spid="_x0000_s423582"/>
                </a:ext>
                <a:ext uri="{FF2B5EF4-FFF2-40B4-BE49-F238E27FC236}">
                  <a16:creationId xmlns:a16="http://schemas.microsoft.com/office/drawing/2014/main" id="{00000000-0008-0000-0300-00009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23583" name="Drop Down 1695" hidden="1">
              <a:extLst>
                <a:ext uri="{63B3BB69-23CF-44E3-9099-C40C66FF867C}">
                  <a14:compatExt spid="_x0000_s423583"/>
                </a:ext>
                <a:ext uri="{FF2B5EF4-FFF2-40B4-BE49-F238E27FC236}">
                  <a16:creationId xmlns:a16="http://schemas.microsoft.com/office/drawing/2014/main" id="{00000000-0008-0000-0300-00009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23584" name="Drop Down 1696" hidden="1">
              <a:extLst>
                <a:ext uri="{63B3BB69-23CF-44E3-9099-C40C66FF867C}">
                  <a14:compatExt spid="_x0000_s423584"/>
                </a:ext>
                <a:ext uri="{FF2B5EF4-FFF2-40B4-BE49-F238E27FC236}">
                  <a16:creationId xmlns:a16="http://schemas.microsoft.com/office/drawing/2014/main" id="{00000000-0008-0000-0300-0000A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23585" name="Drop Down 1697" hidden="1">
              <a:extLst>
                <a:ext uri="{63B3BB69-23CF-44E3-9099-C40C66FF867C}">
                  <a14:compatExt spid="_x0000_s423585"/>
                </a:ext>
                <a:ext uri="{FF2B5EF4-FFF2-40B4-BE49-F238E27FC236}">
                  <a16:creationId xmlns:a16="http://schemas.microsoft.com/office/drawing/2014/main" id="{00000000-0008-0000-0300-0000A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23586" name="Drop Down 1698" hidden="1">
              <a:extLst>
                <a:ext uri="{63B3BB69-23CF-44E3-9099-C40C66FF867C}">
                  <a14:compatExt spid="_x0000_s423586"/>
                </a:ext>
                <a:ext uri="{FF2B5EF4-FFF2-40B4-BE49-F238E27FC236}">
                  <a16:creationId xmlns:a16="http://schemas.microsoft.com/office/drawing/2014/main" id="{00000000-0008-0000-0300-0000A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23587" name="Drop Down 1699" hidden="1">
              <a:extLst>
                <a:ext uri="{63B3BB69-23CF-44E3-9099-C40C66FF867C}">
                  <a14:compatExt spid="_x0000_s423587"/>
                </a:ext>
                <a:ext uri="{FF2B5EF4-FFF2-40B4-BE49-F238E27FC236}">
                  <a16:creationId xmlns:a16="http://schemas.microsoft.com/office/drawing/2014/main" id="{00000000-0008-0000-0300-0000A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23588" name="Drop Down 1700" hidden="1">
              <a:extLst>
                <a:ext uri="{63B3BB69-23CF-44E3-9099-C40C66FF867C}">
                  <a14:compatExt spid="_x0000_s423588"/>
                </a:ext>
                <a:ext uri="{FF2B5EF4-FFF2-40B4-BE49-F238E27FC236}">
                  <a16:creationId xmlns:a16="http://schemas.microsoft.com/office/drawing/2014/main" id="{00000000-0008-0000-0300-0000A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23589" name="Drop Down 1701" hidden="1">
              <a:extLst>
                <a:ext uri="{63B3BB69-23CF-44E3-9099-C40C66FF867C}">
                  <a14:compatExt spid="_x0000_s423589"/>
                </a:ext>
                <a:ext uri="{FF2B5EF4-FFF2-40B4-BE49-F238E27FC236}">
                  <a16:creationId xmlns:a16="http://schemas.microsoft.com/office/drawing/2014/main" id="{00000000-0008-0000-0300-0000A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23590" name="Drop Down 1702" hidden="1">
              <a:extLst>
                <a:ext uri="{63B3BB69-23CF-44E3-9099-C40C66FF867C}">
                  <a14:compatExt spid="_x0000_s423590"/>
                </a:ext>
                <a:ext uri="{FF2B5EF4-FFF2-40B4-BE49-F238E27FC236}">
                  <a16:creationId xmlns:a16="http://schemas.microsoft.com/office/drawing/2014/main" id="{00000000-0008-0000-0300-0000A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23591" name="Drop Down 1703" hidden="1">
              <a:extLst>
                <a:ext uri="{63B3BB69-23CF-44E3-9099-C40C66FF867C}">
                  <a14:compatExt spid="_x0000_s423591"/>
                </a:ext>
                <a:ext uri="{FF2B5EF4-FFF2-40B4-BE49-F238E27FC236}">
                  <a16:creationId xmlns:a16="http://schemas.microsoft.com/office/drawing/2014/main" id="{00000000-0008-0000-0300-0000A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23592" name="Drop Down 1704" hidden="1">
              <a:extLst>
                <a:ext uri="{63B3BB69-23CF-44E3-9099-C40C66FF867C}">
                  <a14:compatExt spid="_x0000_s423592"/>
                </a:ext>
                <a:ext uri="{FF2B5EF4-FFF2-40B4-BE49-F238E27FC236}">
                  <a16:creationId xmlns:a16="http://schemas.microsoft.com/office/drawing/2014/main" id="{00000000-0008-0000-0300-0000A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23593" name="Drop Down 1705" hidden="1">
              <a:extLst>
                <a:ext uri="{63B3BB69-23CF-44E3-9099-C40C66FF867C}">
                  <a14:compatExt spid="_x0000_s423593"/>
                </a:ext>
                <a:ext uri="{FF2B5EF4-FFF2-40B4-BE49-F238E27FC236}">
                  <a16:creationId xmlns:a16="http://schemas.microsoft.com/office/drawing/2014/main" id="{00000000-0008-0000-0300-0000A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23594" name="Drop Down 1706" hidden="1">
              <a:extLst>
                <a:ext uri="{63B3BB69-23CF-44E3-9099-C40C66FF867C}">
                  <a14:compatExt spid="_x0000_s423594"/>
                </a:ext>
                <a:ext uri="{FF2B5EF4-FFF2-40B4-BE49-F238E27FC236}">
                  <a16:creationId xmlns:a16="http://schemas.microsoft.com/office/drawing/2014/main" id="{00000000-0008-0000-0300-0000A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36</xdr:row>
          <xdr:rowOff>0</xdr:rowOff>
        </xdr:to>
        <xdr:sp macro="" textlink="">
          <xdr:nvSpPr>
            <xdr:cNvPr id="423595" name="Drop Down 1707" hidden="1">
              <a:extLst>
                <a:ext uri="{63B3BB69-23CF-44E3-9099-C40C66FF867C}">
                  <a14:compatExt spid="_x0000_s423595"/>
                </a:ext>
                <a:ext uri="{FF2B5EF4-FFF2-40B4-BE49-F238E27FC236}">
                  <a16:creationId xmlns:a16="http://schemas.microsoft.com/office/drawing/2014/main" id="{00000000-0008-0000-0300-0000A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36</xdr:row>
          <xdr:rowOff>0</xdr:rowOff>
        </xdr:to>
        <xdr:sp macro="" textlink="">
          <xdr:nvSpPr>
            <xdr:cNvPr id="423596" name="Drop Down 1708" hidden="1">
              <a:extLst>
                <a:ext uri="{63B3BB69-23CF-44E3-9099-C40C66FF867C}">
                  <a14:compatExt spid="_x0000_s423596"/>
                </a:ext>
                <a:ext uri="{FF2B5EF4-FFF2-40B4-BE49-F238E27FC236}">
                  <a16:creationId xmlns:a16="http://schemas.microsoft.com/office/drawing/2014/main" id="{00000000-0008-0000-0300-0000A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23597" name="Drop Down 1709" hidden="1">
              <a:extLst>
                <a:ext uri="{63B3BB69-23CF-44E3-9099-C40C66FF867C}">
                  <a14:compatExt spid="_x0000_s423597"/>
                </a:ext>
                <a:ext uri="{FF2B5EF4-FFF2-40B4-BE49-F238E27FC236}">
                  <a16:creationId xmlns:a16="http://schemas.microsoft.com/office/drawing/2014/main" id="{00000000-0008-0000-0300-0000A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23598" name="Drop Down 1710" hidden="1">
              <a:extLst>
                <a:ext uri="{63B3BB69-23CF-44E3-9099-C40C66FF867C}">
                  <a14:compatExt spid="_x0000_s423598"/>
                </a:ext>
                <a:ext uri="{FF2B5EF4-FFF2-40B4-BE49-F238E27FC236}">
                  <a16:creationId xmlns:a16="http://schemas.microsoft.com/office/drawing/2014/main" id="{00000000-0008-0000-0300-0000A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23599" name="Drop Down 1711" hidden="1">
              <a:extLst>
                <a:ext uri="{63B3BB69-23CF-44E3-9099-C40C66FF867C}">
                  <a14:compatExt spid="_x0000_s423599"/>
                </a:ext>
                <a:ext uri="{FF2B5EF4-FFF2-40B4-BE49-F238E27FC236}">
                  <a16:creationId xmlns:a16="http://schemas.microsoft.com/office/drawing/2014/main" id="{00000000-0008-0000-0300-0000A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23600" name="Drop Down 1712" hidden="1">
              <a:extLst>
                <a:ext uri="{63B3BB69-23CF-44E3-9099-C40C66FF867C}">
                  <a14:compatExt spid="_x0000_s423600"/>
                </a:ext>
                <a:ext uri="{FF2B5EF4-FFF2-40B4-BE49-F238E27FC236}">
                  <a16:creationId xmlns:a16="http://schemas.microsoft.com/office/drawing/2014/main" id="{00000000-0008-0000-0300-0000B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23601" name="Drop Down 1713" hidden="1">
              <a:extLst>
                <a:ext uri="{63B3BB69-23CF-44E3-9099-C40C66FF867C}">
                  <a14:compatExt spid="_x0000_s423601"/>
                </a:ext>
                <a:ext uri="{FF2B5EF4-FFF2-40B4-BE49-F238E27FC236}">
                  <a16:creationId xmlns:a16="http://schemas.microsoft.com/office/drawing/2014/main" id="{00000000-0008-0000-0300-0000B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23602" name="Drop Down 1714" hidden="1">
              <a:extLst>
                <a:ext uri="{63B3BB69-23CF-44E3-9099-C40C66FF867C}">
                  <a14:compatExt spid="_x0000_s423602"/>
                </a:ext>
                <a:ext uri="{FF2B5EF4-FFF2-40B4-BE49-F238E27FC236}">
                  <a16:creationId xmlns:a16="http://schemas.microsoft.com/office/drawing/2014/main" id="{00000000-0008-0000-0300-0000B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23603" name="Drop Down 1715" hidden="1">
              <a:extLst>
                <a:ext uri="{63B3BB69-23CF-44E3-9099-C40C66FF867C}">
                  <a14:compatExt spid="_x0000_s423603"/>
                </a:ext>
                <a:ext uri="{FF2B5EF4-FFF2-40B4-BE49-F238E27FC236}">
                  <a16:creationId xmlns:a16="http://schemas.microsoft.com/office/drawing/2014/main" id="{00000000-0008-0000-0300-0000B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23604" name="Drop Down 1716" hidden="1">
              <a:extLst>
                <a:ext uri="{63B3BB69-23CF-44E3-9099-C40C66FF867C}">
                  <a14:compatExt spid="_x0000_s423604"/>
                </a:ext>
                <a:ext uri="{FF2B5EF4-FFF2-40B4-BE49-F238E27FC236}">
                  <a16:creationId xmlns:a16="http://schemas.microsoft.com/office/drawing/2014/main" id="{00000000-0008-0000-0300-0000B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23605" name="Drop Down 1717" hidden="1">
              <a:extLst>
                <a:ext uri="{63B3BB69-23CF-44E3-9099-C40C66FF867C}">
                  <a14:compatExt spid="_x0000_s423605"/>
                </a:ext>
                <a:ext uri="{FF2B5EF4-FFF2-40B4-BE49-F238E27FC236}">
                  <a16:creationId xmlns:a16="http://schemas.microsoft.com/office/drawing/2014/main" id="{00000000-0008-0000-0300-0000B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23606" name="Drop Down 1718" hidden="1">
              <a:extLst>
                <a:ext uri="{63B3BB69-23CF-44E3-9099-C40C66FF867C}">
                  <a14:compatExt spid="_x0000_s423606"/>
                </a:ext>
                <a:ext uri="{FF2B5EF4-FFF2-40B4-BE49-F238E27FC236}">
                  <a16:creationId xmlns:a16="http://schemas.microsoft.com/office/drawing/2014/main" id="{00000000-0008-0000-0300-0000B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23607" name="Drop Down 1719" hidden="1">
              <a:extLst>
                <a:ext uri="{63B3BB69-23CF-44E3-9099-C40C66FF867C}">
                  <a14:compatExt spid="_x0000_s423607"/>
                </a:ext>
                <a:ext uri="{FF2B5EF4-FFF2-40B4-BE49-F238E27FC236}">
                  <a16:creationId xmlns:a16="http://schemas.microsoft.com/office/drawing/2014/main" id="{00000000-0008-0000-0300-0000B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23608" name="Drop Down 1720" hidden="1">
              <a:extLst>
                <a:ext uri="{63B3BB69-23CF-44E3-9099-C40C66FF867C}">
                  <a14:compatExt spid="_x0000_s423608"/>
                </a:ext>
                <a:ext uri="{FF2B5EF4-FFF2-40B4-BE49-F238E27FC236}">
                  <a16:creationId xmlns:a16="http://schemas.microsoft.com/office/drawing/2014/main" id="{00000000-0008-0000-0300-0000B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19\Fuera%20del%20Alcance\Presi&#243;n\NI-R02-MCIT-P-01%20%20Procesamiento%20de%20datos%20calibraci&#243;n%20man&#243;metros%20y%20vacu&#243;metros%20NI-MCPP-02%20-%202019-01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ormato%20de%20hoja%20de%20calculo-METROCAL%20NI-CTI-D-0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%202018-07-08\Clientes\Certificados\2018\Fuera%20de%20alcance\Dimensional\NI-R02-MCIT-D-02%20Hoja%20de%20calculo%20de%20Micr&#243;metros%20de%20exteriores%20v2%202018-05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alibración"/>
      <sheetName val="kU(E)"/>
      <sheetName val="BD Patron"/>
      <sheetName val="BD Clientes"/>
      <sheetName val="FA Unid-kPa (5 ptos)"/>
      <sheetName val="Trazabilidad"/>
      <sheetName val="Datos Etiquetas"/>
      <sheetName val="NI-R02-MCIT-P-01  Procesamiento"/>
    </sheetNames>
    <sheetDataSet>
      <sheetData sheetId="0">
        <row r="3">
          <cell r="F3" t="str">
            <v>NI-MC-P-Testificación-Carlos Castro</v>
          </cell>
        </row>
        <row r="5">
          <cell r="F5">
            <v>43299</v>
          </cell>
        </row>
        <row r="6">
          <cell r="F6" t="str">
            <v>706340</v>
          </cell>
          <cell r="I6">
            <v>22.266666666666669</v>
          </cell>
        </row>
        <row r="7">
          <cell r="F7" t="str">
            <v xml:space="preserve">Manómetro </v>
          </cell>
          <cell r="I7">
            <v>22.233333333333334</v>
          </cell>
        </row>
        <row r="8">
          <cell r="I8">
            <v>22.25</v>
          </cell>
        </row>
        <row r="9">
          <cell r="I9">
            <v>0.4</v>
          </cell>
        </row>
        <row r="13">
          <cell r="F13">
            <v>0</v>
          </cell>
          <cell r="I13">
            <v>48.45</v>
          </cell>
        </row>
        <row r="14">
          <cell r="F14" t="str">
            <v>1000</v>
          </cell>
          <cell r="I14">
            <v>2.7</v>
          </cell>
        </row>
        <row r="15">
          <cell r="F15" t="str">
            <v>5</v>
          </cell>
        </row>
        <row r="18">
          <cell r="I18">
            <v>1001.2833333333333</v>
          </cell>
        </row>
        <row r="19">
          <cell r="I19">
            <v>2.4700000000000002</v>
          </cell>
        </row>
      </sheetData>
      <sheetData sheetId="1">
        <row r="4">
          <cell r="E4" t="str">
            <v>5</v>
          </cell>
          <cell r="I4">
            <v>1</v>
          </cell>
          <cell r="M4">
            <v>2.4060000000000002E-2</v>
          </cell>
        </row>
        <row r="5">
          <cell r="M5" t="str">
            <v>Agua</v>
          </cell>
        </row>
        <row r="8">
          <cell r="D8">
            <v>7.0309999999999997E-2</v>
          </cell>
          <cell r="E8" t="str">
            <v>kgf/cm2</v>
          </cell>
        </row>
        <row r="9">
          <cell r="E9">
            <v>0</v>
          </cell>
        </row>
        <row r="52">
          <cell r="V52">
            <v>14</v>
          </cell>
          <cell r="AB52">
            <v>15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álculos"/>
      <sheetName val="Certificado"/>
      <sheetName val="Calculo de ABBE"/>
      <sheetName val="Grados de libertad"/>
      <sheetName val="Registro"/>
      <sheetName val="Bloques"/>
    </sheetNames>
    <sheetDataSet>
      <sheetData sheetId="0"/>
      <sheetData sheetId="1">
        <row r="19">
          <cell r="Y19" t="str">
            <v>Error de abbe (µm)</v>
          </cell>
        </row>
        <row r="43">
          <cell r="S43" t="str">
            <v>〖Δt〗</v>
          </cell>
          <cell r="T43">
            <v>2.3998550724637653</v>
          </cell>
          <cell r="U43" t="str">
            <v>°C</v>
          </cell>
        </row>
        <row r="55">
          <cell r="R55">
            <v>1</v>
          </cell>
          <cell r="S55" t="str">
            <v>NI-MCPPT-01</v>
          </cell>
          <cell r="T55" t="str">
            <v xml:space="preserve">Fluke 971 </v>
          </cell>
          <cell r="U55">
            <v>60</v>
          </cell>
        </row>
        <row r="58">
          <cell r="R58">
            <v>4</v>
          </cell>
          <cell r="S58" t="str">
            <v>NI-MCPPT-04</v>
          </cell>
          <cell r="T58" t="str">
            <v xml:space="preserve">Fluke 971 </v>
          </cell>
          <cell r="U58">
            <v>60</v>
          </cell>
          <cell r="V58">
            <v>0.1</v>
          </cell>
          <cell r="W58">
            <v>0.1</v>
          </cell>
          <cell r="X58">
            <v>0.5</v>
          </cell>
          <cell r="Y58">
            <v>2.5</v>
          </cell>
        </row>
        <row r="70">
          <cell r="U70">
            <v>22.22</v>
          </cell>
        </row>
        <row r="73">
          <cell r="S73" t="str">
            <v xml:space="preserve">Fluke 971 </v>
          </cell>
        </row>
        <row r="85">
          <cell r="T85" t="str">
            <v>termometro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s"/>
      <sheetName val="Entrada de Datos"/>
      <sheetName val="Salida de Datos"/>
      <sheetName val="DA (mm)"/>
      <sheetName val="DA (in)"/>
      <sheetName val="Datos Etiqueta"/>
      <sheetName val="Base de dato de los clientes"/>
      <sheetName val="Trazabilidad"/>
    </sheetNames>
    <sheetDataSet>
      <sheetData sheetId="0">
        <row r="1">
          <cell r="F1" t="str">
            <v>Ing. Fredman A. Méndez M.</v>
          </cell>
        </row>
        <row r="5">
          <cell r="F5" t="str">
            <v>Director Técnico</v>
          </cell>
        </row>
        <row r="6">
          <cell r="F6" t="str">
            <v>Director Técnico</v>
          </cell>
        </row>
      </sheetData>
      <sheetData sheetId="1"/>
      <sheetData sheetId="2">
        <row r="3">
          <cell r="O3">
            <v>0.56999999999999995</v>
          </cell>
        </row>
        <row r="7">
          <cell r="L7" t="str">
            <v>La corrección corresponde al valor del patrón menos las indicación del equipo.</v>
          </cell>
        </row>
        <row r="8">
          <cell r="L8" t="str">
            <v>La indicación del equipo corresponde al promedio de 3 mediciones en cada punto de calibración.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Clientes3" displayName="tblClientes3" ref="A5:C370" totalsRowShown="0">
  <sortState xmlns:xlrd2="http://schemas.microsoft.com/office/spreadsheetml/2017/richdata2" ref="A6:C190">
    <sortCondition ref="B6:B190"/>
  </sortState>
  <tableColumns count="3">
    <tableColumn id="1" xr3:uid="{00000000-0010-0000-0000-000001000000}" name="Clave" dataDxfId="2"/>
    <tableColumn id="2" xr3:uid="{00000000-0010-0000-0000-000002000000}" name="Cliente" dataDxfId="1"/>
    <tableColumn id="3" xr3:uid="{00000000-0010-0000-0000-000003000000}" name="Dirección de la empres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retecsa.com.n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9.xml"/><Relationship Id="rId21" Type="http://schemas.openxmlformats.org/officeDocument/2006/relationships/ctrlProp" Target="../ctrlProps/ctrlProp23.xml"/><Relationship Id="rId42" Type="http://schemas.openxmlformats.org/officeDocument/2006/relationships/ctrlProp" Target="../ctrlProps/ctrlProp44.xml"/><Relationship Id="rId63" Type="http://schemas.openxmlformats.org/officeDocument/2006/relationships/ctrlProp" Target="../ctrlProps/ctrlProp65.xml"/><Relationship Id="rId84" Type="http://schemas.openxmlformats.org/officeDocument/2006/relationships/ctrlProp" Target="../ctrlProps/ctrlProp86.xml"/><Relationship Id="rId138" Type="http://schemas.openxmlformats.org/officeDocument/2006/relationships/ctrlProp" Target="../ctrlProps/ctrlProp140.xml"/><Relationship Id="rId159" Type="http://schemas.openxmlformats.org/officeDocument/2006/relationships/ctrlProp" Target="../ctrlProps/ctrlProp161.xml"/><Relationship Id="rId170" Type="http://schemas.openxmlformats.org/officeDocument/2006/relationships/ctrlProp" Target="../ctrlProps/ctrlProp172.xml"/><Relationship Id="rId107" Type="http://schemas.openxmlformats.org/officeDocument/2006/relationships/ctrlProp" Target="../ctrlProps/ctrlProp109.xml"/><Relationship Id="rId11" Type="http://schemas.openxmlformats.org/officeDocument/2006/relationships/ctrlProp" Target="../ctrlProps/ctrlProp13.xml"/><Relationship Id="rId32" Type="http://schemas.openxmlformats.org/officeDocument/2006/relationships/ctrlProp" Target="../ctrlProps/ctrlProp34.xml"/><Relationship Id="rId53" Type="http://schemas.openxmlformats.org/officeDocument/2006/relationships/ctrlProp" Target="../ctrlProps/ctrlProp55.xml"/><Relationship Id="rId74" Type="http://schemas.openxmlformats.org/officeDocument/2006/relationships/ctrlProp" Target="../ctrlProps/ctrlProp76.xml"/><Relationship Id="rId128" Type="http://schemas.openxmlformats.org/officeDocument/2006/relationships/ctrlProp" Target="../ctrlProps/ctrlProp130.xml"/><Relationship Id="rId149" Type="http://schemas.openxmlformats.org/officeDocument/2006/relationships/ctrlProp" Target="../ctrlProps/ctrlProp151.xml"/><Relationship Id="rId5" Type="http://schemas.openxmlformats.org/officeDocument/2006/relationships/ctrlProp" Target="../ctrlProps/ctrlProp7.xml"/><Relationship Id="rId95" Type="http://schemas.openxmlformats.org/officeDocument/2006/relationships/ctrlProp" Target="../ctrlProps/ctrlProp97.xml"/><Relationship Id="rId160" Type="http://schemas.openxmlformats.org/officeDocument/2006/relationships/ctrlProp" Target="../ctrlProps/ctrlProp162.xml"/><Relationship Id="rId181" Type="http://schemas.openxmlformats.org/officeDocument/2006/relationships/comments" Target="../comments1.xml"/><Relationship Id="rId22" Type="http://schemas.openxmlformats.org/officeDocument/2006/relationships/ctrlProp" Target="../ctrlProps/ctrlProp24.xml"/><Relationship Id="rId43" Type="http://schemas.openxmlformats.org/officeDocument/2006/relationships/ctrlProp" Target="../ctrlProps/ctrlProp45.xml"/><Relationship Id="rId64" Type="http://schemas.openxmlformats.org/officeDocument/2006/relationships/ctrlProp" Target="../ctrlProps/ctrlProp66.xml"/><Relationship Id="rId118" Type="http://schemas.openxmlformats.org/officeDocument/2006/relationships/ctrlProp" Target="../ctrlProps/ctrlProp120.xml"/><Relationship Id="rId139" Type="http://schemas.openxmlformats.org/officeDocument/2006/relationships/ctrlProp" Target="../ctrlProps/ctrlProp141.xml"/><Relationship Id="rId85" Type="http://schemas.openxmlformats.org/officeDocument/2006/relationships/ctrlProp" Target="../ctrlProps/ctrlProp87.xml"/><Relationship Id="rId150" Type="http://schemas.openxmlformats.org/officeDocument/2006/relationships/ctrlProp" Target="../ctrlProps/ctrlProp152.xml"/><Relationship Id="rId171" Type="http://schemas.openxmlformats.org/officeDocument/2006/relationships/ctrlProp" Target="../ctrlProps/ctrlProp173.xml"/><Relationship Id="rId12" Type="http://schemas.openxmlformats.org/officeDocument/2006/relationships/ctrlProp" Target="../ctrlProps/ctrlProp14.xml"/><Relationship Id="rId33" Type="http://schemas.openxmlformats.org/officeDocument/2006/relationships/ctrlProp" Target="../ctrlProps/ctrlProp35.xml"/><Relationship Id="rId108" Type="http://schemas.openxmlformats.org/officeDocument/2006/relationships/ctrlProp" Target="../ctrlProps/ctrlProp110.xml"/><Relationship Id="rId129" Type="http://schemas.openxmlformats.org/officeDocument/2006/relationships/ctrlProp" Target="../ctrlProps/ctrlProp131.xml"/><Relationship Id="rId54" Type="http://schemas.openxmlformats.org/officeDocument/2006/relationships/ctrlProp" Target="../ctrlProps/ctrlProp56.xml"/><Relationship Id="rId75" Type="http://schemas.openxmlformats.org/officeDocument/2006/relationships/ctrlProp" Target="../ctrlProps/ctrlProp77.xml"/><Relationship Id="rId96" Type="http://schemas.openxmlformats.org/officeDocument/2006/relationships/ctrlProp" Target="../ctrlProps/ctrlProp98.xml"/><Relationship Id="rId140" Type="http://schemas.openxmlformats.org/officeDocument/2006/relationships/ctrlProp" Target="../ctrlProps/ctrlProp142.xml"/><Relationship Id="rId161" Type="http://schemas.openxmlformats.org/officeDocument/2006/relationships/ctrlProp" Target="../ctrlProps/ctrlProp163.xml"/><Relationship Id="rId6" Type="http://schemas.openxmlformats.org/officeDocument/2006/relationships/ctrlProp" Target="../ctrlProps/ctrlProp8.xml"/><Relationship Id="rId23" Type="http://schemas.openxmlformats.org/officeDocument/2006/relationships/ctrlProp" Target="../ctrlProps/ctrlProp25.xml"/><Relationship Id="rId119" Type="http://schemas.openxmlformats.org/officeDocument/2006/relationships/ctrlProp" Target="../ctrlProps/ctrlProp121.xml"/><Relationship Id="rId44" Type="http://schemas.openxmlformats.org/officeDocument/2006/relationships/ctrlProp" Target="../ctrlProps/ctrlProp46.xml"/><Relationship Id="rId60" Type="http://schemas.openxmlformats.org/officeDocument/2006/relationships/ctrlProp" Target="../ctrlProps/ctrlProp62.xml"/><Relationship Id="rId65" Type="http://schemas.openxmlformats.org/officeDocument/2006/relationships/ctrlProp" Target="../ctrlProps/ctrlProp67.xml"/><Relationship Id="rId81" Type="http://schemas.openxmlformats.org/officeDocument/2006/relationships/ctrlProp" Target="../ctrlProps/ctrlProp83.xml"/><Relationship Id="rId86" Type="http://schemas.openxmlformats.org/officeDocument/2006/relationships/ctrlProp" Target="../ctrlProps/ctrlProp88.xml"/><Relationship Id="rId130" Type="http://schemas.openxmlformats.org/officeDocument/2006/relationships/ctrlProp" Target="../ctrlProps/ctrlProp132.xml"/><Relationship Id="rId135" Type="http://schemas.openxmlformats.org/officeDocument/2006/relationships/ctrlProp" Target="../ctrlProps/ctrlProp137.xml"/><Relationship Id="rId151" Type="http://schemas.openxmlformats.org/officeDocument/2006/relationships/ctrlProp" Target="../ctrlProps/ctrlProp153.xml"/><Relationship Id="rId156" Type="http://schemas.openxmlformats.org/officeDocument/2006/relationships/ctrlProp" Target="../ctrlProps/ctrlProp158.xml"/><Relationship Id="rId177" Type="http://schemas.openxmlformats.org/officeDocument/2006/relationships/ctrlProp" Target="../ctrlProps/ctrlProp179.xml"/><Relationship Id="rId172" Type="http://schemas.openxmlformats.org/officeDocument/2006/relationships/ctrlProp" Target="../ctrlProps/ctrlProp174.xml"/><Relationship Id="rId13" Type="http://schemas.openxmlformats.org/officeDocument/2006/relationships/ctrlProp" Target="../ctrlProps/ctrlProp15.xml"/><Relationship Id="rId18" Type="http://schemas.openxmlformats.org/officeDocument/2006/relationships/ctrlProp" Target="../ctrlProps/ctrlProp20.xml"/><Relationship Id="rId39" Type="http://schemas.openxmlformats.org/officeDocument/2006/relationships/ctrlProp" Target="../ctrlProps/ctrlProp41.xml"/><Relationship Id="rId109" Type="http://schemas.openxmlformats.org/officeDocument/2006/relationships/ctrlProp" Target="../ctrlProps/ctrlProp111.xml"/><Relationship Id="rId34" Type="http://schemas.openxmlformats.org/officeDocument/2006/relationships/ctrlProp" Target="../ctrlProps/ctrlProp36.xml"/><Relationship Id="rId50" Type="http://schemas.openxmlformats.org/officeDocument/2006/relationships/ctrlProp" Target="../ctrlProps/ctrlProp52.xml"/><Relationship Id="rId55" Type="http://schemas.openxmlformats.org/officeDocument/2006/relationships/ctrlProp" Target="../ctrlProps/ctrlProp57.xml"/><Relationship Id="rId76" Type="http://schemas.openxmlformats.org/officeDocument/2006/relationships/ctrlProp" Target="../ctrlProps/ctrlProp78.xml"/><Relationship Id="rId97" Type="http://schemas.openxmlformats.org/officeDocument/2006/relationships/ctrlProp" Target="../ctrlProps/ctrlProp99.xml"/><Relationship Id="rId104" Type="http://schemas.openxmlformats.org/officeDocument/2006/relationships/ctrlProp" Target="../ctrlProps/ctrlProp106.xml"/><Relationship Id="rId120" Type="http://schemas.openxmlformats.org/officeDocument/2006/relationships/ctrlProp" Target="../ctrlProps/ctrlProp122.xml"/><Relationship Id="rId125" Type="http://schemas.openxmlformats.org/officeDocument/2006/relationships/ctrlProp" Target="../ctrlProps/ctrlProp127.xml"/><Relationship Id="rId141" Type="http://schemas.openxmlformats.org/officeDocument/2006/relationships/ctrlProp" Target="../ctrlProps/ctrlProp143.xml"/><Relationship Id="rId146" Type="http://schemas.openxmlformats.org/officeDocument/2006/relationships/ctrlProp" Target="../ctrlProps/ctrlProp148.xml"/><Relationship Id="rId167" Type="http://schemas.openxmlformats.org/officeDocument/2006/relationships/ctrlProp" Target="../ctrlProps/ctrlProp169.xml"/><Relationship Id="rId7" Type="http://schemas.openxmlformats.org/officeDocument/2006/relationships/ctrlProp" Target="../ctrlProps/ctrlProp9.xml"/><Relationship Id="rId71" Type="http://schemas.openxmlformats.org/officeDocument/2006/relationships/ctrlProp" Target="../ctrlProps/ctrlProp73.xml"/><Relationship Id="rId92" Type="http://schemas.openxmlformats.org/officeDocument/2006/relationships/ctrlProp" Target="../ctrlProps/ctrlProp94.xml"/><Relationship Id="rId162" Type="http://schemas.openxmlformats.org/officeDocument/2006/relationships/ctrlProp" Target="../ctrlProps/ctrlProp164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1.xml"/><Relationship Id="rId24" Type="http://schemas.openxmlformats.org/officeDocument/2006/relationships/ctrlProp" Target="../ctrlProps/ctrlProp26.xml"/><Relationship Id="rId40" Type="http://schemas.openxmlformats.org/officeDocument/2006/relationships/ctrlProp" Target="../ctrlProps/ctrlProp42.xml"/><Relationship Id="rId45" Type="http://schemas.openxmlformats.org/officeDocument/2006/relationships/ctrlProp" Target="../ctrlProps/ctrlProp47.xml"/><Relationship Id="rId66" Type="http://schemas.openxmlformats.org/officeDocument/2006/relationships/ctrlProp" Target="../ctrlProps/ctrlProp68.xml"/><Relationship Id="rId87" Type="http://schemas.openxmlformats.org/officeDocument/2006/relationships/ctrlProp" Target="../ctrlProps/ctrlProp89.xml"/><Relationship Id="rId110" Type="http://schemas.openxmlformats.org/officeDocument/2006/relationships/ctrlProp" Target="../ctrlProps/ctrlProp112.xml"/><Relationship Id="rId115" Type="http://schemas.openxmlformats.org/officeDocument/2006/relationships/ctrlProp" Target="../ctrlProps/ctrlProp117.xml"/><Relationship Id="rId131" Type="http://schemas.openxmlformats.org/officeDocument/2006/relationships/ctrlProp" Target="../ctrlProps/ctrlProp133.xml"/><Relationship Id="rId136" Type="http://schemas.openxmlformats.org/officeDocument/2006/relationships/ctrlProp" Target="../ctrlProps/ctrlProp138.xml"/><Relationship Id="rId157" Type="http://schemas.openxmlformats.org/officeDocument/2006/relationships/ctrlProp" Target="../ctrlProps/ctrlProp159.xml"/><Relationship Id="rId178" Type="http://schemas.openxmlformats.org/officeDocument/2006/relationships/ctrlProp" Target="../ctrlProps/ctrlProp180.xml"/><Relationship Id="rId61" Type="http://schemas.openxmlformats.org/officeDocument/2006/relationships/ctrlProp" Target="../ctrlProps/ctrlProp63.xml"/><Relationship Id="rId82" Type="http://schemas.openxmlformats.org/officeDocument/2006/relationships/ctrlProp" Target="../ctrlProps/ctrlProp84.xml"/><Relationship Id="rId152" Type="http://schemas.openxmlformats.org/officeDocument/2006/relationships/ctrlProp" Target="../ctrlProps/ctrlProp154.xml"/><Relationship Id="rId173" Type="http://schemas.openxmlformats.org/officeDocument/2006/relationships/ctrlProp" Target="../ctrlProps/ctrlProp175.xml"/><Relationship Id="rId19" Type="http://schemas.openxmlformats.org/officeDocument/2006/relationships/ctrlProp" Target="../ctrlProps/ctrlProp21.xml"/><Relationship Id="rId14" Type="http://schemas.openxmlformats.org/officeDocument/2006/relationships/ctrlProp" Target="../ctrlProps/ctrlProp16.xml"/><Relationship Id="rId30" Type="http://schemas.openxmlformats.org/officeDocument/2006/relationships/ctrlProp" Target="../ctrlProps/ctrlProp32.xml"/><Relationship Id="rId35" Type="http://schemas.openxmlformats.org/officeDocument/2006/relationships/ctrlProp" Target="../ctrlProps/ctrlProp37.xml"/><Relationship Id="rId56" Type="http://schemas.openxmlformats.org/officeDocument/2006/relationships/ctrlProp" Target="../ctrlProps/ctrlProp58.xml"/><Relationship Id="rId77" Type="http://schemas.openxmlformats.org/officeDocument/2006/relationships/ctrlProp" Target="../ctrlProps/ctrlProp79.xml"/><Relationship Id="rId100" Type="http://schemas.openxmlformats.org/officeDocument/2006/relationships/ctrlProp" Target="../ctrlProps/ctrlProp102.xml"/><Relationship Id="rId105" Type="http://schemas.openxmlformats.org/officeDocument/2006/relationships/ctrlProp" Target="../ctrlProps/ctrlProp107.xml"/><Relationship Id="rId126" Type="http://schemas.openxmlformats.org/officeDocument/2006/relationships/ctrlProp" Target="../ctrlProps/ctrlProp128.xml"/><Relationship Id="rId147" Type="http://schemas.openxmlformats.org/officeDocument/2006/relationships/ctrlProp" Target="../ctrlProps/ctrlProp149.xml"/><Relationship Id="rId168" Type="http://schemas.openxmlformats.org/officeDocument/2006/relationships/ctrlProp" Target="../ctrlProps/ctrlProp170.xml"/><Relationship Id="rId8" Type="http://schemas.openxmlformats.org/officeDocument/2006/relationships/ctrlProp" Target="../ctrlProps/ctrlProp10.xml"/><Relationship Id="rId51" Type="http://schemas.openxmlformats.org/officeDocument/2006/relationships/ctrlProp" Target="../ctrlProps/ctrlProp53.xml"/><Relationship Id="rId72" Type="http://schemas.openxmlformats.org/officeDocument/2006/relationships/ctrlProp" Target="../ctrlProps/ctrlProp74.xml"/><Relationship Id="rId93" Type="http://schemas.openxmlformats.org/officeDocument/2006/relationships/ctrlProp" Target="../ctrlProps/ctrlProp95.xml"/><Relationship Id="rId98" Type="http://schemas.openxmlformats.org/officeDocument/2006/relationships/ctrlProp" Target="../ctrlProps/ctrlProp100.xml"/><Relationship Id="rId121" Type="http://schemas.openxmlformats.org/officeDocument/2006/relationships/ctrlProp" Target="../ctrlProps/ctrlProp123.xml"/><Relationship Id="rId142" Type="http://schemas.openxmlformats.org/officeDocument/2006/relationships/ctrlProp" Target="../ctrlProps/ctrlProp144.xml"/><Relationship Id="rId163" Type="http://schemas.openxmlformats.org/officeDocument/2006/relationships/ctrlProp" Target="../ctrlProps/ctrlProp165.xml"/><Relationship Id="rId3" Type="http://schemas.openxmlformats.org/officeDocument/2006/relationships/vmlDrawing" Target="../drawings/vmlDrawing3.vml"/><Relationship Id="rId25" Type="http://schemas.openxmlformats.org/officeDocument/2006/relationships/ctrlProp" Target="../ctrlProps/ctrlProp27.xml"/><Relationship Id="rId46" Type="http://schemas.openxmlformats.org/officeDocument/2006/relationships/ctrlProp" Target="../ctrlProps/ctrlProp48.xml"/><Relationship Id="rId67" Type="http://schemas.openxmlformats.org/officeDocument/2006/relationships/ctrlProp" Target="../ctrlProps/ctrlProp69.xml"/><Relationship Id="rId116" Type="http://schemas.openxmlformats.org/officeDocument/2006/relationships/ctrlProp" Target="../ctrlProps/ctrlProp118.xml"/><Relationship Id="rId137" Type="http://schemas.openxmlformats.org/officeDocument/2006/relationships/ctrlProp" Target="../ctrlProps/ctrlProp139.xml"/><Relationship Id="rId158" Type="http://schemas.openxmlformats.org/officeDocument/2006/relationships/ctrlProp" Target="../ctrlProps/ctrlProp160.xml"/><Relationship Id="rId20" Type="http://schemas.openxmlformats.org/officeDocument/2006/relationships/ctrlProp" Target="../ctrlProps/ctrlProp22.xml"/><Relationship Id="rId41" Type="http://schemas.openxmlformats.org/officeDocument/2006/relationships/ctrlProp" Target="../ctrlProps/ctrlProp43.xml"/><Relationship Id="rId62" Type="http://schemas.openxmlformats.org/officeDocument/2006/relationships/ctrlProp" Target="../ctrlProps/ctrlProp64.xml"/><Relationship Id="rId83" Type="http://schemas.openxmlformats.org/officeDocument/2006/relationships/ctrlProp" Target="../ctrlProps/ctrlProp85.xml"/><Relationship Id="rId88" Type="http://schemas.openxmlformats.org/officeDocument/2006/relationships/ctrlProp" Target="../ctrlProps/ctrlProp90.xml"/><Relationship Id="rId111" Type="http://schemas.openxmlformats.org/officeDocument/2006/relationships/ctrlProp" Target="../ctrlProps/ctrlProp113.xml"/><Relationship Id="rId132" Type="http://schemas.openxmlformats.org/officeDocument/2006/relationships/ctrlProp" Target="../ctrlProps/ctrlProp134.xml"/><Relationship Id="rId153" Type="http://schemas.openxmlformats.org/officeDocument/2006/relationships/ctrlProp" Target="../ctrlProps/ctrlProp155.xml"/><Relationship Id="rId174" Type="http://schemas.openxmlformats.org/officeDocument/2006/relationships/ctrlProp" Target="../ctrlProps/ctrlProp176.xml"/><Relationship Id="rId179" Type="http://schemas.openxmlformats.org/officeDocument/2006/relationships/ctrlProp" Target="../ctrlProps/ctrlProp181.xml"/><Relationship Id="rId15" Type="http://schemas.openxmlformats.org/officeDocument/2006/relationships/ctrlProp" Target="../ctrlProps/ctrlProp17.xml"/><Relationship Id="rId36" Type="http://schemas.openxmlformats.org/officeDocument/2006/relationships/ctrlProp" Target="../ctrlProps/ctrlProp38.xml"/><Relationship Id="rId57" Type="http://schemas.openxmlformats.org/officeDocument/2006/relationships/ctrlProp" Target="../ctrlProps/ctrlProp59.xml"/><Relationship Id="rId106" Type="http://schemas.openxmlformats.org/officeDocument/2006/relationships/ctrlProp" Target="../ctrlProps/ctrlProp108.xml"/><Relationship Id="rId127" Type="http://schemas.openxmlformats.org/officeDocument/2006/relationships/ctrlProp" Target="../ctrlProps/ctrlProp129.xml"/><Relationship Id="rId10" Type="http://schemas.openxmlformats.org/officeDocument/2006/relationships/ctrlProp" Target="../ctrlProps/ctrlProp12.xml"/><Relationship Id="rId31" Type="http://schemas.openxmlformats.org/officeDocument/2006/relationships/ctrlProp" Target="../ctrlProps/ctrlProp33.xml"/><Relationship Id="rId52" Type="http://schemas.openxmlformats.org/officeDocument/2006/relationships/ctrlProp" Target="../ctrlProps/ctrlProp54.xml"/><Relationship Id="rId73" Type="http://schemas.openxmlformats.org/officeDocument/2006/relationships/ctrlProp" Target="../ctrlProps/ctrlProp75.xml"/><Relationship Id="rId78" Type="http://schemas.openxmlformats.org/officeDocument/2006/relationships/ctrlProp" Target="../ctrlProps/ctrlProp80.xml"/><Relationship Id="rId94" Type="http://schemas.openxmlformats.org/officeDocument/2006/relationships/ctrlProp" Target="../ctrlProps/ctrlProp96.xml"/><Relationship Id="rId99" Type="http://schemas.openxmlformats.org/officeDocument/2006/relationships/ctrlProp" Target="../ctrlProps/ctrlProp101.xml"/><Relationship Id="rId101" Type="http://schemas.openxmlformats.org/officeDocument/2006/relationships/ctrlProp" Target="../ctrlProps/ctrlProp103.xml"/><Relationship Id="rId122" Type="http://schemas.openxmlformats.org/officeDocument/2006/relationships/ctrlProp" Target="../ctrlProps/ctrlProp124.xml"/><Relationship Id="rId143" Type="http://schemas.openxmlformats.org/officeDocument/2006/relationships/ctrlProp" Target="../ctrlProps/ctrlProp145.xml"/><Relationship Id="rId148" Type="http://schemas.openxmlformats.org/officeDocument/2006/relationships/ctrlProp" Target="../ctrlProps/ctrlProp150.xml"/><Relationship Id="rId164" Type="http://schemas.openxmlformats.org/officeDocument/2006/relationships/ctrlProp" Target="../ctrlProps/ctrlProp166.xml"/><Relationship Id="rId169" Type="http://schemas.openxmlformats.org/officeDocument/2006/relationships/ctrlProp" Target="../ctrlProps/ctrlProp171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Relationship Id="rId180" Type="http://schemas.openxmlformats.org/officeDocument/2006/relationships/ctrlProp" Target="../ctrlProps/ctrlProp182.xml"/><Relationship Id="rId26" Type="http://schemas.openxmlformats.org/officeDocument/2006/relationships/ctrlProp" Target="../ctrlProps/ctrlProp28.xml"/><Relationship Id="rId47" Type="http://schemas.openxmlformats.org/officeDocument/2006/relationships/ctrlProp" Target="../ctrlProps/ctrlProp49.xml"/><Relationship Id="rId68" Type="http://schemas.openxmlformats.org/officeDocument/2006/relationships/ctrlProp" Target="../ctrlProps/ctrlProp70.xml"/><Relationship Id="rId89" Type="http://schemas.openxmlformats.org/officeDocument/2006/relationships/ctrlProp" Target="../ctrlProps/ctrlProp91.xml"/><Relationship Id="rId112" Type="http://schemas.openxmlformats.org/officeDocument/2006/relationships/ctrlProp" Target="../ctrlProps/ctrlProp114.xml"/><Relationship Id="rId133" Type="http://schemas.openxmlformats.org/officeDocument/2006/relationships/ctrlProp" Target="../ctrlProps/ctrlProp135.xml"/><Relationship Id="rId154" Type="http://schemas.openxmlformats.org/officeDocument/2006/relationships/ctrlProp" Target="../ctrlProps/ctrlProp156.xml"/><Relationship Id="rId175" Type="http://schemas.openxmlformats.org/officeDocument/2006/relationships/ctrlProp" Target="../ctrlProps/ctrlProp177.xml"/><Relationship Id="rId16" Type="http://schemas.openxmlformats.org/officeDocument/2006/relationships/ctrlProp" Target="../ctrlProps/ctrlProp18.xml"/><Relationship Id="rId37" Type="http://schemas.openxmlformats.org/officeDocument/2006/relationships/ctrlProp" Target="../ctrlProps/ctrlProp39.xml"/><Relationship Id="rId58" Type="http://schemas.openxmlformats.org/officeDocument/2006/relationships/ctrlProp" Target="../ctrlProps/ctrlProp60.xml"/><Relationship Id="rId79" Type="http://schemas.openxmlformats.org/officeDocument/2006/relationships/ctrlProp" Target="../ctrlProps/ctrlProp81.xml"/><Relationship Id="rId102" Type="http://schemas.openxmlformats.org/officeDocument/2006/relationships/ctrlProp" Target="../ctrlProps/ctrlProp104.xml"/><Relationship Id="rId123" Type="http://schemas.openxmlformats.org/officeDocument/2006/relationships/ctrlProp" Target="../ctrlProps/ctrlProp125.xml"/><Relationship Id="rId144" Type="http://schemas.openxmlformats.org/officeDocument/2006/relationships/ctrlProp" Target="../ctrlProps/ctrlProp146.xml"/><Relationship Id="rId90" Type="http://schemas.openxmlformats.org/officeDocument/2006/relationships/ctrlProp" Target="../ctrlProps/ctrlProp92.xml"/><Relationship Id="rId165" Type="http://schemas.openxmlformats.org/officeDocument/2006/relationships/ctrlProp" Target="../ctrlProps/ctrlProp167.xml"/><Relationship Id="rId27" Type="http://schemas.openxmlformats.org/officeDocument/2006/relationships/ctrlProp" Target="../ctrlProps/ctrlProp29.xml"/><Relationship Id="rId48" Type="http://schemas.openxmlformats.org/officeDocument/2006/relationships/ctrlProp" Target="../ctrlProps/ctrlProp50.xml"/><Relationship Id="rId69" Type="http://schemas.openxmlformats.org/officeDocument/2006/relationships/ctrlProp" Target="../ctrlProps/ctrlProp71.xml"/><Relationship Id="rId113" Type="http://schemas.openxmlformats.org/officeDocument/2006/relationships/ctrlProp" Target="../ctrlProps/ctrlProp115.xml"/><Relationship Id="rId134" Type="http://schemas.openxmlformats.org/officeDocument/2006/relationships/ctrlProp" Target="../ctrlProps/ctrlProp136.xml"/><Relationship Id="rId80" Type="http://schemas.openxmlformats.org/officeDocument/2006/relationships/ctrlProp" Target="../ctrlProps/ctrlProp82.xml"/><Relationship Id="rId155" Type="http://schemas.openxmlformats.org/officeDocument/2006/relationships/ctrlProp" Target="../ctrlProps/ctrlProp157.xml"/><Relationship Id="rId176" Type="http://schemas.openxmlformats.org/officeDocument/2006/relationships/ctrlProp" Target="../ctrlProps/ctrlProp178.xml"/><Relationship Id="rId17" Type="http://schemas.openxmlformats.org/officeDocument/2006/relationships/ctrlProp" Target="../ctrlProps/ctrlProp19.xml"/><Relationship Id="rId38" Type="http://schemas.openxmlformats.org/officeDocument/2006/relationships/ctrlProp" Target="../ctrlProps/ctrlProp40.xml"/><Relationship Id="rId59" Type="http://schemas.openxmlformats.org/officeDocument/2006/relationships/ctrlProp" Target="../ctrlProps/ctrlProp61.xml"/><Relationship Id="rId103" Type="http://schemas.openxmlformats.org/officeDocument/2006/relationships/ctrlProp" Target="../ctrlProps/ctrlProp105.xml"/><Relationship Id="rId124" Type="http://schemas.openxmlformats.org/officeDocument/2006/relationships/ctrlProp" Target="../ctrlProps/ctrlProp126.xml"/><Relationship Id="rId70" Type="http://schemas.openxmlformats.org/officeDocument/2006/relationships/ctrlProp" Target="../ctrlProps/ctrlProp72.xml"/><Relationship Id="rId91" Type="http://schemas.openxmlformats.org/officeDocument/2006/relationships/ctrlProp" Target="../ctrlProps/ctrlProp93.xml"/><Relationship Id="rId145" Type="http://schemas.openxmlformats.org/officeDocument/2006/relationships/ctrlProp" Target="../ctrlProps/ctrlProp147.xml"/><Relationship Id="rId166" Type="http://schemas.openxmlformats.org/officeDocument/2006/relationships/ctrlProp" Target="../ctrlProps/ctrlProp168.xml"/><Relationship Id="rId1" Type="http://schemas.openxmlformats.org/officeDocument/2006/relationships/printerSettings" Target="../printerSettings/printerSettings3.bin"/><Relationship Id="rId28" Type="http://schemas.openxmlformats.org/officeDocument/2006/relationships/ctrlProp" Target="../ctrlProps/ctrlProp30.xml"/><Relationship Id="rId49" Type="http://schemas.openxmlformats.org/officeDocument/2006/relationships/ctrlProp" Target="../ctrlProps/ctrlProp51.xml"/><Relationship Id="rId114" Type="http://schemas.openxmlformats.org/officeDocument/2006/relationships/ctrlProp" Target="../ctrlProps/ctrlProp1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M52"/>
  <sheetViews>
    <sheetView zoomScale="98" zoomScaleNormal="98" zoomScaleSheetLayoutView="100" workbookViewId="0">
      <selection activeCell="F16" sqref="F16:K16"/>
    </sheetView>
  </sheetViews>
  <sheetFormatPr baseColWidth="10" defaultColWidth="9.109375" defaultRowHeight="13.2"/>
  <cols>
    <col min="1" max="1" width="13.33203125" style="1" customWidth="1"/>
    <col min="2" max="2" width="5.88671875" style="1" customWidth="1"/>
    <col min="3" max="3" width="7.5546875" style="1" customWidth="1"/>
    <col min="4" max="4" width="16.44140625" style="1" customWidth="1"/>
    <col min="5" max="5" width="6.44140625" style="1" customWidth="1"/>
    <col min="6" max="6" width="13.44140625" style="1" customWidth="1"/>
    <col min="7" max="7" width="12.109375" style="1" customWidth="1"/>
    <col min="8" max="8" width="13.109375" style="1" customWidth="1"/>
    <col min="9" max="9" width="4.33203125" style="1" customWidth="1"/>
    <col min="10" max="10" width="10.109375" style="1" customWidth="1"/>
    <col min="11" max="11" width="7.109375" style="1" customWidth="1"/>
    <col min="12" max="12" width="17.88671875" style="1" customWidth="1"/>
    <col min="13" max="13" width="13.109375" style="1" customWidth="1"/>
    <col min="14" max="14" width="14.6640625" style="1" bestFit="1" customWidth="1"/>
    <col min="15" max="15" width="14.5546875" style="1" bestFit="1" customWidth="1"/>
    <col min="16" max="16" width="14" style="1" bestFit="1" customWidth="1"/>
    <col min="17" max="17" width="13.33203125" style="1" bestFit="1" customWidth="1"/>
    <col min="18" max="18" width="14.5546875" style="1" bestFit="1" customWidth="1"/>
    <col min="19" max="19" width="14" style="1" bestFit="1" customWidth="1"/>
    <col min="20" max="20" width="15.6640625" style="1" bestFit="1" customWidth="1"/>
    <col min="21" max="16384" width="9.109375" style="1"/>
  </cols>
  <sheetData>
    <row r="1" spans="1:13" ht="6.6" customHeight="1">
      <c r="A1" s="387" t="s">
        <v>88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1:13" ht="17.399999999999999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</row>
    <row r="3" spans="1:13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</row>
    <row r="4" spans="1:13" ht="12.75" customHeight="1">
      <c r="A4" s="169"/>
      <c r="B4" s="416" t="s">
        <v>256</v>
      </c>
      <c r="C4" s="416"/>
      <c r="D4" s="417"/>
      <c r="E4" s="396" t="s">
        <v>1079</v>
      </c>
      <c r="F4" s="397"/>
      <c r="G4" s="185"/>
      <c r="H4" s="185"/>
      <c r="I4" s="393" t="s">
        <v>258</v>
      </c>
      <c r="J4" s="394"/>
      <c r="K4" s="395"/>
      <c r="L4" s="160" t="s">
        <v>1082</v>
      </c>
      <c r="M4" s="171"/>
    </row>
    <row r="5" spans="1:13">
      <c r="A5" s="169"/>
      <c r="B5" s="169"/>
      <c r="C5" s="169"/>
      <c r="D5" s="185"/>
      <c r="E5" s="185"/>
      <c r="F5" s="185"/>
      <c r="G5" s="185"/>
      <c r="H5" s="185"/>
      <c r="I5" s="185"/>
      <c r="J5" s="185"/>
      <c r="K5" s="185"/>
      <c r="L5" s="185"/>
      <c r="M5" s="185"/>
    </row>
    <row r="6" spans="1:13">
      <c r="A6" s="390" t="s">
        <v>69</v>
      </c>
      <c r="B6" s="391"/>
      <c r="C6" s="392"/>
      <c r="D6" s="159" t="s">
        <v>1081</v>
      </c>
      <c r="E6" s="172"/>
      <c r="F6" s="172"/>
      <c r="G6" s="185"/>
      <c r="H6" s="185"/>
      <c r="I6" s="303"/>
      <c r="J6" s="173"/>
      <c r="K6" s="173"/>
      <c r="L6" s="304"/>
      <c r="M6" s="185"/>
    </row>
    <row r="7" spans="1:13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</row>
    <row r="8" spans="1:13">
      <c r="A8" s="185"/>
      <c r="B8" s="185"/>
      <c r="C8" s="185"/>
      <c r="D8" s="170" t="s">
        <v>70</v>
      </c>
      <c r="E8" s="185"/>
      <c r="F8" s="185"/>
      <c r="G8" s="185"/>
      <c r="H8" s="185"/>
      <c r="I8" s="393" t="s">
        <v>71</v>
      </c>
      <c r="J8" s="394"/>
      <c r="K8" s="395"/>
      <c r="L8" s="185"/>
      <c r="M8" s="185"/>
    </row>
    <row r="9" spans="1:13">
      <c r="A9" s="185"/>
      <c r="B9" s="185"/>
      <c r="C9" s="185"/>
      <c r="D9" s="173"/>
      <c r="E9" s="185"/>
      <c r="F9" s="185"/>
      <c r="G9" s="185"/>
      <c r="H9" s="185"/>
      <c r="I9" s="173"/>
      <c r="J9" s="173"/>
      <c r="K9" s="173"/>
      <c r="L9" s="185"/>
      <c r="M9" s="185"/>
    </row>
    <row r="10" spans="1:13">
      <c r="A10" s="185"/>
      <c r="B10" s="185"/>
      <c r="C10" s="185"/>
      <c r="D10" s="185"/>
      <c r="E10" s="174"/>
      <c r="F10" s="174"/>
      <c r="G10" s="174"/>
      <c r="H10" s="174"/>
      <c r="I10" s="185"/>
      <c r="J10" s="185"/>
      <c r="K10" s="185"/>
      <c r="L10" s="185"/>
      <c r="M10" s="185"/>
    </row>
    <row r="11" spans="1:13">
      <c r="A11" s="185"/>
      <c r="B11" s="185"/>
      <c r="C11" s="185"/>
      <c r="D11" s="315" t="s">
        <v>260</v>
      </c>
      <c r="E11" s="175"/>
      <c r="F11" s="176"/>
      <c r="G11" s="176"/>
      <c r="H11" s="176"/>
      <c r="I11" s="185"/>
      <c r="J11" s="185"/>
      <c r="K11" s="185"/>
      <c r="L11" s="185"/>
      <c r="M11" s="185"/>
    </row>
    <row r="12" spans="1:13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</row>
    <row r="13" spans="1:13">
      <c r="A13" s="418"/>
      <c r="B13" s="418"/>
      <c r="C13" s="418"/>
      <c r="D13" s="418"/>
      <c r="E13" s="177"/>
      <c r="F13" s="177"/>
      <c r="G13" s="174"/>
      <c r="H13" s="174"/>
      <c r="I13" s="185"/>
      <c r="J13" s="185"/>
      <c r="K13" s="185"/>
      <c r="L13" s="185"/>
      <c r="M13" s="185"/>
    </row>
    <row r="14" spans="1:13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</row>
    <row r="15" spans="1:13">
      <c r="A15" s="399" t="s">
        <v>72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399"/>
    </row>
    <row r="16" spans="1:13">
      <c r="A16" s="398" t="s">
        <v>259</v>
      </c>
      <c r="B16" s="398"/>
      <c r="C16" s="398"/>
      <c r="D16" s="398"/>
      <c r="E16" s="398"/>
      <c r="F16" s="401" t="s">
        <v>821</v>
      </c>
      <c r="G16" s="401"/>
      <c r="H16" s="401"/>
      <c r="I16" s="401"/>
      <c r="J16" s="401"/>
      <c r="K16" s="401"/>
      <c r="L16" s="185"/>
      <c r="M16" s="185"/>
    </row>
    <row r="17" spans="1:13">
      <c r="A17" s="398" t="s">
        <v>66</v>
      </c>
      <c r="B17" s="398"/>
      <c r="C17" s="398"/>
      <c r="D17" s="389" t="str">
        <f>VLOOKUP(F16,'BD Clientes'!B6:C370,2,FALSE)</f>
        <v>Puente El Edén 100 m norte, 100 m este, 75 m norte</v>
      </c>
      <c r="E17" s="389"/>
      <c r="F17" s="389"/>
      <c r="G17" s="389"/>
      <c r="H17" s="389"/>
      <c r="I17" s="389"/>
      <c r="J17" s="195"/>
      <c r="K17" s="195"/>
      <c r="L17" s="185"/>
      <c r="M17" s="185"/>
    </row>
    <row r="18" spans="1:13">
      <c r="A18" s="388"/>
      <c r="B18" s="388"/>
      <c r="C18" s="388"/>
      <c r="D18" s="389"/>
      <c r="E18" s="389"/>
      <c r="F18" s="389"/>
      <c r="G18" s="389"/>
      <c r="H18" s="389"/>
      <c r="I18" s="389"/>
      <c r="J18" s="195"/>
      <c r="K18" s="195"/>
      <c r="L18" s="185"/>
      <c r="M18" s="185"/>
    </row>
    <row r="19" spans="1:13">
      <c r="A19" s="280" t="s">
        <v>312</v>
      </c>
      <c r="B19" s="280"/>
      <c r="C19" s="280"/>
      <c r="D19" s="400" t="s">
        <v>1083</v>
      </c>
      <c r="E19" s="389"/>
      <c r="F19" s="389"/>
      <c r="G19" s="389"/>
      <c r="H19" s="389"/>
      <c r="I19" s="389"/>
      <c r="J19" s="195"/>
      <c r="K19" s="195"/>
      <c r="L19" s="185"/>
      <c r="M19" s="185"/>
    </row>
    <row r="20" spans="1:13">
      <c r="A20" s="398"/>
      <c r="B20" s="398"/>
      <c r="C20" s="398"/>
      <c r="D20" s="389"/>
      <c r="E20" s="389"/>
      <c r="F20" s="389"/>
      <c r="G20" s="389"/>
      <c r="H20" s="389"/>
      <c r="I20" s="389"/>
      <c r="J20" s="195"/>
      <c r="K20" s="195"/>
      <c r="L20" s="185"/>
      <c r="M20" s="185"/>
    </row>
    <row r="21" spans="1:13">
      <c r="A21" s="388"/>
      <c r="B21" s="388"/>
      <c r="C21" s="388"/>
      <c r="D21" s="389"/>
      <c r="E21" s="389"/>
      <c r="F21" s="389"/>
      <c r="G21" s="389"/>
      <c r="H21" s="389"/>
      <c r="I21" s="389"/>
      <c r="J21" s="195"/>
      <c r="K21" s="195"/>
      <c r="L21" s="169"/>
      <c r="M21" s="169"/>
    </row>
    <row r="22" spans="1:13">
      <c r="A22" s="388"/>
      <c r="B22" s="388"/>
      <c r="C22" s="388"/>
      <c r="D22" s="178"/>
      <c r="E22" s="178"/>
      <c r="F22" s="178"/>
      <c r="G22" s="169"/>
      <c r="H22" s="169"/>
      <c r="I22" s="169"/>
      <c r="J22" s="169"/>
      <c r="K22" s="169"/>
      <c r="L22" s="169"/>
      <c r="M22" s="169"/>
    </row>
    <row r="23" spans="1:13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</row>
    <row r="24" spans="1:13">
      <c r="A24" s="399" t="s">
        <v>115</v>
      </c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</row>
    <row r="25" spans="1:13">
      <c r="A25" s="398" t="s">
        <v>121</v>
      </c>
      <c r="B25" s="398"/>
      <c r="C25" s="398"/>
      <c r="D25" s="388" t="s">
        <v>116</v>
      </c>
      <c r="E25" s="388"/>
      <c r="F25" s="388"/>
      <c r="G25" s="388"/>
      <c r="H25" s="388"/>
      <c r="I25" s="388"/>
      <c r="J25" s="310"/>
      <c r="K25" s="310"/>
      <c r="L25" s="310"/>
      <c r="M25" s="310"/>
    </row>
    <row r="26" spans="1:13">
      <c r="A26" s="310"/>
      <c r="B26" s="310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</row>
    <row r="27" spans="1:13">
      <c r="A27" s="398" t="s">
        <v>73</v>
      </c>
      <c r="B27" s="398"/>
      <c r="C27" s="398"/>
      <c r="D27" s="185" t="s">
        <v>37</v>
      </c>
      <c r="E27" s="185"/>
      <c r="F27" s="185"/>
      <c r="G27" s="185"/>
      <c r="H27" s="185"/>
      <c r="I27" s="169"/>
      <c r="J27" s="169"/>
      <c r="K27" s="169"/>
      <c r="L27" s="169"/>
      <c r="M27" s="169"/>
    </row>
    <row r="28" spans="1:13">
      <c r="A28" s="398" t="s">
        <v>65</v>
      </c>
      <c r="B28" s="398"/>
      <c r="C28" s="398"/>
      <c r="D28" s="400">
        <f>VLOOKUP('Datos Generales'!B35,'Datos Generales'!A39:E48,4)</f>
        <v>0</v>
      </c>
      <c r="E28" s="400"/>
      <c r="F28" s="400"/>
      <c r="G28" s="400"/>
      <c r="H28" s="313"/>
      <c r="I28" s="169"/>
      <c r="J28" s="169"/>
      <c r="K28" s="169"/>
      <c r="L28" s="169"/>
      <c r="M28" s="169"/>
    </row>
    <row r="29" spans="1:13">
      <c r="A29" s="310"/>
      <c r="B29" s="310"/>
      <c r="C29" s="310"/>
      <c r="D29" s="313"/>
      <c r="E29" s="313"/>
      <c r="F29" s="313"/>
      <c r="G29" s="313"/>
      <c r="H29" s="313"/>
      <c r="I29" s="169"/>
      <c r="J29" s="169"/>
      <c r="K29" s="169"/>
      <c r="L29" s="169"/>
      <c r="M29" s="169"/>
    </row>
    <row r="30" spans="1:13">
      <c r="A30" s="398" t="s">
        <v>48</v>
      </c>
      <c r="B30" s="398"/>
      <c r="C30" s="398"/>
      <c r="D30" s="424" t="s">
        <v>1080</v>
      </c>
      <c r="E30" s="423"/>
      <c r="F30" s="169" t="s">
        <v>49</v>
      </c>
      <c r="G30" s="422" t="s">
        <v>1084</v>
      </c>
      <c r="H30" s="423"/>
      <c r="I30" s="185"/>
      <c r="J30" s="399" t="s">
        <v>269</v>
      </c>
      <c r="K30" s="399"/>
      <c r="L30" s="422" t="s">
        <v>1084</v>
      </c>
      <c r="M30" s="423"/>
    </row>
    <row r="31" spans="1:13">
      <c r="A31" s="181"/>
      <c r="B31" s="181"/>
      <c r="C31" s="181"/>
      <c r="D31" s="182"/>
      <c r="E31" s="311"/>
      <c r="F31" s="311"/>
      <c r="G31" s="183"/>
      <c r="H31" s="183"/>
      <c r="I31" s="311"/>
      <c r="J31" s="311"/>
      <c r="K31" s="311"/>
      <c r="L31" s="179"/>
      <c r="M31" s="180"/>
    </row>
    <row r="32" spans="1:13">
      <c r="A32" s="419" t="s">
        <v>85</v>
      </c>
      <c r="B32" s="420"/>
      <c r="C32" s="420"/>
      <c r="D32" s="312">
        <v>25</v>
      </c>
      <c r="E32" s="184"/>
      <c r="F32" s="185"/>
      <c r="G32" s="427" t="s">
        <v>87</v>
      </c>
      <c r="H32" s="427"/>
      <c r="I32" s="421"/>
      <c r="J32" s="421"/>
      <c r="K32" s="186"/>
      <c r="L32" s="185"/>
      <c r="M32" s="185"/>
    </row>
    <row r="33" spans="1:13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</row>
    <row r="34" spans="1:13">
      <c r="A34" s="428" t="s">
        <v>52</v>
      </c>
      <c r="B34" s="427"/>
      <c r="C34" s="427"/>
      <c r="D34" s="187">
        <v>1E-3</v>
      </c>
      <c r="E34" s="185"/>
      <c r="F34" s="185"/>
      <c r="G34" s="427" t="s">
        <v>53</v>
      </c>
      <c r="H34" s="427"/>
      <c r="I34" s="429">
        <v>1E-3</v>
      </c>
      <c r="J34" s="429"/>
      <c r="K34" s="188" t="str">
        <f>IF('Datos Generales'!G1=1,"mm",IF('Datos Generales'!G1=2,"plg","Otra unidad"))</f>
        <v>mm</v>
      </c>
      <c r="L34" s="185"/>
      <c r="M34" s="185"/>
    </row>
    <row r="35" spans="1:13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</row>
    <row r="36" spans="1:13">
      <c r="A36" s="428" t="s">
        <v>310</v>
      </c>
      <c r="B36" s="427"/>
      <c r="C36" s="427"/>
      <c r="D36" s="279" t="s">
        <v>311</v>
      </c>
      <c r="E36" s="185"/>
      <c r="F36" s="189"/>
      <c r="G36" s="190"/>
      <c r="H36" s="190"/>
      <c r="I36" s="191"/>
      <c r="J36" s="191"/>
      <c r="K36" s="191"/>
      <c r="L36" s="192"/>
      <c r="M36" s="185"/>
    </row>
    <row r="37" spans="1:13">
      <c r="A37" s="426"/>
      <c r="B37" s="426"/>
      <c r="C37" s="426"/>
      <c r="D37" s="426"/>
      <c r="E37" s="176"/>
      <c r="F37" s="176"/>
      <c r="G37" s="193"/>
      <c r="H37" s="193"/>
      <c r="I37" s="191"/>
      <c r="J37" s="191"/>
      <c r="K37" s="191"/>
      <c r="L37" s="310"/>
      <c r="M37" s="185"/>
    </row>
    <row r="38" spans="1:13">
      <c r="A38" s="402" t="s">
        <v>90</v>
      </c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</row>
    <row r="39" spans="1:13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</row>
    <row r="40" spans="1:13" hidden="1">
      <c r="A40" s="186" t="s">
        <v>91</v>
      </c>
      <c r="B40" s="412" t="s">
        <v>257</v>
      </c>
      <c r="C40" s="412"/>
      <c r="D40" s="412"/>
      <c r="E40" s="185"/>
      <c r="F40" s="185"/>
      <c r="G40" s="185"/>
      <c r="H40" s="185"/>
      <c r="I40" s="185"/>
      <c r="J40" s="185"/>
      <c r="K40" s="185"/>
      <c r="L40" s="185"/>
      <c r="M40" s="185"/>
    </row>
    <row r="41" spans="1:13" hidden="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</row>
    <row r="42" spans="1:13" hidden="1">
      <c r="A42" s="186" t="s">
        <v>54</v>
      </c>
      <c r="B42" s="415">
        <v>800474</v>
      </c>
      <c r="C42" s="415"/>
      <c r="D42" s="185"/>
      <c r="E42" s="399" t="s">
        <v>269</v>
      </c>
      <c r="F42" s="399"/>
      <c r="G42" s="167" t="s">
        <v>268</v>
      </c>
      <c r="H42" s="179"/>
      <c r="I42" s="185"/>
      <c r="J42" s="411" t="s">
        <v>55</v>
      </c>
      <c r="K42" s="411"/>
      <c r="L42" s="410"/>
      <c r="M42" s="410"/>
    </row>
    <row r="43" spans="1:13" hidden="1">
      <c r="A43" s="311"/>
      <c r="B43" s="311"/>
      <c r="C43" s="311"/>
      <c r="D43" s="311"/>
      <c r="E43" s="311"/>
      <c r="F43" s="311"/>
      <c r="G43" s="311"/>
      <c r="H43" s="311"/>
      <c r="I43" s="311"/>
      <c r="J43" s="311"/>
      <c r="K43" s="311"/>
      <c r="L43" s="185"/>
      <c r="M43" s="185"/>
    </row>
    <row r="44" spans="1:13">
      <c r="A44" s="310"/>
      <c r="B44" s="310"/>
      <c r="C44" s="310"/>
      <c r="D44" s="191"/>
      <c r="E44" s="185"/>
      <c r="F44" s="185"/>
      <c r="G44" s="185"/>
      <c r="H44" s="310"/>
      <c r="I44" s="194"/>
      <c r="J44" s="194"/>
      <c r="K44" s="195"/>
      <c r="L44" s="185"/>
      <c r="M44" s="310"/>
    </row>
    <row r="45" spans="1:13">
      <c r="A45" s="413" t="s">
        <v>5</v>
      </c>
      <c r="B45" s="425"/>
      <c r="C45" s="425"/>
      <c r="D45" s="425"/>
      <c r="E45" s="425"/>
      <c r="F45" s="414"/>
      <c r="G45" s="408" t="s">
        <v>86</v>
      </c>
      <c r="H45" s="185"/>
      <c r="I45" s="407"/>
      <c r="J45" s="407"/>
      <c r="K45" s="407"/>
      <c r="L45" s="407"/>
      <c r="M45" s="407"/>
    </row>
    <row r="46" spans="1:13">
      <c r="A46" s="196" t="s">
        <v>7</v>
      </c>
      <c r="B46" s="413" t="s">
        <v>57</v>
      </c>
      <c r="C46" s="414"/>
      <c r="D46" s="196" t="s">
        <v>56</v>
      </c>
      <c r="E46" s="413" t="s">
        <v>64</v>
      </c>
      <c r="F46" s="414"/>
      <c r="G46" s="409"/>
      <c r="H46" s="185"/>
      <c r="I46" s="388"/>
      <c r="J46" s="388"/>
      <c r="K46" s="388"/>
      <c r="L46" s="388"/>
      <c r="M46" s="388"/>
    </row>
    <row r="47" spans="1:13">
      <c r="A47" s="197" t="s">
        <v>6</v>
      </c>
      <c r="B47" s="403">
        <v>22</v>
      </c>
      <c r="C47" s="404"/>
      <c r="D47" s="161">
        <v>21.7</v>
      </c>
      <c r="E47" s="405" t="s">
        <v>74</v>
      </c>
      <c r="F47" s="406"/>
      <c r="G47" s="198">
        <v>0.1</v>
      </c>
      <c r="H47" s="185"/>
      <c r="I47" s="388"/>
      <c r="J47" s="388"/>
      <c r="K47" s="388"/>
      <c r="L47" s="388"/>
      <c r="M47" s="388"/>
    </row>
    <row r="48" spans="1:13">
      <c r="A48" s="197" t="s">
        <v>8</v>
      </c>
      <c r="B48" s="403">
        <v>58.5</v>
      </c>
      <c r="C48" s="404"/>
      <c r="D48" s="162">
        <v>43</v>
      </c>
      <c r="E48" s="405" t="s">
        <v>9</v>
      </c>
      <c r="F48" s="406"/>
      <c r="G48" s="199">
        <v>0.1</v>
      </c>
      <c r="H48" s="185"/>
      <c r="I48" s="388"/>
      <c r="J48" s="388"/>
      <c r="K48" s="388"/>
      <c r="L48" s="388"/>
      <c r="M48" s="388"/>
    </row>
    <row r="49" spans="1:13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</row>
    <row r="52" spans="1:13">
      <c r="A52" s="200"/>
      <c r="B52" s="200"/>
      <c r="C52" s="200"/>
    </row>
  </sheetData>
  <sheetProtection formatCells="0"/>
  <mergeCells count="57">
    <mergeCell ref="E46:F46"/>
    <mergeCell ref="A45:F45"/>
    <mergeCell ref="D20:I20"/>
    <mergeCell ref="D25:I25"/>
    <mergeCell ref="A24:M24"/>
    <mergeCell ref="A22:C22"/>
    <mergeCell ref="A25:C25"/>
    <mergeCell ref="A37:D37"/>
    <mergeCell ref="G32:H32"/>
    <mergeCell ref="A36:C36"/>
    <mergeCell ref="A34:C34"/>
    <mergeCell ref="G34:H34"/>
    <mergeCell ref="I34:J34"/>
    <mergeCell ref="L30:M30"/>
    <mergeCell ref="B4:D4"/>
    <mergeCell ref="A13:D13"/>
    <mergeCell ref="A32:C32"/>
    <mergeCell ref="I32:J32"/>
    <mergeCell ref="A28:C28"/>
    <mergeCell ref="J30:K30"/>
    <mergeCell ref="G30:H30"/>
    <mergeCell ref="D30:E30"/>
    <mergeCell ref="D28:G28"/>
    <mergeCell ref="A30:C30"/>
    <mergeCell ref="A27:C27"/>
    <mergeCell ref="I48:M48"/>
    <mergeCell ref="I47:M47"/>
    <mergeCell ref="A38:M38"/>
    <mergeCell ref="B48:C48"/>
    <mergeCell ref="E48:F48"/>
    <mergeCell ref="I46:M46"/>
    <mergeCell ref="I45:M45"/>
    <mergeCell ref="B47:C47"/>
    <mergeCell ref="E47:F47"/>
    <mergeCell ref="G45:G46"/>
    <mergeCell ref="L42:M42"/>
    <mergeCell ref="J42:K42"/>
    <mergeCell ref="B40:D40"/>
    <mergeCell ref="E42:F42"/>
    <mergeCell ref="B46:C46"/>
    <mergeCell ref="B42:C42"/>
    <mergeCell ref="A1:M1"/>
    <mergeCell ref="A21:C21"/>
    <mergeCell ref="D21:I21"/>
    <mergeCell ref="A6:C6"/>
    <mergeCell ref="I4:K4"/>
    <mergeCell ref="I8:K8"/>
    <mergeCell ref="E4:F4"/>
    <mergeCell ref="A20:C20"/>
    <mergeCell ref="A15:M15"/>
    <mergeCell ref="A17:C17"/>
    <mergeCell ref="D17:I17"/>
    <mergeCell ref="D18:I18"/>
    <mergeCell ref="A18:C18"/>
    <mergeCell ref="D19:I19"/>
    <mergeCell ref="A16:E16"/>
    <mergeCell ref="F16:K16"/>
  </mergeCells>
  <phoneticPr fontId="0" type="noConversion"/>
  <pageMargins left="0.44" right="0.34" top="0.25" bottom="0.22" header="0" footer="0"/>
  <pageSetup scale="7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0" r:id="rId4" name="Drop Down 10">
              <controlPr defaultSize="0" autoLine="0" autoPict="0">
                <anchor moveWithCells="1">
                  <from>
                    <xdr:col>4</xdr:col>
                    <xdr:colOff>0</xdr:colOff>
                    <xdr:row>31</xdr:row>
                    <xdr:rowOff>7620</xdr:rowOff>
                  </from>
                  <to>
                    <xdr:col>5</xdr:col>
                    <xdr:colOff>266700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5" name="Drop Down 11">
              <controlPr defaultSize="0" autoLine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876300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6" name="Drop Down 12">
              <controlPr defaultSize="0" autoLine="0" autoPict="0">
                <anchor moveWithCells="1">
                  <from>
                    <xdr:col>11</xdr:col>
                    <xdr:colOff>7620</xdr:colOff>
                    <xdr:row>7</xdr:row>
                    <xdr:rowOff>0</xdr:rowOff>
                  </from>
                  <to>
                    <xdr:col>12</xdr:col>
                    <xdr:colOff>99060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7" name="Drop Down 116">
              <controlPr locked="0" defaultSize="0" autoLine="0" autoPict="0">
                <anchor moveWithCells="1">
                  <from>
                    <xdr:col>4</xdr:col>
                    <xdr:colOff>0</xdr:colOff>
                    <xdr:row>33</xdr:row>
                    <xdr:rowOff>7620</xdr:rowOff>
                  </from>
                  <to>
                    <xdr:col>5</xdr:col>
                    <xdr:colOff>274320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8" name="Drop Down 12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876300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'BD Clientes'!$B$6:$B$370</xm:f>
          </x14:formula1>
          <xm:sqref>F16:K16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4:AJ101"/>
  <sheetViews>
    <sheetView view="pageLayout" topLeftCell="A22" zoomScale="85" zoomScaleNormal="100" zoomScalePageLayoutView="85" workbookViewId="0">
      <selection activeCell="O19" sqref="O19"/>
    </sheetView>
  </sheetViews>
  <sheetFormatPr baseColWidth="10" defaultColWidth="11.33203125" defaultRowHeight="13.2"/>
  <cols>
    <col min="1" max="1" width="3.33203125" customWidth="1"/>
    <col min="2" max="2" width="3" customWidth="1"/>
    <col min="3" max="3" width="3.33203125" customWidth="1"/>
    <col min="4" max="5" width="3.44140625" customWidth="1"/>
    <col min="6" max="24" width="3" customWidth="1"/>
    <col min="25" max="25" width="3.33203125" customWidth="1"/>
    <col min="26" max="26" width="2.88671875" customWidth="1"/>
    <col min="27" max="29" width="3.33203125" customWidth="1"/>
    <col min="30" max="30" width="1.6640625" customWidth="1"/>
    <col min="31" max="31" width="3.33203125" customWidth="1"/>
    <col min="32" max="34" width="11.33203125" customWidth="1"/>
  </cols>
  <sheetData>
    <row r="4" spans="2:30" ht="16.5" customHeight="1"/>
    <row r="5" spans="2:30" ht="16.5" customHeight="1"/>
    <row r="6" spans="2:30" ht="16.5" customHeight="1"/>
    <row r="7" spans="2:30" ht="16.5" customHeight="1"/>
    <row r="8" spans="2:30" ht="13.8">
      <c r="B8" s="254" t="s">
        <v>279</v>
      </c>
      <c r="C8" s="255"/>
      <c r="E8" s="255"/>
      <c r="F8" s="255"/>
      <c r="G8" s="256"/>
      <c r="H8" s="256"/>
      <c r="I8" s="256"/>
      <c r="J8" s="256"/>
      <c r="K8" s="256"/>
      <c r="L8" s="257"/>
      <c r="M8" s="257"/>
      <c r="N8" s="257"/>
      <c r="O8" s="273" t="str">
        <f>'NI-R01-MCIT-D-02'!A53</f>
        <v>NI-MC-D-</v>
      </c>
      <c r="R8" s="273"/>
      <c r="S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</row>
    <row r="9" spans="2:30" ht="13.8">
      <c r="B9" s="254" t="s">
        <v>280</v>
      </c>
      <c r="C9" s="255"/>
      <c r="E9" s="255"/>
      <c r="F9" s="255"/>
      <c r="G9" s="256"/>
      <c r="H9" s="256"/>
      <c r="I9" s="256"/>
      <c r="J9" s="256"/>
      <c r="K9" s="256"/>
      <c r="L9" s="257"/>
      <c r="M9" s="257"/>
      <c r="N9" s="257"/>
      <c r="O9" s="257" t="str">
        <f>'NI-R01-MCIT-D-02'!H8</f>
        <v>NI-CS-0062-23</v>
      </c>
      <c r="R9" s="258"/>
      <c r="S9" s="258"/>
      <c r="U9" s="257"/>
      <c r="V9" s="257"/>
      <c r="W9" s="257"/>
      <c r="X9" s="257"/>
      <c r="Y9" s="257"/>
      <c r="Z9" s="257"/>
      <c r="AA9" s="257"/>
      <c r="AB9" s="257"/>
      <c r="AC9" s="257"/>
      <c r="AD9" s="257"/>
    </row>
    <row r="10" spans="2:30" ht="13.8">
      <c r="B10" s="254" t="s">
        <v>69</v>
      </c>
      <c r="C10" s="259"/>
      <c r="E10" s="259"/>
      <c r="F10" s="259"/>
      <c r="G10" s="256"/>
      <c r="H10" s="256"/>
      <c r="I10" s="256"/>
      <c r="J10" s="256"/>
      <c r="K10" s="256"/>
      <c r="L10" s="260"/>
      <c r="M10" s="257"/>
      <c r="N10" s="257"/>
      <c r="O10" s="545">
        <f>'NI-R01-MCIT-D-02'!H7</f>
        <v>44964</v>
      </c>
      <c r="P10" s="545"/>
      <c r="Q10" s="545"/>
      <c r="R10" s="545"/>
      <c r="S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</row>
    <row r="11" spans="2:30" ht="13.8">
      <c r="B11" s="254" t="s">
        <v>515</v>
      </c>
      <c r="C11" s="259"/>
      <c r="E11" s="259"/>
      <c r="F11" s="259"/>
      <c r="G11" s="256"/>
      <c r="H11" s="256"/>
      <c r="I11" s="256"/>
      <c r="J11" s="256"/>
      <c r="K11" s="256"/>
      <c r="L11" s="260"/>
      <c r="M11" s="257"/>
      <c r="N11" s="257"/>
      <c r="O11" s="545">
        <v>45256</v>
      </c>
      <c r="P11" s="545"/>
      <c r="Q11" s="545"/>
      <c r="R11" s="545"/>
      <c r="S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</row>
    <row r="12" spans="2:30" ht="13.8">
      <c r="B12" s="254" t="s">
        <v>281</v>
      </c>
      <c r="C12" s="259"/>
      <c r="E12" s="259"/>
      <c r="F12" s="259"/>
      <c r="G12" s="256"/>
      <c r="H12" s="256"/>
      <c r="I12" s="256"/>
      <c r="J12" s="256"/>
      <c r="K12" s="256"/>
      <c r="L12" s="257"/>
      <c r="M12" s="257"/>
      <c r="N12" s="257"/>
      <c r="O12" s="257" t="str">
        <f>'NI-R01-MCIT-D-02'!C11</f>
        <v>Micrómetro digital</v>
      </c>
      <c r="R12" s="257"/>
      <c r="S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</row>
    <row r="13" spans="2:30" ht="13.8">
      <c r="B13" s="254" t="s">
        <v>282</v>
      </c>
      <c r="C13" s="259"/>
      <c r="E13" s="259"/>
      <c r="F13" s="259"/>
      <c r="G13" s="256"/>
      <c r="H13" s="256"/>
      <c r="I13" s="256"/>
      <c r="J13" s="256"/>
      <c r="K13" s="256"/>
      <c r="L13" s="257"/>
      <c r="M13" s="257"/>
      <c r="N13" s="257"/>
      <c r="O13" s="257" t="str">
        <f>'NI-R01-MCIT-D-02'!C12</f>
        <v>Mitutoyo</v>
      </c>
      <c r="R13" s="257"/>
      <c r="S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</row>
    <row r="14" spans="2:30" ht="13.8">
      <c r="B14" s="254" t="s">
        <v>49</v>
      </c>
      <c r="C14" s="259"/>
      <c r="E14" s="259"/>
      <c r="F14" s="259"/>
      <c r="G14" s="256"/>
      <c r="H14" s="256"/>
      <c r="I14" s="256"/>
      <c r="J14" s="256"/>
      <c r="K14" s="256"/>
      <c r="L14" s="257"/>
      <c r="M14" s="257"/>
      <c r="N14" s="257"/>
      <c r="O14" s="546">
        <f>'NI-R01-MCIT-D-02'!C13</f>
        <v>66347171</v>
      </c>
      <c r="P14" s="546"/>
      <c r="Q14" s="546"/>
      <c r="R14" s="546"/>
      <c r="S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</row>
    <row r="15" spans="2:30" ht="13.8">
      <c r="B15" s="254" t="s">
        <v>48</v>
      </c>
      <c r="C15" s="259"/>
      <c r="E15" s="259"/>
      <c r="F15" s="259"/>
      <c r="G15" s="256"/>
      <c r="H15" s="256"/>
      <c r="I15" s="256"/>
      <c r="J15" s="256"/>
      <c r="K15" s="256"/>
      <c r="L15" s="257"/>
      <c r="M15" s="257"/>
      <c r="N15" s="257"/>
      <c r="O15" s="546" t="str">
        <f>'NI-R01-MCIT-D-02'!F12</f>
        <v>293-145-30</v>
      </c>
      <c r="P15" s="546"/>
      <c r="Q15" s="546"/>
      <c r="R15" s="546"/>
      <c r="S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</row>
    <row r="16" spans="2:30" ht="13.8">
      <c r="B16" s="254" t="s">
        <v>283</v>
      </c>
      <c r="C16" s="259"/>
      <c r="E16" s="259"/>
      <c r="F16" s="259"/>
      <c r="G16" s="256"/>
      <c r="H16" s="256"/>
      <c r="I16" s="256"/>
      <c r="J16" s="256"/>
      <c r="K16" s="256"/>
      <c r="L16" s="257"/>
      <c r="M16" s="257"/>
      <c r="N16" s="257"/>
      <c r="O16" s="546" t="str">
        <f>'NI-R01-MCIT-D-02'!C14</f>
        <v>0 mm a 150 mm</v>
      </c>
      <c r="P16" s="546"/>
      <c r="Q16" s="546"/>
      <c r="R16" s="546"/>
      <c r="S16" s="546"/>
      <c r="T16" s="546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</row>
    <row r="17" spans="1:36" ht="13.8">
      <c r="B17" s="254" t="s">
        <v>53</v>
      </c>
      <c r="C17" s="259"/>
      <c r="E17" s="259"/>
      <c r="F17" s="259"/>
      <c r="G17" s="256"/>
      <c r="H17" s="256"/>
      <c r="I17" s="256"/>
      <c r="J17" s="256"/>
      <c r="K17" s="256"/>
      <c r="L17" s="257"/>
      <c r="M17" s="257"/>
      <c r="N17" s="257"/>
      <c r="O17" s="546">
        <f>'NI-R01-MCIT-D-02'!C15</f>
        <v>0.01</v>
      </c>
      <c r="P17" s="546"/>
      <c r="Q17" s="547" t="str">
        <f>'NI-R01-MCIT-D-02'!F11</f>
        <v>mm</v>
      </c>
      <c r="R17" s="547"/>
      <c r="S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</row>
    <row r="18" spans="1:36" ht="13.8">
      <c r="B18" s="254" t="s">
        <v>284</v>
      </c>
      <c r="C18" s="259"/>
      <c r="E18" s="259"/>
      <c r="F18" s="259"/>
      <c r="G18" s="256"/>
      <c r="H18" s="256"/>
      <c r="I18" s="256"/>
      <c r="J18" s="256"/>
      <c r="K18" s="256"/>
      <c r="L18" s="257"/>
      <c r="M18" s="257"/>
      <c r="N18" s="257"/>
      <c r="O18" s="546" t="str">
        <f>'NI-R01-MCIT-D-02'!F13</f>
        <v>NIC-M-045</v>
      </c>
      <c r="P18" s="546"/>
      <c r="Q18" s="546"/>
      <c r="R18" s="546"/>
      <c r="S18" s="546"/>
      <c r="T18" s="546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</row>
    <row r="19" spans="1:36" ht="13.8">
      <c r="B19" s="254" t="s">
        <v>285</v>
      </c>
      <c r="C19" s="259"/>
      <c r="E19" s="259"/>
      <c r="F19" s="259"/>
      <c r="G19" s="256"/>
      <c r="H19" s="256"/>
      <c r="I19" s="256"/>
      <c r="J19" s="256"/>
      <c r="K19" s="256"/>
      <c r="L19" s="257"/>
      <c r="M19" s="257"/>
      <c r="N19" s="257"/>
      <c r="O19" s="257" t="str">
        <f>'NI-R01-MCIT-D-02'!B7</f>
        <v>Industria Nacional de Refrescos, S.A. (FEMSA)</v>
      </c>
      <c r="R19" s="257"/>
      <c r="S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</row>
    <row r="20" spans="1:36" ht="13.8">
      <c r="B20" s="261" t="s">
        <v>286</v>
      </c>
      <c r="C20" s="259"/>
      <c r="D20" s="259"/>
      <c r="E20" s="259"/>
      <c r="F20" s="259"/>
      <c r="G20" s="256"/>
      <c r="H20" s="256"/>
      <c r="I20" s="256"/>
      <c r="J20" s="256"/>
      <c r="K20" s="256"/>
      <c r="L20" s="262"/>
      <c r="M20" s="257"/>
      <c r="N20" s="257"/>
      <c r="O20" s="546" t="str">
        <f>VLOOKUP(O19,'BD Clientes'!B6:D371,2,FALSE)</f>
        <v>km 4,5 Carretera Norte</v>
      </c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46"/>
      <c r="AB20" s="546"/>
      <c r="AC20" s="546"/>
      <c r="AD20" s="257"/>
    </row>
    <row r="21" spans="1:36" ht="13.8">
      <c r="B21" s="254" t="s">
        <v>287</v>
      </c>
      <c r="C21" s="259"/>
      <c r="D21" s="259"/>
      <c r="E21" s="259"/>
      <c r="F21" s="259"/>
      <c r="G21" s="256"/>
      <c r="H21" s="256"/>
      <c r="I21" s="256"/>
      <c r="J21" s="256"/>
      <c r="K21" s="256"/>
      <c r="L21" s="257"/>
      <c r="M21" s="257"/>
      <c r="N21" s="257"/>
      <c r="O21" s="257" t="str">
        <f>'NI-R01-MCIT-D-02'!C8</f>
        <v xml:space="preserve">Labotarorio de Calidad </v>
      </c>
      <c r="R21" s="257"/>
      <c r="S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</row>
    <row r="22" spans="1:36" ht="12" customHeight="1">
      <c r="B22" s="254"/>
      <c r="O22" s="546"/>
      <c r="P22" s="546"/>
      <c r="Q22" s="546"/>
      <c r="R22" s="546"/>
      <c r="S22" s="546"/>
      <c r="T22" s="546"/>
      <c r="U22" s="546"/>
      <c r="V22" s="546"/>
      <c r="W22" s="546"/>
      <c r="X22" s="546"/>
      <c r="Y22" s="546"/>
      <c r="Z22" s="546"/>
    </row>
    <row r="23" spans="1:36">
      <c r="A23" s="254" t="s">
        <v>288</v>
      </c>
      <c r="C23" s="259"/>
      <c r="D23" s="259"/>
      <c r="E23" s="259"/>
      <c r="F23" s="259"/>
      <c r="AI23" s="257"/>
      <c r="AJ23" s="257"/>
    </row>
    <row r="24" spans="1:36">
      <c r="A24" s="254"/>
      <c r="C24" s="259"/>
      <c r="D24" s="259"/>
      <c r="E24" s="259"/>
      <c r="F24" s="259"/>
      <c r="AI24" s="257"/>
      <c r="AJ24" s="257"/>
    </row>
    <row r="25" spans="1:36" ht="13.2" customHeight="1">
      <c r="C25" s="548" t="s">
        <v>308</v>
      </c>
      <c r="D25" s="548"/>
      <c r="E25" s="548"/>
      <c r="F25" s="548"/>
      <c r="G25" s="548"/>
      <c r="H25" s="548"/>
      <c r="I25" s="548"/>
      <c r="J25" s="548"/>
      <c r="K25" s="548"/>
      <c r="L25" s="548"/>
      <c r="M25" s="548"/>
      <c r="N25" s="548"/>
      <c r="O25" s="548"/>
      <c r="P25" s="548"/>
      <c r="Q25" s="548"/>
      <c r="R25" s="548"/>
      <c r="S25" s="548"/>
      <c r="T25" s="548"/>
      <c r="U25" s="548"/>
      <c r="V25" s="548"/>
      <c r="W25" s="548"/>
      <c r="X25" s="548"/>
      <c r="Y25" s="548"/>
      <c r="Z25" s="548"/>
      <c r="AA25" s="548"/>
      <c r="AI25" s="257"/>
      <c r="AJ25" s="257"/>
    </row>
    <row r="26" spans="1:36" ht="15" customHeight="1">
      <c r="C26" s="548"/>
      <c r="D26" s="548"/>
      <c r="E26" s="548"/>
      <c r="F26" s="548"/>
      <c r="G26" s="548"/>
      <c r="H26" s="548"/>
      <c r="I26" s="548"/>
      <c r="J26" s="548"/>
      <c r="K26" s="548"/>
      <c r="L26" s="548"/>
      <c r="M26" s="548"/>
      <c r="N26" s="548"/>
      <c r="O26" s="548"/>
      <c r="P26" s="548"/>
      <c r="Q26" s="548"/>
      <c r="R26" s="548"/>
      <c r="S26" s="548"/>
      <c r="T26" s="548"/>
      <c r="U26" s="548"/>
      <c r="V26" s="548"/>
      <c r="W26" s="548"/>
      <c r="X26" s="548"/>
      <c r="Y26" s="548"/>
      <c r="Z26" s="548"/>
      <c r="AA26" s="548"/>
      <c r="AI26" s="257"/>
      <c r="AJ26" s="257"/>
    </row>
    <row r="27" spans="1:36" ht="14.25" customHeight="1">
      <c r="C27" s="548" t="s">
        <v>36</v>
      </c>
      <c r="D27" s="548"/>
      <c r="E27" s="548"/>
      <c r="F27" s="548" t="s">
        <v>309</v>
      </c>
      <c r="G27" s="548"/>
      <c r="H27" s="548"/>
      <c r="I27" s="548"/>
      <c r="J27" s="548"/>
      <c r="K27" s="548" t="s">
        <v>313</v>
      </c>
      <c r="L27" s="548"/>
      <c r="M27" s="548"/>
      <c r="N27" s="548"/>
      <c r="O27" s="548"/>
      <c r="P27" s="548"/>
      <c r="Q27" s="548" t="s">
        <v>314</v>
      </c>
      <c r="R27" s="548"/>
      <c r="S27" s="548"/>
      <c r="T27" s="548"/>
      <c r="U27" s="548"/>
      <c r="V27" s="548"/>
      <c r="W27" s="548" t="s">
        <v>315</v>
      </c>
      <c r="X27" s="548"/>
      <c r="Y27" s="548"/>
      <c r="Z27" s="548"/>
      <c r="AA27" s="548"/>
      <c r="AI27" s="257"/>
      <c r="AJ27" s="257"/>
    </row>
    <row r="28" spans="1:36">
      <c r="C28" s="548"/>
      <c r="D28" s="548"/>
      <c r="E28" s="548"/>
      <c r="F28" s="548"/>
      <c r="G28" s="548"/>
      <c r="H28" s="548"/>
      <c r="I28" s="548"/>
      <c r="J28" s="548"/>
      <c r="K28" s="548"/>
      <c r="L28" s="548"/>
      <c r="M28" s="548"/>
      <c r="N28" s="548"/>
      <c r="O28" s="548"/>
      <c r="P28" s="548"/>
      <c r="Q28" s="548"/>
      <c r="R28" s="548"/>
      <c r="S28" s="548"/>
      <c r="T28" s="548"/>
      <c r="U28" s="548"/>
      <c r="V28" s="548"/>
      <c r="W28" s="548"/>
      <c r="X28" s="548"/>
      <c r="Y28" s="548"/>
      <c r="Z28" s="548"/>
      <c r="AA28" s="548"/>
      <c r="AI28" s="257"/>
      <c r="AJ28" s="257"/>
    </row>
    <row r="29" spans="1:36"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  <c r="P29" s="548"/>
      <c r="Q29" s="548"/>
      <c r="R29" s="548"/>
      <c r="S29" s="548"/>
      <c r="T29" s="548"/>
      <c r="U29" s="548"/>
      <c r="V29" s="548"/>
      <c r="W29" s="548"/>
      <c r="X29" s="548"/>
      <c r="Y29" s="548"/>
      <c r="Z29" s="548"/>
      <c r="AA29" s="548"/>
      <c r="AI29" s="257"/>
      <c r="AJ29" s="257"/>
    </row>
    <row r="30" spans="1:36">
      <c r="C30" s="509" t="str">
        <f>Resultados!A10</f>
        <v>mm</v>
      </c>
      <c r="D30" s="509"/>
      <c r="E30" s="509"/>
      <c r="F30" s="509" t="str">
        <f>Resultados!C20</f>
        <v>(mm)</v>
      </c>
      <c r="G30" s="509"/>
      <c r="H30" s="509"/>
      <c r="I30" s="509"/>
      <c r="J30" s="509"/>
      <c r="K30" s="554" t="s">
        <v>84</v>
      </c>
      <c r="L30" s="555"/>
      <c r="M30" s="555"/>
      <c r="N30" s="555" t="s">
        <v>317</v>
      </c>
      <c r="O30" s="555"/>
      <c r="P30" s="508"/>
      <c r="Q30" s="554" t="str">
        <f>Resultados!Q20</f>
        <v>(μm)</v>
      </c>
      <c r="R30" s="555"/>
      <c r="S30" s="555"/>
      <c r="T30" s="555" t="s">
        <v>317</v>
      </c>
      <c r="U30" s="555"/>
      <c r="V30" s="508"/>
      <c r="W30" s="509" t="str">
        <f>Resultados!R20</f>
        <v>(μm)</v>
      </c>
      <c r="X30" s="509"/>
      <c r="Y30" s="509"/>
      <c r="Z30" s="509"/>
      <c r="AA30" s="509"/>
      <c r="AI30" s="257"/>
      <c r="AJ30" s="257"/>
    </row>
    <row r="31" spans="1:36">
      <c r="C31" s="527">
        <f>Resultados!A11</f>
        <v>0</v>
      </c>
      <c r="D31" s="527"/>
      <c r="E31" s="527"/>
      <c r="F31" s="528">
        <f>C31</f>
        <v>0</v>
      </c>
      <c r="G31" s="528"/>
      <c r="H31" s="528"/>
      <c r="I31" s="528"/>
      <c r="J31" s="528"/>
      <c r="K31" s="529">
        <f>IF(Resultados!$L$10="(mm)",Resultados!L11,IF(Resultados!$L$10="(plg)",Resultados!L11*25.4,"ERROR"))</f>
        <v>0</v>
      </c>
      <c r="L31" s="530"/>
      <c r="M31" s="530"/>
      <c r="N31" s="530">
        <f t="shared" ref="N31:N37" si="0">K31/25.4</f>
        <v>0</v>
      </c>
      <c r="O31" s="530"/>
      <c r="P31" s="531"/>
      <c r="Q31" s="532">
        <f>Resultados!M11</f>
        <v>0</v>
      </c>
      <c r="R31" s="533"/>
      <c r="S31" s="533"/>
      <c r="T31" s="533">
        <f t="shared" ref="T31:T37" si="1">Q31/1000/25.4</f>
        <v>0</v>
      </c>
      <c r="U31" s="533"/>
      <c r="V31" s="534"/>
      <c r="W31" s="527" t="e">
        <f>Resultados!AD21</f>
        <v>#DIV/0!</v>
      </c>
      <c r="X31" s="527"/>
      <c r="Y31" s="527"/>
      <c r="Z31" s="527"/>
      <c r="AA31" s="527"/>
      <c r="AI31" s="257"/>
      <c r="AJ31" s="257"/>
    </row>
    <row r="32" spans="1:36">
      <c r="C32" s="527">
        <f>Resultados!B21</f>
        <v>0</v>
      </c>
      <c r="D32" s="527"/>
      <c r="E32" s="527"/>
      <c r="F32" s="528">
        <f>Resultados!C21</f>
        <v>0</v>
      </c>
      <c r="G32" s="528"/>
      <c r="H32" s="528"/>
      <c r="I32" s="528"/>
      <c r="J32" s="528"/>
      <c r="K32" s="529">
        <f>IF(Resultados!$O$20="(mm)",Resultados!O21,IF(Resultados!$O$20="(plg)",Resultados!O21*25.4,"ERROR"))</f>
        <v>0</v>
      </c>
      <c r="L32" s="530"/>
      <c r="M32" s="530"/>
      <c r="N32" s="530">
        <f t="shared" si="0"/>
        <v>0</v>
      </c>
      <c r="O32" s="530"/>
      <c r="P32" s="531"/>
      <c r="Q32" s="532">
        <f>Resultados!Q21</f>
        <v>0</v>
      </c>
      <c r="R32" s="533"/>
      <c r="S32" s="533"/>
      <c r="T32" s="533">
        <f t="shared" si="1"/>
        <v>0</v>
      </c>
      <c r="U32" s="533"/>
      <c r="V32" s="534"/>
      <c r="W32" s="527" t="e">
        <f>Resultados!AD22</f>
        <v>#DIV/0!</v>
      </c>
      <c r="X32" s="527"/>
      <c r="Y32" s="527"/>
      <c r="Z32" s="527"/>
      <c r="AA32" s="527"/>
      <c r="AI32" s="257"/>
      <c r="AJ32" s="257"/>
    </row>
    <row r="33" spans="1:36">
      <c r="C33" s="527">
        <f>Resultados!B22</f>
        <v>0</v>
      </c>
      <c r="D33" s="527"/>
      <c r="E33" s="527"/>
      <c r="F33" s="528">
        <f>Resultados!C22</f>
        <v>0</v>
      </c>
      <c r="G33" s="528"/>
      <c r="H33" s="528"/>
      <c r="I33" s="528"/>
      <c r="J33" s="528"/>
      <c r="K33" s="529">
        <f>IF(Resultados!$O$20="(mm)",Resultados!O22,IF(Resultados!$O$20="(plg)",Resultados!O22*25.4,"ERROR"))</f>
        <v>0</v>
      </c>
      <c r="L33" s="530"/>
      <c r="M33" s="530"/>
      <c r="N33" s="530">
        <f t="shared" si="0"/>
        <v>0</v>
      </c>
      <c r="O33" s="530"/>
      <c r="P33" s="531"/>
      <c r="Q33" s="532">
        <f>Resultados!Q22</f>
        <v>0</v>
      </c>
      <c r="R33" s="533"/>
      <c r="S33" s="533"/>
      <c r="T33" s="533">
        <f t="shared" si="1"/>
        <v>0</v>
      </c>
      <c r="U33" s="533"/>
      <c r="V33" s="534"/>
      <c r="W33" s="527" t="e">
        <f>Resultados!AD23</f>
        <v>#DIV/0!</v>
      </c>
      <c r="X33" s="527"/>
      <c r="Y33" s="527"/>
      <c r="Z33" s="527"/>
      <c r="AA33" s="527"/>
      <c r="AI33" s="257"/>
      <c r="AJ33" s="257"/>
    </row>
    <row r="34" spans="1:36">
      <c r="C34" s="527">
        <f>Resultados!B23</f>
        <v>0</v>
      </c>
      <c r="D34" s="527"/>
      <c r="E34" s="527"/>
      <c r="F34" s="528">
        <f>Resultados!C23</f>
        <v>0</v>
      </c>
      <c r="G34" s="528"/>
      <c r="H34" s="528"/>
      <c r="I34" s="528"/>
      <c r="J34" s="528"/>
      <c r="K34" s="529">
        <f>IF(Resultados!$O$20="(mm)",Resultados!O23,IF(Resultados!$O$20="(plg)",Resultados!O23*25.4,"ERROR"))</f>
        <v>0</v>
      </c>
      <c r="L34" s="530"/>
      <c r="M34" s="530"/>
      <c r="N34" s="530">
        <f t="shared" si="0"/>
        <v>0</v>
      </c>
      <c r="O34" s="530"/>
      <c r="P34" s="531"/>
      <c r="Q34" s="532">
        <f>Resultados!Q23</f>
        <v>0</v>
      </c>
      <c r="R34" s="533"/>
      <c r="S34" s="533"/>
      <c r="T34" s="533">
        <f t="shared" si="1"/>
        <v>0</v>
      </c>
      <c r="U34" s="533"/>
      <c r="V34" s="534"/>
      <c r="W34" s="527" t="e">
        <f>Resultados!AD24</f>
        <v>#DIV/0!</v>
      </c>
      <c r="X34" s="527"/>
      <c r="Y34" s="527"/>
      <c r="Z34" s="527"/>
      <c r="AA34" s="527"/>
      <c r="AI34" s="257"/>
      <c r="AJ34" s="257"/>
    </row>
    <row r="35" spans="1:36">
      <c r="C35" s="527">
        <f>Resultados!B24</f>
        <v>0</v>
      </c>
      <c r="D35" s="527"/>
      <c r="E35" s="527"/>
      <c r="F35" s="528">
        <f>Resultados!C24</f>
        <v>0</v>
      </c>
      <c r="G35" s="528"/>
      <c r="H35" s="528"/>
      <c r="I35" s="528"/>
      <c r="J35" s="528"/>
      <c r="K35" s="529">
        <f>IF(Resultados!$O$20="(mm)",Resultados!O24,IF(Resultados!$O$20="(plg)",Resultados!O24*25.4,"ERROR"))</f>
        <v>0</v>
      </c>
      <c r="L35" s="530"/>
      <c r="M35" s="530"/>
      <c r="N35" s="530">
        <f t="shared" si="0"/>
        <v>0</v>
      </c>
      <c r="O35" s="530"/>
      <c r="P35" s="531"/>
      <c r="Q35" s="532">
        <f>Resultados!Q24</f>
        <v>0</v>
      </c>
      <c r="R35" s="533"/>
      <c r="S35" s="533"/>
      <c r="T35" s="533">
        <f t="shared" si="1"/>
        <v>0</v>
      </c>
      <c r="U35" s="533"/>
      <c r="V35" s="534"/>
      <c r="W35" s="527" t="e">
        <f>Resultados!AD25</f>
        <v>#DIV/0!</v>
      </c>
      <c r="X35" s="527"/>
      <c r="Y35" s="527"/>
      <c r="Z35" s="527"/>
      <c r="AA35" s="527"/>
      <c r="AI35" s="257"/>
      <c r="AJ35" s="257"/>
    </row>
    <row r="36" spans="1:36">
      <c r="C36" s="527">
        <f>Resultados!B25</f>
        <v>0</v>
      </c>
      <c r="D36" s="527"/>
      <c r="E36" s="527"/>
      <c r="F36" s="528">
        <f>Resultados!C25</f>
        <v>0</v>
      </c>
      <c r="G36" s="528"/>
      <c r="H36" s="528"/>
      <c r="I36" s="528"/>
      <c r="J36" s="528"/>
      <c r="K36" s="529">
        <f>IF(Resultados!$O$20="(mm)",Resultados!O25,IF(Resultados!$O$20="(plg)",Resultados!O25*25.4,"ERROR"))</f>
        <v>0</v>
      </c>
      <c r="L36" s="530"/>
      <c r="M36" s="530"/>
      <c r="N36" s="530">
        <f t="shared" si="0"/>
        <v>0</v>
      </c>
      <c r="O36" s="530"/>
      <c r="P36" s="531"/>
      <c r="Q36" s="532">
        <f>Resultados!Q25</f>
        <v>0</v>
      </c>
      <c r="R36" s="533"/>
      <c r="S36" s="533"/>
      <c r="T36" s="533">
        <f t="shared" si="1"/>
        <v>0</v>
      </c>
      <c r="U36" s="533"/>
      <c r="V36" s="534"/>
      <c r="W36" s="527" t="e">
        <f>Resultados!AD26</f>
        <v>#DIV/0!</v>
      </c>
      <c r="X36" s="527"/>
      <c r="Y36" s="527"/>
      <c r="Z36" s="527"/>
      <c r="AA36" s="527"/>
      <c r="AI36" s="257"/>
      <c r="AJ36" s="257"/>
    </row>
    <row r="37" spans="1:36">
      <c r="C37" s="527">
        <f>Resultados!B26</f>
        <v>0</v>
      </c>
      <c r="D37" s="527"/>
      <c r="E37" s="527"/>
      <c r="F37" s="528">
        <f>Resultados!C26</f>
        <v>0</v>
      </c>
      <c r="G37" s="528"/>
      <c r="H37" s="528"/>
      <c r="I37" s="528"/>
      <c r="J37" s="528"/>
      <c r="K37" s="529">
        <f>IF(Resultados!$O$20="(mm)",Resultados!O26,IF(Resultados!$O$20="(plg)",Resultados!O26*25.4,"ERROR"))</f>
        <v>0</v>
      </c>
      <c r="L37" s="530"/>
      <c r="M37" s="530"/>
      <c r="N37" s="530">
        <f t="shared" si="0"/>
        <v>0</v>
      </c>
      <c r="O37" s="530"/>
      <c r="P37" s="531"/>
      <c r="Q37" s="532">
        <f>Resultados!Q26</f>
        <v>0</v>
      </c>
      <c r="R37" s="533"/>
      <c r="S37" s="533"/>
      <c r="T37" s="533">
        <f t="shared" si="1"/>
        <v>0</v>
      </c>
      <c r="U37" s="533"/>
      <c r="V37" s="534"/>
      <c r="W37" s="527" t="e">
        <f>Resultados!AD27</f>
        <v>#DIV/0!</v>
      </c>
      <c r="X37" s="527"/>
      <c r="Y37" s="527"/>
      <c r="Z37" s="527"/>
      <c r="AA37" s="527"/>
      <c r="AI37" s="257"/>
      <c r="AJ37" s="257"/>
    </row>
    <row r="38" spans="1:36">
      <c r="C38" s="527">
        <f>Resultados!B27</f>
        <v>0</v>
      </c>
      <c r="D38" s="527"/>
      <c r="E38" s="527"/>
      <c r="F38" s="528">
        <f>Resultados!C27</f>
        <v>0</v>
      </c>
      <c r="G38" s="528"/>
      <c r="H38" s="528"/>
      <c r="I38" s="528"/>
      <c r="J38" s="528"/>
      <c r="K38" s="529">
        <f>IF(Resultados!$O$20="(mm)",Resultados!O27,IF(Resultados!$O$20="(plg)",Resultados!O27*25.4,"ERROR"))</f>
        <v>0</v>
      </c>
      <c r="L38" s="530"/>
      <c r="M38" s="530"/>
      <c r="N38" s="530">
        <f t="shared" ref="N38:N40" si="2">K38/25.4</f>
        <v>0</v>
      </c>
      <c r="O38" s="530"/>
      <c r="P38" s="531"/>
      <c r="Q38" s="532">
        <f>Resultados!Q27</f>
        <v>0</v>
      </c>
      <c r="R38" s="533"/>
      <c r="S38" s="533"/>
      <c r="T38" s="533">
        <f t="shared" ref="T38:T40" si="3">Q38/1000/25.4</f>
        <v>0</v>
      </c>
      <c r="U38" s="533"/>
      <c r="V38" s="534"/>
      <c r="W38" s="527" t="e">
        <f>Resultados!AD28</f>
        <v>#DIV/0!</v>
      </c>
      <c r="X38" s="527"/>
      <c r="Y38" s="527"/>
      <c r="Z38" s="527"/>
      <c r="AA38" s="527"/>
      <c r="AI38" s="257"/>
      <c r="AJ38" s="257"/>
    </row>
    <row r="39" spans="1:36">
      <c r="C39" s="527">
        <f>Resultados!B28</f>
        <v>0</v>
      </c>
      <c r="D39" s="527"/>
      <c r="E39" s="527"/>
      <c r="F39" s="528">
        <f>Resultados!C28</f>
        <v>0</v>
      </c>
      <c r="G39" s="528"/>
      <c r="H39" s="528"/>
      <c r="I39" s="528"/>
      <c r="J39" s="528"/>
      <c r="K39" s="529">
        <f>IF(Resultados!$O$20="(mm)",Resultados!O28,IF(Resultados!$O$20="(plg)",Resultados!O28*25.4,"ERROR"))</f>
        <v>0</v>
      </c>
      <c r="L39" s="530"/>
      <c r="M39" s="530"/>
      <c r="N39" s="530">
        <f t="shared" si="2"/>
        <v>0</v>
      </c>
      <c r="O39" s="530"/>
      <c r="P39" s="531"/>
      <c r="Q39" s="532">
        <f>Resultados!Q28</f>
        <v>0</v>
      </c>
      <c r="R39" s="533"/>
      <c r="S39" s="533"/>
      <c r="T39" s="533">
        <f t="shared" si="3"/>
        <v>0</v>
      </c>
      <c r="U39" s="533"/>
      <c r="V39" s="534"/>
      <c r="W39" s="527" t="e">
        <f>Resultados!AD29</f>
        <v>#DIV/0!</v>
      </c>
      <c r="X39" s="527"/>
      <c r="Y39" s="527"/>
      <c r="Z39" s="527"/>
      <c r="AA39" s="527"/>
      <c r="AI39" s="257"/>
      <c r="AJ39" s="257"/>
    </row>
    <row r="40" spans="1:36">
      <c r="C40" s="527">
        <f>Resultados!B29</f>
        <v>0</v>
      </c>
      <c r="D40" s="527"/>
      <c r="E40" s="527"/>
      <c r="F40" s="528">
        <f>Resultados!C29</f>
        <v>0</v>
      </c>
      <c r="G40" s="528"/>
      <c r="H40" s="528"/>
      <c r="I40" s="528"/>
      <c r="J40" s="528"/>
      <c r="K40" s="529">
        <f>IF(Resultados!$O$20="(mm)",Resultados!O29,IF(Resultados!$O$20="(plg)",Resultados!O29*25.4,"ERROR"))</f>
        <v>0</v>
      </c>
      <c r="L40" s="530"/>
      <c r="M40" s="530"/>
      <c r="N40" s="530">
        <f t="shared" si="2"/>
        <v>0</v>
      </c>
      <c r="O40" s="530"/>
      <c r="P40" s="531"/>
      <c r="Q40" s="532">
        <f>Resultados!Q29</f>
        <v>0</v>
      </c>
      <c r="R40" s="533"/>
      <c r="S40" s="533"/>
      <c r="T40" s="533">
        <f t="shared" si="3"/>
        <v>0</v>
      </c>
      <c r="U40" s="533"/>
      <c r="V40" s="534"/>
      <c r="W40" s="527" t="e">
        <f>Resultados!AD30</f>
        <v>#DIV/0!</v>
      </c>
      <c r="X40" s="527"/>
      <c r="Y40" s="527"/>
      <c r="Z40" s="527"/>
      <c r="AA40" s="527"/>
      <c r="AI40" s="257"/>
      <c r="AJ40" s="257"/>
    </row>
    <row r="41" spans="1:36">
      <c r="C41" s="527">
        <f>Resultados!B30</f>
        <v>0</v>
      </c>
      <c r="D41" s="527"/>
      <c r="E41" s="527"/>
      <c r="F41" s="528">
        <f>Resultados!C30</f>
        <v>0</v>
      </c>
      <c r="G41" s="528"/>
      <c r="H41" s="528"/>
      <c r="I41" s="528"/>
      <c r="J41" s="528"/>
      <c r="K41" s="529">
        <f>IF(Resultados!$O$20="(mm)",Resultados!O30,IF(Resultados!$O$20="(plg)",Resultados!O30*25.4,"ERROR"))</f>
        <v>0</v>
      </c>
      <c r="L41" s="530"/>
      <c r="M41" s="530"/>
      <c r="N41" s="530">
        <f t="shared" ref="N41" si="4">K41/25.4</f>
        <v>0</v>
      </c>
      <c r="O41" s="530"/>
      <c r="P41" s="531"/>
      <c r="Q41" s="532">
        <f>Resultados!Q30</f>
        <v>0</v>
      </c>
      <c r="R41" s="533"/>
      <c r="S41" s="533"/>
      <c r="T41" s="533">
        <f t="shared" ref="T41" si="5">Q41/1000/25.4</f>
        <v>0</v>
      </c>
      <c r="U41" s="533"/>
      <c r="V41" s="534"/>
      <c r="W41" s="527" t="e">
        <f>Resultados!AD31</f>
        <v>#DIV/0!</v>
      </c>
      <c r="X41" s="527"/>
      <c r="Y41" s="527"/>
      <c r="Z41" s="527"/>
      <c r="AA41" s="527"/>
      <c r="AI41" s="257"/>
      <c r="AJ41" s="257"/>
    </row>
    <row r="42" spans="1:36">
      <c r="C42" s="527">
        <f>Resultados!B31</f>
        <v>0</v>
      </c>
      <c r="D42" s="527"/>
      <c r="E42" s="527"/>
      <c r="F42" s="528">
        <f>Resultados!C31</f>
        <v>0</v>
      </c>
      <c r="G42" s="528"/>
      <c r="H42" s="528"/>
      <c r="I42" s="528"/>
      <c r="J42" s="528"/>
      <c r="K42" s="529">
        <f>IF(Resultados!$O$20="(mm)",Resultados!O31,IF(Resultados!$O$20="(plg)",Resultados!O31*25.4,"ERROR"))</f>
        <v>0</v>
      </c>
      <c r="L42" s="530"/>
      <c r="M42" s="530"/>
      <c r="N42" s="530">
        <f t="shared" ref="N42" si="6">K42/25.4</f>
        <v>0</v>
      </c>
      <c r="O42" s="530"/>
      <c r="P42" s="531"/>
      <c r="Q42" s="532">
        <f>Resultados!Q31</f>
        <v>0</v>
      </c>
      <c r="R42" s="533"/>
      <c r="S42" s="533"/>
      <c r="T42" s="533">
        <f t="shared" ref="T42" si="7">Q42/1000/25.4</f>
        <v>0</v>
      </c>
      <c r="U42" s="533"/>
      <c r="V42" s="534"/>
      <c r="W42" s="527" t="e">
        <f>Resultados!AD32</f>
        <v>#DIV/0!</v>
      </c>
      <c r="X42" s="527"/>
      <c r="Y42" s="527"/>
      <c r="Z42" s="527"/>
      <c r="AA42" s="527"/>
      <c r="AI42" s="257"/>
      <c r="AJ42" s="257"/>
    </row>
    <row r="43" spans="1:36"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W43" s="272"/>
      <c r="X43" s="272"/>
      <c r="AI43" s="257"/>
      <c r="AJ43" s="257"/>
    </row>
    <row r="44" spans="1:36">
      <c r="A44" s="254" t="s">
        <v>289</v>
      </c>
      <c r="B44" s="257"/>
      <c r="D44" s="257"/>
      <c r="E44" s="257"/>
      <c r="F44" s="257"/>
      <c r="G44" s="257"/>
      <c r="H44" s="257"/>
      <c r="I44" s="257"/>
      <c r="J44" s="257"/>
      <c r="K44" s="257"/>
      <c r="L44" s="257"/>
      <c r="M44" s="257"/>
      <c r="N44" s="257"/>
    </row>
    <row r="45" spans="1:36">
      <c r="A45" s="257"/>
      <c r="B45" s="257"/>
      <c r="C45" s="552" t="s">
        <v>290</v>
      </c>
      <c r="D45" s="552"/>
      <c r="E45" s="552"/>
      <c r="F45" s="552"/>
      <c r="G45" s="542">
        <f>AVERAGE('NI-R01-MCIT-D-02'!B19:B20)</f>
        <v>22.5</v>
      </c>
      <c r="H45" s="542"/>
      <c r="I45" s="263" t="s">
        <v>10</v>
      </c>
      <c r="J45" s="542">
        <f>IF(Resultados!Z66=1,AVERAGE(Resultados!AE69,Resultados!AG69),IF(Resultados!Z66=2,AVERAGE(Resultados!AE70,Resultados!AG70),IF(Resultados!Z66=3,AVERAGE(Resultados!AE71,Resultados!AG71),"Error")))</f>
        <v>0.60000000000000009</v>
      </c>
      <c r="K45" s="542"/>
      <c r="L45" t="s">
        <v>291</v>
      </c>
      <c r="M45" s="546" t="s">
        <v>185</v>
      </c>
      <c r="N45" s="546"/>
      <c r="O45" s="546"/>
      <c r="AI45" s="254"/>
      <c r="AJ45" s="257"/>
    </row>
    <row r="46" spans="1:36">
      <c r="A46" s="257"/>
      <c r="B46" s="541" t="s">
        <v>292</v>
      </c>
      <c r="C46" s="541"/>
      <c r="D46" s="541"/>
      <c r="E46" s="541"/>
      <c r="F46" s="541"/>
      <c r="G46" s="542">
        <f>AVERAGE('NI-R01-MCIT-D-02'!C19)</f>
        <v>59.6</v>
      </c>
      <c r="H46" s="542"/>
      <c r="I46" s="263" t="s">
        <v>10</v>
      </c>
      <c r="J46" s="542">
        <f>IF(Resultados!Z66=1,AVERAGE(Resultados!AF69,Resultados!AH69),IF(Resultados!Z66=2,AVERAGE(Resultados!AF70,Resultados!AH70),IF(Resultados!Z66=3,AVERAGE(Resultados!AF71,Resultados!AH71),"Error")))</f>
        <v>2.2000000000000002</v>
      </c>
      <c r="K46" s="542"/>
      <c r="L46" t="s">
        <v>291</v>
      </c>
      <c r="M46" s="546" t="s">
        <v>293</v>
      </c>
      <c r="N46" s="546"/>
      <c r="O46" s="546"/>
    </row>
    <row r="47" spans="1:36">
      <c r="A47" s="264"/>
      <c r="B47" s="264"/>
      <c r="C47" s="264"/>
      <c r="D47" s="264"/>
      <c r="E47" s="265"/>
      <c r="F47" s="265"/>
      <c r="G47" s="263"/>
      <c r="H47" s="265"/>
      <c r="I47" s="265"/>
      <c r="K47" s="258"/>
      <c r="L47" s="258"/>
      <c r="M47" s="258"/>
    </row>
    <row r="48" spans="1:36">
      <c r="A48" s="254" t="s">
        <v>294</v>
      </c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</row>
    <row r="49" spans="1:30">
      <c r="A49" s="553" t="s">
        <v>518</v>
      </c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53"/>
      <c r="AB49" s="553"/>
      <c r="AC49" s="553"/>
      <c r="AD49" s="553"/>
    </row>
    <row r="50" spans="1:30">
      <c r="A50" s="553"/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53"/>
      <c r="AB50" s="553"/>
      <c r="AC50" s="553"/>
      <c r="AD50" s="553"/>
    </row>
    <row r="51" spans="1:30">
      <c r="A51" s="254"/>
      <c r="B51" s="257"/>
      <c r="C51" s="259"/>
      <c r="D51" s="255"/>
      <c r="E51" s="255"/>
      <c r="F51" s="255"/>
      <c r="G51" s="257"/>
      <c r="H51" s="257"/>
      <c r="I51" s="257"/>
      <c r="J51" s="257"/>
      <c r="K51" s="257"/>
      <c r="L51" s="257"/>
      <c r="M51" s="257"/>
      <c r="N51" s="257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</row>
    <row r="66" spans="1:30">
      <c r="B66" s="254" t="s">
        <v>279</v>
      </c>
      <c r="C66" s="259"/>
      <c r="D66" s="255"/>
      <c r="E66" s="255"/>
      <c r="F66" s="255"/>
      <c r="G66" s="257"/>
      <c r="H66" s="257"/>
      <c r="I66" s="257"/>
      <c r="J66" s="257"/>
      <c r="K66" s="257"/>
      <c r="L66" s="257"/>
      <c r="M66" s="257"/>
      <c r="N66" s="257"/>
      <c r="R66" s="266"/>
      <c r="S66" s="266"/>
      <c r="T66" s="540" t="str">
        <f>O8</f>
        <v>NI-MC-D-</v>
      </c>
      <c r="U66" s="540"/>
      <c r="V66" s="540"/>
      <c r="W66" s="540"/>
      <c r="X66" s="540"/>
      <c r="Y66" s="540"/>
      <c r="Z66" s="540"/>
      <c r="AA66" s="540"/>
      <c r="AB66" s="540"/>
      <c r="AC66" s="540"/>
      <c r="AD66" s="540"/>
    </row>
    <row r="67" spans="1:30">
      <c r="B67" s="254"/>
      <c r="C67" s="259"/>
      <c r="D67" s="255"/>
      <c r="E67" s="255"/>
      <c r="F67" s="255"/>
      <c r="G67" s="257"/>
      <c r="H67" s="257"/>
      <c r="I67" s="257"/>
      <c r="J67" s="257"/>
      <c r="K67" s="257"/>
      <c r="L67" s="257"/>
      <c r="M67" s="257"/>
      <c r="N67" s="257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</row>
    <row r="68" spans="1:30">
      <c r="A68" s="254"/>
      <c r="B68" s="257"/>
      <c r="C68" s="259"/>
      <c r="D68" s="255"/>
      <c r="E68" s="255"/>
      <c r="F68" s="255"/>
      <c r="G68" s="257"/>
      <c r="H68" s="257"/>
      <c r="I68" s="257"/>
      <c r="J68" s="257"/>
      <c r="K68" s="257"/>
      <c r="L68" s="257"/>
      <c r="M68" s="257"/>
      <c r="N68" s="257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</row>
    <row r="69" spans="1:30">
      <c r="A69" s="254" t="s">
        <v>295</v>
      </c>
    </row>
    <row r="70" spans="1:30">
      <c r="A70" s="553" t="s">
        <v>296</v>
      </c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53"/>
      <c r="P70" s="553"/>
      <c r="Q70" s="553"/>
      <c r="R70" s="553"/>
      <c r="S70" s="553"/>
      <c r="T70" s="553"/>
      <c r="U70" s="553"/>
      <c r="V70" s="553"/>
      <c r="W70" s="553"/>
      <c r="X70" s="553"/>
      <c r="Y70" s="553"/>
      <c r="Z70" s="553"/>
      <c r="AA70" s="553"/>
      <c r="AB70" s="553"/>
      <c r="AC70" s="553"/>
      <c r="AD70" s="553"/>
    </row>
    <row r="71" spans="1:30">
      <c r="A71" s="553"/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553"/>
      <c r="Q71" s="553"/>
      <c r="R71" s="553"/>
      <c r="S71" s="553"/>
      <c r="T71" s="553"/>
      <c r="U71" s="553"/>
      <c r="V71" s="553"/>
      <c r="W71" s="553"/>
      <c r="X71" s="553"/>
      <c r="Y71" s="553"/>
      <c r="Z71" s="553"/>
      <c r="AA71" s="553"/>
      <c r="AB71" s="553"/>
      <c r="AC71" s="553"/>
      <c r="AD71" s="553"/>
    </row>
    <row r="72" spans="1:30">
      <c r="A72" s="553"/>
      <c r="B72" s="553"/>
      <c r="C72" s="553"/>
      <c r="D72" s="553"/>
      <c r="E72" s="553"/>
      <c r="F72" s="553"/>
      <c r="G72" s="553"/>
      <c r="H72" s="553"/>
      <c r="I72" s="553"/>
      <c r="J72" s="553"/>
      <c r="K72" s="553"/>
      <c r="L72" s="553"/>
      <c r="M72" s="553"/>
      <c r="N72" s="553"/>
      <c r="O72" s="553"/>
      <c r="P72" s="553"/>
      <c r="Q72" s="553"/>
      <c r="R72" s="553"/>
      <c r="S72" s="553"/>
      <c r="T72" s="553"/>
      <c r="U72" s="553"/>
      <c r="V72" s="553"/>
      <c r="W72" s="553"/>
      <c r="X72" s="553"/>
      <c r="Y72" s="553"/>
      <c r="Z72" s="553"/>
      <c r="AA72" s="553"/>
      <c r="AB72" s="553"/>
      <c r="AC72" s="553"/>
      <c r="AD72" s="553"/>
    </row>
    <row r="73" spans="1:30">
      <c r="A73" s="553"/>
      <c r="B73" s="553"/>
      <c r="C73" s="553"/>
      <c r="D73" s="553"/>
      <c r="E73" s="553"/>
      <c r="F73" s="553"/>
      <c r="G73" s="553"/>
      <c r="H73" s="553"/>
      <c r="I73" s="553"/>
      <c r="J73" s="553"/>
      <c r="K73" s="553"/>
      <c r="L73" s="553"/>
      <c r="M73" s="553"/>
      <c r="N73" s="553"/>
      <c r="O73" s="553"/>
      <c r="P73" s="553"/>
      <c r="Q73" s="553"/>
      <c r="R73" s="553"/>
      <c r="S73" s="553"/>
      <c r="T73" s="553"/>
      <c r="U73" s="553"/>
      <c r="V73" s="553"/>
      <c r="W73" s="553"/>
      <c r="X73" s="553"/>
      <c r="Y73" s="553"/>
      <c r="Z73" s="553"/>
      <c r="AA73" s="553"/>
      <c r="AB73" s="553"/>
      <c r="AC73" s="553"/>
      <c r="AD73" s="553"/>
    </row>
    <row r="74" spans="1:30">
      <c r="A74" s="553"/>
      <c r="B74" s="553"/>
      <c r="C74" s="553"/>
      <c r="D74" s="553"/>
      <c r="E74" s="553"/>
      <c r="F74" s="553"/>
      <c r="G74" s="553"/>
      <c r="H74" s="553"/>
      <c r="I74" s="553"/>
      <c r="J74" s="553"/>
      <c r="K74" s="553"/>
      <c r="L74" s="553"/>
      <c r="M74" s="553"/>
      <c r="N74" s="553"/>
      <c r="O74" s="553"/>
      <c r="P74" s="553"/>
      <c r="Q74" s="553"/>
      <c r="R74" s="553"/>
      <c r="S74" s="553"/>
      <c r="T74" s="553"/>
      <c r="U74" s="553"/>
      <c r="V74" s="553"/>
      <c r="W74" s="553"/>
      <c r="X74" s="553"/>
      <c r="Y74" s="553"/>
      <c r="Z74" s="553"/>
      <c r="AA74" s="553"/>
      <c r="AB74" s="553"/>
      <c r="AC74" s="553"/>
      <c r="AD74" s="553"/>
    </row>
    <row r="75" spans="1:30">
      <c r="A75" s="254"/>
      <c r="B75" s="257"/>
      <c r="C75" s="259"/>
      <c r="D75" s="255"/>
      <c r="E75" s="255"/>
      <c r="F75" s="255"/>
      <c r="G75" s="257"/>
      <c r="H75" s="257"/>
      <c r="I75" s="257"/>
      <c r="J75" s="257"/>
      <c r="K75" s="257"/>
      <c r="L75" s="257"/>
      <c r="M75" s="257"/>
      <c r="N75" s="257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</row>
    <row r="76" spans="1:30">
      <c r="A76" s="254" t="s">
        <v>297</v>
      </c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</row>
    <row r="77" spans="1:30" ht="15" customHeight="1">
      <c r="A77" s="543" t="s">
        <v>298</v>
      </c>
      <c r="B77" s="543"/>
      <c r="C77" s="543"/>
      <c r="D77" s="543"/>
      <c r="E77" s="543"/>
      <c r="F77" s="543"/>
      <c r="G77" s="543" t="s">
        <v>190</v>
      </c>
      <c r="H77" s="543"/>
      <c r="I77" s="543"/>
      <c r="J77" s="543"/>
      <c r="K77" s="544" t="s">
        <v>186</v>
      </c>
      <c r="L77" s="544"/>
      <c r="M77" s="544"/>
      <c r="N77" s="544"/>
      <c r="O77" s="544"/>
      <c r="P77" s="543" t="s">
        <v>299</v>
      </c>
      <c r="Q77" s="543"/>
      <c r="R77" s="543"/>
      <c r="S77" s="543"/>
      <c r="T77" s="543"/>
      <c r="U77" s="543"/>
      <c r="V77" s="543"/>
      <c r="W77" s="543"/>
      <c r="X77" s="543"/>
      <c r="Y77" s="543" t="s">
        <v>300</v>
      </c>
      <c r="Z77" s="543"/>
      <c r="AA77" s="543"/>
      <c r="AB77" s="543"/>
      <c r="AC77" s="543"/>
      <c r="AD77" s="543"/>
    </row>
    <row r="78" spans="1:30" ht="15" hidden="1" customHeight="1">
      <c r="A78" s="536" t="s">
        <v>116</v>
      </c>
      <c r="B78" s="537" t="s">
        <v>116</v>
      </c>
      <c r="C78" s="537" t="s">
        <v>116</v>
      </c>
      <c r="D78" s="537" t="s">
        <v>116</v>
      </c>
      <c r="E78" s="537" t="s">
        <v>116</v>
      </c>
      <c r="F78" s="538" t="s">
        <v>116</v>
      </c>
      <c r="G78" s="536" t="s">
        <v>320</v>
      </c>
      <c r="H78" s="537" t="s">
        <v>320</v>
      </c>
      <c r="I78" s="537" t="s">
        <v>320</v>
      </c>
      <c r="J78" s="538" t="s">
        <v>320</v>
      </c>
      <c r="K78" s="539" t="s">
        <v>1049</v>
      </c>
      <c r="L78" s="539"/>
      <c r="M78" s="539"/>
      <c r="N78" s="539"/>
      <c r="O78" s="539"/>
      <c r="P78" s="536" t="s">
        <v>321</v>
      </c>
      <c r="Q78" s="537"/>
      <c r="R78" s="537"/>
      <c r="S78" s="537"/>
      <c r="T78" s="537"/>
      <c r="U78" s="537"/>
      <c r="V78" s="537"/>
      <c r="W78" s="537"/>
      <c r="X78" s="538"/>
      <c r="Y78" s="535">
        <v>45021</v>
      </c>
      <c r="Z78" s="535"/>
      <c r="AA78" s="535"/>
      <c r="AB78" s="535"/>
      <c r="AC78" s="535"/>
      <c r="AD78" s="535"/>
    </row>
    <row r="79" spans="1:30" ht="15" customHeight="1">
      <c r="A79" s="536" t="s">
        <v>322</v>
      </c>
      <c r="B79" s="537" t="s">
        <v>322</v>
      </c>
      <c r="C79" s="537" t="s">
        <v>322</v>
      </c>
      <c r="D79" s="537" t="s">
        <v>322</v>
      </c>
      <c r="E79" s="537" t="s">
        <v>322</v>
      </c>
      <c r="F79" s="538" t="s">
        <v>322</v>
      </c>
      <c r="G79" s="536" t="s">
        <v>268</v>
      </c>
      <c r="H79" s="537" t="s">
        <v>268</v>
      </c>
      <c r="I79" s="537" t="s">
        <v>268</v>
      </c>
      <c r="J79" s="538" t="s">
        <v>268</v>
      </c>
      <c r="K79" s="539" t="s">
        <v>1050</v>
      </c>
      <c r="L79" s="539"/>
      <c r="M79" s="539"/>
      <c r="N79" s="539"/>
      <c r="O79" s="539"/>
      <c r="P79" s="536" t="s">
        <v>321</v>
      </c>
      <c r="Q79" s="537"/>
      <c r="R79" s="537"/>
      <c r="S79" s="537"/>
      <c r="T79" s="537"/>
      <c r="U79" s="537"/>
      <c r="V79" s="537"/>
      <c r="W79" s="537"/>
      <c r="X79" s="538"/>
      <c r="Y79" s="535">
        <v>45730</v>
      </c>
      <c r="Z79" s="535"/>
      <c r="AA79" s="535"/>
      <c r="AB79" s="535"/>
      <c r="AC79" s="535"/>
      <c r="AD79" s="535"/>
    </row>
    <row r="80" spans="1:30" ht="15" customHeight="1">
      <c r="A80" s="536" t="s">
        <v>1051</v>
      </c>
      <c r="B80" s="537"/>
      <c r="C80" s="537"/>
      <c r="D80" s="537"/>
      <c r="E80" s="537"/>
      <c r="F80" s="538"/>
      <c r="G80" s="536" t="s">
        <v>325</v>
      </c>
      <c r="H80" s="537"/>
      <c r="I80" s="537"/>
      <c r="J80" s="538"/>
      <c r="K80" s="536" t="s">
        <v>1056</v>
      </c>
      <c r="L80" s="537"/>
      <c r="M80" s="537"/>
      <c r="N80" s="537"/>
      <c r="O80" s="538"/>
      <c r="P80" s="536" t="s">
        <v>321</v>
      </c>
      <c r="Q80" s="537"/>
      <c r="R80" s="537"/>
      <c r="S80" s="537"/>
      <c r="T80" s="537"/>
      <c r="U80" s="537"/>
      <c r="V80" s="537"/>
      <c r="W80" s="537"/>
      <c r="X80" s="538"/>
      <c r="Y80" s="535">
        <v>45935</v>
      </c>
      <c r="Z80" s="535"/>
      <c r="AA80" s="535"/>
      <c r="AB80" s="535"/>
      <c r="AC80" s="535"/>
      <c r="AD80" s="535"/>
    </row>
    <row r="81" spans="1:30" ht="15" hidden="1" customHeight="1">
      <c r="A81" s="536" t="s">
        <v>1051</v>
      </c>
      <c r="B81" s="537"/>
      <c r="C81" s="537"/>
      <c r="D81" s="537"/>
      <c r="E81" s="537"/>
      <c r="F81" s="538"/>
      <c r="G81" s="536" t="s">
        <v>325</v>
      </c>
      <c r="H81" s="537"/>
      <c r="I81" s="537"/>
      <c r="J81" s="538"/>
      <c r="K81" s="536" t="s">
        <v>1056</v>
      </c>
      <c r="L81" s="537"/>
      <c r="M81" s="537"/>
      <c r="N81" s="537"/>
      <c r="O81" s="538"/>
      <c r="P81" s="536" t="s">
        <v>321</v>
      </c>
      <c r="Q81" s="537"/>
      <c r="R81" s="537"/>
      <c r="S81" s="537"/>
      <c r="T81" s="537"/>
      <c r="U81" s="537"/>
      <c r="V81" s="537"/>
      <c r="W81" s="537"/>
      <c r="X81" s="538"/>
      <c r="Y81" s="535">
        <v>45361</v>
      </c>
      <c r="Z81" s="535"/>
      <c r="AA81" s="535"/>
      <c r="AB81" s="535"/>
      <c r="AC81" s="535"/>
      <c r="AD81" s="535"/>
    </row>
    <row r="82" spans="1:30" ht="15" customHeight="1"/>
    <row r="83" spans="1:30">
      <c r="A83" s="254" t="s">
        <v>301</v>
      </c>
    </row>
    <row r="84" spans="1:30" ht="15" customHeight="1">
      <c r="A84" s="267" t="s">
        <v>302</v>
      </c>
    </row>
    <row r="85" spans="1:30" ht="15" customHeight="1">
      <c r="A85" s="268" t="str">
        <f>'[4]Salida de Datos'!$L$7</f>
        <v>La corrección corresponde al valor del patrón menos las indicación del equipo.</v>
      </c>
    </row>
    <row r="86" spans="1:30">
      <c r="A86" s="268" t="str">
        <f>'[4]Salida de Datos'!$L$8</f>
        <v>La indicación del equipo corresponde al promedio de 3 mediciones en cada punto de calibración.</v>
      </c>
      <c r="B86" s="269"/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69"/>
    </row>
    <row r="87" spans="1:30">
      <c r="A87" s="267" t="s">
        <v>306</v>
      </c>
      <c r="B87" s="257"/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</row>
    <row r="88" spans="1:30" ht="15" customHeight="1">
      <c r="A88" s="267" t="s">
        <v>307</v>
      </c>
      <c r="B88" s="257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  <c r="AA88" s="257"/>
    </row>
    <row r="89" spans="1:30" ht="15" customHeight="1">
      <c r="A89" s="257" t="s">
        <v>513</v>
      </c>
      <c r="B89" s="257"/>
      <c r="C89" s="257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70"/>
      <c r="S89" s="270"/>
      <c r="T89" s="257"/>
      <c r="U89" s="257"/>
      <c r="V89" s="257"/>
      <c r="W89" s="257"/>
      <c r="X89" s="257"/>
      <c r="Y89" s="270"/>
      <c r="Z89" s="270"/>
      <c r="AA89" s="257"/>
    </row>
    <row r="90" spans="1:30" ht="15" customHeight="1">
      <c r="A90" s="267" t="s">
        <v>514</v>
      </c>
      <c r="B90" s="257"/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71"/>
      <c r="S90" s="271"/>
      <c r="T90" s="271"/>
      <c r="U90" s="271"/>
      <c r="V90" s="271"/>
      <c r="Y90" s="270"/>
      <c r="Z90" s="270"/>
      <c r="AA90" s="270"/>
    </row>
    <row r="91" spans="1:30">
      <c r="B91" s="257"/>
      <c r="C91" s="257"/>
      <c r="D91" s="257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</row>
    <row r="92" spans="1:30">
      <c r="B92" s="257"/>
      <c r="C92" s="257"/>
      <c r="D92" s="257"/>
      <c r="E92" s="257"/>
      <c r="F92" s="257"/>
      <c r="G92" s="257"/>
      <c r="H92" s="257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</row>
    <row r="97" spans="10:21">
      <c r="J97" s="550" t="s">
        <v>303</v>
      </c>
      <c r="K97" s="550"/>
      <c r="L97" s="550"/>
      <c r="M97" s="550"/>
      <c r="N97" s="550"/>
      <c r="O97" s="550"/>
      <c r="P97" s="550"/>
      <c r="Q97" s="550"/>
      <c r="R97" s="550"/>
      <c r="S97" s="550"/>
      <c r="T97" s="550"/>
      <c r="U97" s="550"/>
    </row>
    <row r="98" spans="10:21">
      <c r="J98" s="551" t="str">
        <f>IF($J$97=[4]Generales!F1,[4]Generales!F6,[4]Generales!F5)</f>
        <v>Director Técnico</v>
      </c>
      <c r="K98" s="551"/>
      <c r="L98" s="551"/>
      <c r="M98" s="551"/>
      <c r="N98" s="551"/>
      <c r="O98" s="551"/>
      <c r="P98" s="551"/>
      <c r="Q98" s="551"/>
      <c r="R98" s="551"/>
      <c r="S98" s="551"/>
      <c r="T98" s="551"/>
      <c r="U98" s="551"/>
    </row>
    <row r="99" spans="10:21">
      <c r="J99" s="549" t="s">
        <v>304</v>
      </c>
      <c r="K99" s="549"/>
      <c r="L99" s="549"/>
      <c r="M99" s="549"/>
      <c r="N99" s="549"/>
      <c r="O99" s="549"/>
      <c r="P99" s="549"/>
      <c r="Q99" s="549"/>
      <c r="R99" s="549"/>
      <c r="S99" s="549"/>
      <c r="T99" s="549"/>
      <c r="U99" s="549"/>
    </row>
    <row r="101" spans="10:21">
      <c r="J101" s="541" t="s">
        <v>305</v>
      </c>
      <c r="K101" s="541"/>
      <c r="L101" s="541"/>
      <c r="M101" s="541"/>
      <c r="N101" s="541"/>
      <c r="O101" s="541"/>
      <c r="P101" s="541"/>
      <c r="Q101" s="541"/>
      <c r="R101" s="541"/>
      <c r="S101" s="541"/>
      <c r="T101" s="541"/>
      <c r="U101" s="541"/>
    </row>
  </sheetData>
  <mergeCells count="121">
    <mergeCell ref="O10:R10"/>
    <mergeCell ref="O14:R14"/>
    <mergeCell ref="O15:R15"/>
    <mergeCell ref="O16:T16"/>
    <mergeCell ref="O18:T18"/>
    <mergeCell ref="O20:AC20"/>
    <mergeCell ref="C41:E41"/>
    <mergeCell ref="F41:J41"/>
    <mergeCell ref="K41:P41"/>
    <mergeCell ref="Q41:V41"/>
    <mergeCell ref="W41:AA41"/>
    <mergeCell ref="C40:E40"/>
    <mergeCell ref="F40:J40"/>
    <mergeCell ref="K40:P40"/>
    <mergeCell ref="Q40:V40"/>
    <mergeCell ref="W40:AA40"/>
    <mergeCell ref="C39:E39"/>
    <mergeCell ref="F39:J39"/>
    <mergeCell ref="K39:P39"/>
    <mergeCell ref="Q39:V39"/>
    <mergeCell ref="W39:AA39"/>
    <mergeCell ref="C38:E38"/>
    <mergeCell ref="F38:J38"/>
    <mergeCell ref="K38:P38"/>
    <mergeCell ref="Q38:V38"/>
    <mergeCell ref="W38:AA38"/>
    <mergeCell ref="F27:J29"/>
    <mergeCell ref="K33:P33"/>
    <mergeCell ref="W30:AA30"/>
    <mergeCell ref="W27:AA29"/>
    <mergeCell ref="W31:AA31"/>
    <mergeCell ref="W32:AA32"/>
    <mergeCell ref="K30:P30"/>
    <mergeCell ref="Q30:V30"/>
    <mergeCell ref="K31:P31"/>
    <mergeCell ref="K32:P32"/>
    <mergeCell ref="Q31:V31"/>
    <mergeCell ref="Q32:V32"/>
    <mergeCell ref="Y81:AD81"/>
    <mergeCell ref="C33:E33"/>
    <mergeCell ref="C34:E34"/>
    <mergeCell ref="C35:E35"/>
    <mergeCell ref="W33:AA33"/>
    <mergeCell ref="C36:E36"/>
    <mergeCell ref="F36:J36"/>
    <mergeCell ref="W34:AA34"/>
    <mergeCell ref="W35:AA35"/>
    <mergeCell ref="K36:P36"/>
    <mergeCell ref="K37:P37"/>
    <mergeCell ref="Q33:V33"/>
    <mergeCell ref="Q34:V34"/>
    <mergeCell ref="Q35:V35"/>
    <mergeCell ref="Q36:V36"/>
    <mergeCell ref="Q37:V37"/>
    <mergeCell ref="C45:F45"/>
    <mergeCell ref="G45:H45"/>
    <mergeCell ref="J45:K45"/>
    <mergeCell ref="M45:O45"/>
    <mergeCell ref="A70:AD74"/>
    <mergeCell ref="A77:F77"/>
    <mergeCell ref="P79:X79"/>
    <mergeCell ref="A49:AD50"/>
    <mergeCell ref="J99:U99"/>
    <mergeCell ref="J101:U101"/>
    <mergeCell ref="A80:F80"/>
    <mergeCell ref="G80:J80"/>
    <mergeCell ref="K80:O80"/>
    <mergeCell ref="P80:X80"/>
    <mergeCell ref="J97:U97"/>
    <mergeCell ref="J98:U98"/>
    <mergeCell ref="A81:F81"/>
    <mergeCell ref="G81:J81"/>
    <mergeCell ref="K81:O81"/>
    <mergeCell ref="P81:X81"/>
    <mergeCell ref="O11:R11"/>
    <mergeCell ref="M46:O46"/>
    <mergeCell ref="W36:AA36"/>
    <mergeCell ref="W37:AA37"/>
    <mergeCell ref="F37:J37"/>
    <mergeCell ref="C37:E37"/>
    <mergeCell ref="K34:P34"/>
    <mergeCell ref="K35:P35"/>
    <mergeCell ref="C32:E32"/>
    <mergeCell ref="F34:J34"/>
    <mergeCell ref="F35:J35"/>
    <mergeCell ref="F33:J33"/>
    <mergeCell ref="F30:J30"/>
    <mergeCell ref="F31:J31"/>
    <mergeCell ref="F32:J32"/>
    <mergeCell ref="C30:E30"/>
    <mergeCell ref="C31:E31"/>
    <mergeCell ref="O17:P17"/>
    <mergeCell ref="Q17:R17"/>
    <mergeCell ref="O22:Z22"/>
    <mergeCell ref="Q27:V29"/>
    <mergeCell ref="K27:P29"/>
    <mergeCell ref="C25:AA26"/>
    <mergeCell ref="C27:E29"/>
    <mergeCell ref="C42:E42"/>
    <mergeCell ref="F42:J42"/>
    <mergeCell ref="K42:P42"/>
    <mergeCell ref="Q42:V42"/>
    <mergeCell ref="W42:AA42"/>
    <mergeCell ref="Y80:AD80"/>
    <mergeCell ref="A78:F78"/>
    <mergeCell ref="G78:J78"/>
    <mergeCell ref="K78:O78"/>
    <mergeCell ref="P78:X78"/>
    <mergeCell ref="Y78:AD78"/>
    <mergeCell ref="A79:F79"/>
    <mergeCell ref="G79:J79"/>
    <mergeCell ref="K79:O79"/>
    <mergeCell ref="Y79:AD79"/>
    <mergeCell ref="T66:AD66"/>
    <mergeCell ref="B46:F46"/>
    <mergeCell ref="G46:H46"/>
    <mergeCell ref="J46:K46"/>
    <mergeCell ref="G77:J77"/>
    <mergeCell ref="K77:O77"/>
    <mergeCell ref="P77:X77"/>
    <mergeCell ref="Y77:AD77"/>
  </mergeCells>
  <conditionalFormatting sqref="A89">
    <cfRule type="cellIs" priority="1" operator="equal">
      <formula>$G$28</formula>
    </cfRule>
  </conditionalFormatting>
  <pageMargins left="0.51181102362204722" right="0.51181102362204722" top="0.51181102362204722" bottom="0.51181102362204722" header="0" footer="0.19685039370078741"/>
  <pageSetup orientation="portrait" r:id="rId1"/>
  <headerFooter>
    <oddHeader>&amp;C
&amp;G</oddHeader>
    <oddFooter xml:space="preserve">&amp;C&amp;G&amp;R&amp;8Página &amp;Pde&amp;N&amp;10
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4:AJ89"/>
  <sheetViews>
    <sheetView tabSelected="1" view="pageLayout" topLeftCell="A31" zoomScaleNormal="100" workbookViewId="0">
      <selection activeCell="G41" sqref="G41"/>
    </sheetView>
  </sheetViews>
  <sheetFormatPr baseColWidth="10" defaultColWidth="11.33203125" defaultRowHeight="13.2"/>
  <cols>
    <col min="1" max="1" width="3.33203125" customWidth="1"/>
    <col min="2" max="2" width="3" customWidth="1"/>
    <col min="3" max="3" width="3.33203125" customWidth="1"/>
    <col min="4" max="5" width="3.44140625" customWidth="1"/>
    <col min="6" max="24" width="3" customWidth="1"/>
    <col min="25" max="25" width="3.33203125" customWidth="1"/>
    <col min="26" max="26" width="2.88671875" customWidth="1"/>
    <col min="27" max="29" width="3.33203125" customWidth="1"/>
    <col min="30" max="30" width="1.6640625" customWidth="1"/>
    <col min="31" max="31" width="3.33203125" customWidth="1"/>
    <col min="32" max="34" width="11.33203125" customWidth="1"/>
  </cols>
  <sheetData>
    <row r="4" spans="2:30" ht="16.5" customHeight="1"/>
    <row r="5" spans="2:30" ht="16.5" customHeight="1"/>
    <row r="6" spans="2:30" ht="16.5" customHeight="1"/>
    <row r="7" spans="2:30" ht="13.8">
      <c r="B7" s="254" t="s">
        <v>279</v>
      </c>
      <c r="C7" s="255"/>
      <c r="E7" s="255"/>
      <c r="F7" s="255"/>
      <c r="G7" s="256"/>
      <c r="H7" s="256"/>
      <c r="I7" s="256"/>
      <c r="J7" s="256"/>
      <c r="K7" s="256"/>
      <c r="L7" s="257"/>
      <c r="M7" s="257"/>
      <c r="N7" s="257"/>
      <c r="O7" s="273" t="str">
        <f>'NI-R01-MCIT-D-02'!A53</f>
        <v>NI-MC-D-</v>
      </c>
      <c r="R7" s="273"/>
      <c r="S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</row>
    <row r="8" spans="2:30" ht="13.8">
      <c r="B8" s="254" t="s">
        <v>280</v>
      </c>
      <c r="C8" s="255"/>
      <c r="E8" s="255"/>
      <c r="F8" s="255"/>
      <c r="G8" s="256"/>
      <c r="H8" s="256"/>
      <c r="I8" s="256"/>
      <c r="J8" s="256"/>
      <c r="K8" s="256"/>
      <c r="L8" s="257"/>
      <c r="M8" s="257"/>
      <c r="N8" s="257"/>
      <c r="O8" s="546" t="str">
        <f>'NI-R01-MCIT-D-02'!H8</f>
        <v>NI-CS-0062-23</v>
      </c>
      <c r="P8" s="546"/>
      <c r="Q8" s="546"/>
      <c r="R8" s="546"/>
      <c r="S8" s="546"/>
      <c r="U8" s="257"/>
      <c r="V8" s="257"/>
      <c r="W8" s="257"/>
      <c r="X8" s="257"/>
      <c r="Y8" s="257"/>
      <c r="Z8" s="257"/>
      <c r="AA8" s="257"/>
      <c r="AB8" s="257"/>
      <c r="AC8" s="257"/>
      <c r="AD8" s="257"/>
    </row>
    <row r="9" spans="2:30" ht="13.8">
      <c r="B9" s="254" t="s">
        <v>69</v>
      </c>
      <c r="C9" s="259"/>
      <c r="E9" s="259"/>
      <c r="F9" s="259"/>
      <c r="G9" s="256"/>
      <c r="H9" s="256"/>
      <c r="I9" s="256"/>
      <c r="J9" s="256"/>
      <c r="K9" s="256"/>
      <c r="L9" s="260"/>
      <c r="M9" s="257"/>
      <c r="N9" s="257"/>
      <c r="O9" s="545">
        <f>'NI-R01-MCIT-D-02'!H7</f>
        <v>44964</v>
      </c>
      <c r="P9" s="545"/>
      <c r="Q9" s="545"/>
      <c r="R9" s="545"/>
      <c r="S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</row>
    <row r="10" spans="2:30" ht="13.8">
      <c r="B10" s="254" t="s">
        <v>515</v>
      </c>
      <c r="C10" s="259"/>
      <c r="E10" s="259"/>
      <c r="F10" s="259"/>
      <c r="G10" s="256"/>
      <c r="H10" s="256"/>
      <c r="I10" s="256"/>
      <c r="J10" s="256"/>
      <c r="K10" s="256"/>
      <c r="L10" s="260"/>
      <c r="M10" s="257"/>
      <c r="N10" s="257"/>
      <c r="O10" s="545">
        <v>45256</v>
      </c>
      <c r="P10" s="545"/>
      <c r="Q10" s="545"/>
      <c r="R10" s="545"/>
      <c r="S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</row>
    <row r="11" spans="2:30" ht="13.8">
      <c r="B11" s="254" t="s">
        <v>281</v>
      </c>
      <c r="C11" s="259"/>
      <c r="E11" s="259"/>
      <c r="F11" s="259"/>
      <c r="G11" s="256"/>
      <c r="H11" s="256"/>
      <c r="I11" s="256"/>
      <c r="J11" s="256"/>
      <c r="K11" s="256"/>
      <c r="L11" s="257"/>
      <c r="M11" s="257"/>
      <c r="N11" s="257"/>
      <c r="O11" s="257" t="str">
        <f>'NI-R01-MCIT-D-02'!C11</f>
        <v>Micrómetro digital</v>
      </c>
      <c r="R11" s="257"/>
      <c r="S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</row>
    <row r="12" spans="2:30" ht="13.8">
      <c r="B12" s="254" t="s">
        <v>282</v>
      </c>
      <c r="C12" s="259"/>
      <c r="E12" s="259"/>
      <c r="F12" s="259"/>
      <c r="G12" s="256"/>
      <c r="H12" s="256"/>
      <c r="I12" s="256"/>
      <c r="J12" s="256"/>
      <c r="K12" s="256"/>
      <c r="L12" s="257"/>
      <c r="M12" s="257"/>
      <c r="N12" s="257"/>
      <c r="O12" s="257" t="str">
        <f>'NI-R01-MCIT-D-02'!C12</f>
        <v>Mitutoyo</v>
      </c>
      <c r="R12" s="257"/>
      <c r="S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</row>
    <row r="13" spans="2:30" ht="13.8">
      <c r="B13" s="254" t="s">
        <v>49</v>
      </c>
      <c r="C13" s="259"/>
      <c r="E13" s="259"/>
      <c r="F13" s="259"/>
      <c r="G13" s="256"/>
      <c r="H13" s="256"/>
      <c r="I13" s="256"/>
      <c r="J13" s="256"/>
      <c r="K13" s="256"/>
      <c r="L13" s="257"/>
      <c r="M13" s="257"/>
      <c r="N13" s="257"/>
      <c r="O13" s="546">
        <f>'NI-R01-MCIT-D-02'!C13</f>
        <v>66347171</v>
      </c>
      <c r="P13" s="546"/>
      <c r="Q13" s="546"/>
      <c r="R13" s="546"/>
      <c r="S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</row>
    <row r="14" spans="2:30" ht="13.8">
      <c r="B14" s="254" t="s">
        <v>48</v>
      </c>
      <c r="C14" s="259"/>
      <c r="E14" s="259"/>
      <c r="F14" s="259"/>
      <c r="G14" s="256"/>
      <c r="H14" s="256"/>
      <c r="I14" s="256"/>
      <c r="J14" s="256"/>
      <c r="K14" s="256"/>
      <c r="L14" s="257"/>
      <c r="M14" s="257"/>
      <c r="N14" s="257"/>
      <c r="O14" s="546" t="str">
        <f>'NI-R01-MCIT-D-02'!F12</f>
        <v>293-145-30</v>
      </c>
      <c r="P14" s="546"/>
      <c r="Q14" s="546"/>
      <c r="R14" s="546"/>
      <c r="S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</row>
    <row r="15" spans="2:30" ht="13.8">
      <c r="B15" s="254" t="s">
        <v>283</v>
      </c>
      <c r="C15" s="259"/>
      <c r="E15" s="259"/>
      <c r="F15" s="259"/>
      <c r="G15" s="256"/>
      <c r="H15" s="256"/>
      <c r="I15" s="256"/>
      <c r="J15" s="256"/>
      <c r="K15" s="256"/>
      <c r="L15" s="257"/>
      <c r="M15" s="257"/>
      <c r="N15" s="257"/>
      <c r="O15" s="546" t="str">
        <f>'NI-R01-MCIT-D-02'!C14</f>
        <v>0 mm a 150 mm</v>
      </c>
      <c r="P15" s="546"/>
      <c r="Q15" s="546"/>
      <c r="R15" s="546"/>
      <c r="S15" s="546"/>
      <c r="T15" s="546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</row>
    <row r="16" spans="2:30" ht="13.8">
      <c r="B16" s="254" t="s">
        <v>53</v>
      </c>
      <c r="C16" s="259"/>
      <c r="E16" s="259"/>
      <c r="F16" s="259"/>
      <c r="G16" s="256"/>
      <c r="H16" s="256"/>
      <c r="I16" s="256"/>
      <c r="J16" s="256"/>
      <c r="K16" s="256"/>
      <c r="L16" s="257"/>
      <c r="M16" s="257"/>
      <c r="N16" s="257"/>
      <c r="O16" s="546">
        <f>'NI-R01-MCIT-D-02'!C15</f>
        <v>0.01</v>
      </c>
      <c r="P16" s="546"/>
      <c r="Q16" s="547" t="str">
        <f>'NI-R01-MCIT-D-02'!F11</f>
        <v>mm</v>
      </c>
      <c r="R16" s="547"/>
      <c r="S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</row>
    <row r="17" spans="1:36" ht="13.8">
      <c r="B17" s="254" t="s">
        <v>284</v>
      </c>
      <c r="C17" s="259"/>
      <c r="E17" s="259"/>
      <c r="F17" s="259"/>
      <c r="G17" s="256"/>
      <c r="H17" s="256"/>
      <c r="I17" s="256"/>
      <c r="J17" s="256"/>
      <c r="K17" s="256"/>
      <c r="L17" s="257"/>
      <c r="M17" s="257"/>
      <c r="N17" s="257"/>
      <c r="O17" s="546" t="str">
        <f>'NI-R01-MCIT-D-02'!F13</f>
        <v>NIC-M-045</v>
      </c>
      <c r="P17" s="546"/>
      <c r="Q17" s="546"/>
      <c r="R17" s="546"/>
      <c r="S17" s="546"/>
      <c r="T17" s="546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</row>
    <row r="18" spans="1:36" ht="13.8">
      <c r="B18" s="254" t="s">
        <v>285</v>
      </c>
      <c r="C18" s="259"/>
      <c r="E18" s="259"/>
      <c r="F18" s="259"/>
      <c r="G18" s="256"/>
      <c r="H18" s="256"/>
      <c r="I18" s="256"/>
      <c r="J18" s="256"/>
      <c r="K18" s="256"/>
      <c r="L18" s="257"/>
      <c r="M18" s="257"/>
      <c r="N18" s="257"/>
      <c r="O18" s="257" t="str">
        <f>'NI-R01-MCIT-D-02'!B7</f>
        <v>Industria Nacional de Refrescos, S.A. (FEMSA)</v>
      </c>
      <c r="R18" s="257"/>
      <c r="S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</row>
    <row r="19" spans="1:36" ht="13.8">
      <c r="B19" s="261" t="s">
        <v>286</v>
      </c>
      <c r="C19" s="259"/>
      <c r="D19" s="259"/>
      <c r="E19" s="259"/>
      <c r="F19" s="259"/>
      <c r="G19" s="256"/>
      <c r="H19" s="256"/>
      <c r="I19" s="256"/>
      <c r="J19" s="256"/>
      <c r="K19" s="256"/>
      <c r="L19" s="262"/>
      <c r="M19" s="257"/>
      <c r="N19" s="257"/>
      <c r="O19" s="546" t="str">
        <f>VLOOKUP(O18,'BD Clientes'!B5:D370,2,FALSE)</f>
        <v>km 4,5 Carretera Norte</v>
      </c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546"/>
      <c r="AA19" s="546"/>
      <c r="AB19" s="546"/>
      <c r="AC19" s="546"/>
      <c r="AD19" s="257"/>
    </row>
    <row r="20" spans="1:36" ht="13.8">
      <c r="B20" s="254" t="s">
        <v>287</v>
      </c>
      <c r="C20" s="259"/>
      <c r="D20" s="259"/>
      <c r="E20" s="259"/>
      <c r="F20" s="259"/>
      <c r="G20" s="256"/>
      <c r="H20" s="256"/>
      <c r="I20" s="256"/>
      <c r="J20" s="256"/>
      <c r="K20" s="256"/>
      <c r="L20" s="257"/>
      <c r="M20" s="257"/>
      <c r="N20" s="257"/>
      <c r="O20" s="257" t="str">
        <f>'DA (mm)'!O21</f>
        <v xml:space="preserve">Labotarorio de Calidad </v>
      </c>
      <c r="R20" s="257"/>
      <c r="S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</row>
    <row r="21" spans="1:36" ht="12" customHeight="1">
      <c r="B21" s="254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</row>
    <row r="22" spans="1:36">
      <c r="A22" s="254" t="s">
        <v>288</v>
      </c>
      <c r="C22" s="259"/>
      <c r="D22" s="259"/>
      <c r="E22" s="259"/>
      <c r="F22" s="259"/>
      <c r="AI22" s="257"/>
      <c r="AJ22" s="257"/>
    </row>
    <row r="23" spans="1:36" ht="15" customHeight="1">
      <c r="AI23" s="257"/>
      <c r="AJ23" s="257"/>
    </row>
    <row r="24" spans="1:36" ht="13.2" customHeight="1">
      <c r="C24" s="548" t="s">
        <v>308</v>
      </c>
      <c r="D24" s="548"/>
      <c r="E24" s="548"/>
      <c r="F24" s="548"/>
      <c r="G24" s="548"/>
      <c r="H24" s="548"/>
      <c r="I24" s="548"/>
      <c r="J24" s="548"/>
      <c r="K24" s="548"/>
      <c r="L24" s="548"/>
      <c r="M24" s="548"/>
      <c r="N24" s="548"/>
      <c r="O24" s="548"/>
      <c r="P24" s="548"/>
      <c r="Q24" s="548"/>
      <c r="R24" s="548"/>
      <c r="S24" s="548"/>
      <c r="T24" s="548"/>
      <c r="U24" s="548"/>
      <c r="V24" s="548"/>
      <c r="W24" s="548"/>
      <c r="X24" s="548"/>
      <c r="Y24" s="548"/>
      <c r="Z24" s="548"/>
      <c r="AA24" s="548"/>
      <c r="AI24" s="257"/>
      <c r="AJ24" s="257"/>
    </row>
    <row r="25" spans="1:36" ht="15" customHeight="1">
      <c r="C25" s="548"/>
      <c r="D25" s="548"/>
      <c r="E25" s="548"/>
      <c r="F25" s="548"/>
      <c r="G25" s="548"/>
      <c r="H25" s="548"/>
      <c r="I25" s="548"/>
      <c r="J25" s="548"/>
      <c r="K25" s="548"/>
      <c r="L25" s="548"/>
      <c r="M25" s="548"/>
      <c r="N25" s="548"/>
      <c r="O25" s="548"/>
      <c r="P25" s="548"/>
      <c r="Q25" s="548"/>
      <c r="R25" s="548"/>
      <c r="S25" s="548"/>
      <c r="T25" s="548"/>
      <c r="U25" s="548"/>
      <c r="V25" s="548"/>
      <c r="W25" s="548"/>
      <c r="X25" s="548"/>
      <c r="Y25" s="548"/>
      <c r="Z25" s="548"/>
      <c r="AA25" s="548"/>
      <c r="AI25" s="257"/>
      <c r="AJ25" s="257"/>
    </row>
    <row r="26" spans="1:36" ht="14.25" customHeight="1">
      <c r="C26" s="548" t="s">
        <v>36</v>
      </c>
      <c r="D26" s="548"/>
      <c r="E26" s="548"/>
      <c r="F26" s="548" t="s">
        <v>309</v>
      </c>
      <c r="G26" s="548"/>
      <c r="H26" s="548"/>
      <c r="I26" s="548"/>
      <c r="J26" s="548"/>
      <c r="K26" s="548" t="s">
        <v>313</v>
      </c>
      <c r="L26" s="548"/>
      <c r="M26" s="548"/>
      <c r="N26" s="548"/>
      <c r="O26" s="548"/>
      <c r="P26" s="548"/>
      <c r="Q26" s="548" t="s">
        <v>314</v>
      </c>
      <c r="R26" s="548"/>
      <c r="S26" s="548"/>
      <c r="T26" s="548"/>
      <c r="U26" s="548"/>
      <c r="V26" s="548"/>
      <c r="W26" s="548" t="s">
        <v>315</v>
      </c>
      <c r="X26" s="548"/>
      <c r="Y26" s="548"/>
      <c r="Z26" s="548"/>
      <c r="AA26" s="548"/>
      <c r="AI26" s="257"/>
      <c r="AJ26" s="257"/>
    </row>
    <row r="27" spans="1:36">
      <c r="C27" s="548"/>
      <c r="D27" s="548"/>
      <c r="E27" s="548"/>
      <c r="F27" s="548"/>
      <c r="G27" s="548"/>
      <c r="H27" s="548"/>
      <c r="I27" s="548"/>
      <c r="J27" s="548"/>
      <c r="K27" s="548"/>
      <c r="L27" s="548"/>
      <c r="M27" s="548"/>
      <c r="N27" s="548"/>
      <c r="O27" s="548"/>
      <c r="P27" s="548"/>
      <c r="Q27" s="548"/>
      <c r="R27" s="548"/>
      <c r="S27" s="548"/>
      <c r="T27" s="548"/>
      <c r="U27" s="548"/>
      <c r="V27" s="548"/>
      <c r="W27" s="548"/>
      <c r="X27" s="548"/>
      <c r="Y27" s="548"/>
      <c r="Z27" s="548"/>
      <c r="AA27" s="548"/>
      <c r="AI27" s="257"/>
      <c r="AJ27" s="257"/>
    </row>
    <row r="28" spans="1:36">
      <c r="C28" s="548"/>
      <c r="D28" s="548"/>
      <c r="E28" s="548"/>
      <c r="F28" s="548"/>
      <c r="G28" s="548"/>
      <c r="H28" s="548"/>
      <c r="I28" s="548"/>
      <c r="J28" s="548"/>
      <c r="K28" s="548"/>
      <c r="L28" s="548"/>
      <c r="M28" s="548"/>
      <c r="N28" s="548"/>
      <c r="O28" s="548"/>
      <c r="P28" s="548"/>
      <c r="Q28" s="548"/>
      <c r="R28" s="548"/>
      <c r="S28" s="548"/>
      <c r="T28" s="548"/>
      <c r="U28" s="548"/>
      <c r="V28" s="548"/>
      <c r="W28" s="548"/>
      <c r="X28" s="548"/>
      <c r="Y28" s="548"/>
      <c r="Z28" s="548"/>
      <c r="AA28" s="548"/>
      <c r="AI28" s="257"/>
      <c r="AJ28" s="257"/>
    </row>
    <row r="29" spans="1:36">
      <c r="C29" s="509" t="str">
        <f>Resultados!A10</f>
        <v>mm</v>
      </c>
      <c r="D29" s="509"/>
      <c r="E29" s="509"/>
      <c r="F29" s="509" t="str">
        <f>Resultados!C20</f>
        <v>(mm)</v>
      </c>
      <c r="G29" s="509"/>
      <c r="H29" s="509"/>
      <c r="I29" s="509"/>
      <c r="J29" s="509"/>
      <c r="K29" s="554" t="s">
        <v>84</v>
      </c>
      <c r="L29" s="555"/>
      <c r="M29" s="555"/>
      <c r="N29" s="555"/>
      <c r="O29" s="555"/>
      <c r="P29" s="508"/>
      <c r="Q29" s="554" t="str">
        <f>Resultados!Q20</f>
        <v>(μm)</v>
      </c>
      <c r="R29" s="555"/>
      <c r="S29" s="555"/>
      <c r="T29" s="555" t="s">
        <v>317</v>
      </c>
      <c r="U29" s="555"/>
      <c r="V29" s="508"/>
      <c r="W29" s="509" t="str">
        <f>Resultados!R20</f>
        <v>(μm)</v>
      </c>
      <c r="X29" s="509"/>
      <c r="Y29" s="509"/>
      <c r="Z29" s="509"/>
      <c r="AA29" s="509"/>
      <c r="AI29" s="257"/>
      <c r="AJ29" s="257"/>
    </row>
    <row r="30" spans="1:36">
      <c r="C30" s="559">
        <f>Resultados!A11</f>
        <v>0</v>
      </c>
      <c r="D30" s="559"/>
      <c r="E30" s="559"/>
      <c r="F30" s="528">
        <f>C30</f>
        <v>0</v>
      </c>
      <c r="G30" s="528"/>
      <c r="H30" s="528"/>
      <c r="I30" s="528"/>
      <c r="J30" s="528"/>
      <c r="K30" s="529">
        <f>IF(Resultados!$L$10="(mm)",Resultados!L11,IF(Resultados!$L$10="(plg)",Resultados!L11*25.4,"ERROR"))</f>
        <v>0</v>
      </c>
      <c r="L30" s="530"/>
      <c r="M30" s="530"/>
      <c r="N30" s="530"/>
      <c r="O30" s="530"/>
      <c r="P30" s="531"/>
      <c r="Q30" s="561">
        <f>Resultados!M11</f>
        <v>0</v>
      </c>
      <c r="R30" s="562"/>
      <c r="S30" s="562"/>
      <c r="T30" s="562">
        <f t="shared" ref="T30:T36" si="0">Q30/1000/25.4</f>
        <v>0</v>
      </c>
      <c r="U30" s="562"/>
      <c r="V30" s="563"/>
      <c r="W30" s="560" t="e">
        <f>Resultados!AD21</f>
        <v>#DIV/0!</v>
      </c>
      <c r="X30" s="560"/>
      <c r="Y30" s="560"/>
      <c r="Z30" s="560"/>
      <c r="AA30" s="560"/>
      <c r="AI30" s="257"/>
      <c r="AJ30" s="257"/>
    </row>
    <row r="31" spans="1:36">
      <c r="C31" s="559">
        <f>Resultados!B21</f>
        <v>0</v>
      </c>
      <c r="D31" s="559"/>
      <c r="E31" s="559"/>
      <c r="F31" s="528">
        <f>Resultados!C21</f>
        <v>0</v>
      </c>
      <c r="G31" s="528"/>
      <c r="H31" s="528"/>
      <c r="I31" s="528"/>
      <c r="J31" s="528"/>
      <c r="K31" s="529">
        <f>IF(Resultados!$O$20="(mm)",Resultados!O21,IF(Resultados!$O$20="(plg)",Resultados!O21*25.4,"ERROR"))</f>
        <v>0</v>
      </c>
      <c r="L31" s="530"/>
      <c r="M31" s="530"/>
      <c r="N31" s="530"/>
      <c r="O31" s="530"/>
      <c r="P31" s="531"/>
      <c r="Q31" s="561">
        <f>Resultados!Q21</f>
        <v>0</v>
      </c>
      <c r="R31" s="562"/>
      <c r="S31" s="562"/>
      <c r="T31" s="562">
        <f t="shared" si="0"/>
        <v>0</v>
      </c>
      <c r="U31" s="562"/>
      <c r="V31" s="563"/>
      <c r="W31" s="560" t="e">
        <f>Resultados!AD22</f>
        <v>#DIV/0!</v>
      </c>
      <c r="X31" s="560"/>
      <c r="Y31" s="560"/>
      <c r="Z31" s="560"/>
      <c r="AA31" s="560"/>
      <c r="AI31" s="257"/>
      <c r="AJ31" s="257"/>
    </row>
    <row r="32" spans="1:36">
      <c r="C32" s="559">
        <f>Resultados!B22</f>
        <v>0</v>
      </c>
      <c r="D32" s="559"/>
      <c r="E32" s="559"/>
      <c r="F32" s="528">
        <f>Resultados!C22</f>
        <v>0</v>
      </c>
      <c r="G32" s="528"/>
      <c r="H32" s="528"/>
      <c r="I32" s="528"/>
      <c r="J32" s="528"/>
      <c r="K32" s="529">
        <f>IF(Resultados!$O$20="(mm)",Resultados!O22,IF(Resultados!$O$20="(plg)",Resultados!O22*25.4,"ERROR"))</f>
        <v>0</v>
      </c>
      <c r="L32" s="530"/>
      <c r="M32" s="530"/>
      <c r="N32" s="530"/>
      <c r="O32" s="530"/>
      <c r="P32" s="531"/>
      <c r="Q32" s="561">
        <f>Resultados!Q22</f>
        <v>0</v>
      </c>
      <c r="R32" s="562"/>
      <c r="S32" s="562"/>
      <c r="T32" s="562">
        <f t="shared" si="0"/>
        <v>0</v>
      </c>
      <c r="U32" s="562"/>
      <c r="V32" s="563"/>
      <c r="W32" s="560" t="e">
        <f>Resultados!AD23</f>
        <v>#DIV/0!</v>
      </c>
      <c r="X32" s="560"/>
      <c r="Y32" s="560"/>
      <c r="Z32" s="560"/>
      <c r="AA32" s="560"/>
      <c r="AI32" s="257"/>
      <c r="AJ32" s="257"/>
    </row>
    <row r="33" spans="1:36">
      <c r="C33" s="559">
        <f>Resultados!B23</f>
        <v>0</v>
      </c>
      <c r="D33" s="559"/>
      <c r="E33" s="559"/>
      <c r="F33" s="528">
        <f>Resultados!C23</f>
        <v>0</v>
      </c>
      <c r="G33" s="528"/>
      <c r="H33" s="528"/>
      <c r="I33" s="528"/>
      <c r="J33" s="528"/>
      <c r="K33" s="529">
        <f>IF(Resultados!$O$20="(mm)",Resultados!O23,IF(Resultados!$O$20="(plg)",Resultados!O23*25.4,"ERROR"))</f>
        <v>0</v>
      </c>
      <c r="L33" s="530"/>
      <c r="M33" s="530"/>
      <c r="N33" s="530"/>
      <c r="O33" s="530"/>
      <c r="P33" s="531"/>
      <c r="Q33" s="561">
        <f>Resultados!Q23</f>
        <v>0</v>
      </c>
      <c r="R33" s="562"/>
      <c r="S33" s="562"/>
      <c r="T33" s="562">
        <f t="shared" si="0"/>
        <v>0</v>
      </c>
      <c r="U33" s="562"/>
      <c r="V33" s="563"/>
      <c r="W33" s="560" t="e">
        <f>Resultados!AD24</f>
        <v>#DIV/0!</v>
      </c>
      <c r="X33" s="560"/>
      <c r="Y33" s="560"/>
      <c r="Z33" s="560"/>
      <c r="AA33" s="560"/>
      <c r="AI33" s="257"/>
      <c r="AJ33" s="257"/>
    </row>
    <row r="34" spans="1:36">
      <c r="C34" s="559">
        <f>Resultados!B24</f>
        <v>0</v>
      </c>
      <c r="D34" s="559"/>
      <c r="E34" s="559"/>
      <c r="F34" s="528">
        <f>Resultados!C24</f>
        <v>0</v>
      </c>
      <c r="G34" s="528"/>
      <c r="H34" s="528"/>
      <c r="I34" s="528"/>
      <c r="J34" s="528"/>
      <c r="K34" s="529">
        <f>IF(Resultados!$O$20="(mm)",Resultados!O24,IF(Resultados!$O$20="(plg)",Resultados!O24*25.4,"ERROR"))</f>
        <v>0</v>
      </c>
      <c r="L34" s="530"/>
      <c r="M34" s="530"/>
      <c r="N34" s="530"/>
      <c r="O34" s="530"/>
      <c r="P34" s="531"/>
      <c r="Q34" s="561">
        <f>Resultados!Q24</f>
        <v>0</v>
      </c>
      <c r="R34" s="562"/>
      <c r="S34" s="562"/>
      <c r="T34" s="562">
        <f t="shared" si="0"/>
        <v>0</v>
      </c>
      <c r="U34" s="562"/>
      <c r="V34" s="563"/>
      <c r="W34" s="560" t="e">
        <f>Resultados!AD25</f>
        <v>#DIV/0!</v>
      </c>
      <c r="X34" s="560"/>
      <c r="Y34" s="560"/>
      <c r="Z34" s="560"/>
      <c r="AA34" s="560"/>
      <c r="AI34" s="257"/>
      <c r="AJ34" s="257"/>
    </row>
    <row r="35" spans="1:36">
      <c r="C35" s="559">
        <f>Resultados!B25</f>
        <v>0</v>
      </c>
      <c r="D35" s="559"/>
      <c r="E35" s="559"/>
      <c r="F35" s="528">
        <f>Resultados!C25</f>
        <v>0</v>
      </c>
      <c r="G35" s="528"/>
      <c r="H35" s="528"/>
      <c r="I35" s="528"/>
      <c r="J35" s="528"/>
      <c r="K35" s="529">
        <f>IF(Resultados!$O$20="(mm)",Resultados!O25,IF(Resultados!$O$20="(plg)",Resultados!O25*25.4,"ERROR"))</f>
        <v>0</v>
      </c>
      <c r="L35" s="530"/>
      <c r="M35" s="530"/>
      <c r="N35" s="530"/>
      <c r="O35" s="530"/>
      <c r="P35" s="531"/>
      <c r="Q35" s="561">
        <f>Resultados!Q25</f>
        <v>0</v>
      </c>
      <c r="R35" s="562"/>
      <c r="S35" s="562"/>
      <c r="T35" s="562">
        <f t="shared" si="0"/>
        <v>0</v>
      </c>
      <c r="U35" s="562"/>
      <c r="V35" s="563"/>
      <c r="W35" s="560" t="e">
        <f>Resultados!AD26</f>
        <v>#DIV/0!</v>
      </c>
      <c r="X35" s="560"/>
      <c r="Y35" s="560"/>
      <c r="Z35" s="560"/>
      <c r="AA35" s="560"/>
      <c r="AI35" s="257"/>
      <c r="AJ35" s="257"/>
    </row>
    <row r="36" spans="1:36">
      <c r="C36" s="559">
        <f>Resultados!B26</f>
        <v>0</v>
      </c>
      <c r="D36" s="559"/>
      <c r="E36" s="559"/>
      <c r="F36" s="528">
        <f>Resultados!C26</f>
        <v>0</v>
      </c>
      <c r="G36" s="528"/>
      <c r="H36" s="528"/>
      <c r="I36" s="528"/>
      <c r="J36" s="528"/>
      <c r="K36" s="529">
        <f>IF(Resultados!$O$20="(mm)",Resultados!O26,IF(Resultados!$O$20="(plg)",Resultados!O26*25.4,"ERROR"))</f>
        <v>0</v>
      </c>
      <c r="L36" s="530"/>
      <c r="M36" s="530"/>
      <c r="N36" s="530"/>
      <c r="O36" s="530"/>
      <c r="P36" s="531"/>
      <c r="Q36" s="561">
        <f>Resultados!Q26</f>
        <v>0</v>
      </c>
      <c r="R36" s="562"/>
      <c r="S36" s="562"/>
      <c r="T36" s="562">
        <f t="shared" si="0"/>
        <v>0</v>
      </c>
      <c r="U36" s="562"/>
      <c r="V36" s="563"/>
      <c r="W36" s="560" t="e">
        <f>Resultados!AD27</f>
        <v>#DIV/0!</v>
      </c>
      <c r="X36" s="560"/>
      <c r="Y36" s="560"/>
      <c r="Z36" s="560"/>
      <c r="AA36" s="560"/>
      <c r="AI36" s="257"/>
      <c r="AJ36" s="257"/>
    </row>
    <row r="37" spans="1:36"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W37" s="272"/>
      <c r="X37" s="272"/>
      <c r="AI37" s="257"/>
      <c r="AJ37" s="257"/>
    </row>
    <row r="38" spans="1:36">
      <c r="A38" s="254" t="s">
        <v>289</v>
      </c>
      <c r="B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</row>
    <row r="39" spans="1:36">
      <c r="A39" s="257"/>
      <c r="B39" s="257"/>
      <c r="C39" s="552" t="s">
        <v>290</v>
      </c>
      <c r="D39" s="552"/>
      <c r="E39" s="552"/>
      <c r="F39" s="552"/>
      <c r="G39" s="542">
        <f>AVERAGE('NI-R01-MCIT-D-02'!B19:B20)</f>
        <v>22.5</v>
      </c>
      <c r="H39" s="542"/>
      <c r="I39" s="263" t="s">
        <v>10</v>
      </c>
      <c r="J39" s="542">
        <f>IF(Resultados!Z66=1,AVERAGE(Resultados!AE69,Resultados!AG69),IF(Resultados!Z66=2,AVERAGE(Resultados!AE70,Resultados!AG70),IF(Resultados!Z66=3,AVERAGE(Resultados!AE71,Resultados!AG71),"Error")))</f>
        <v>0.60000000000000009</v>
      </c>
      <c r="K39" s="542"/>
      <c r="L39" t="s">
        <v>291</v>
      </c>
      <c r="M39" s="546" t="s">
        <v>185</v>
      </c>
      <c r="N39" s="546"/>
      <c r="O39" s="546"/>
      <c r="AI39" s="254"/>
      <c r="AJ39" s="257"/>
    </row>
    <row r="40" spans="1:36">
      <c r="A40" s="257"/>
      <c r="B40" s="541" t="s">
        <v>292</v>
      </c>
      <c r="C40" s="541"/>
      <c r="D40" s="541"/>
      <c r="E40" s="541"/>
      <c r="F40" s="541"/>
      <c r="G40" s="542">
        <f>AVERAGE('NI-R01-MCIT-D-02'!C19:C20)</f>
        <v>59.6</v>
      </c>
      <c r="H40" s="542"/>
      <c r="I40" s="263" t="s">
        <v>10</v>
      </c>
      <c r="J40" s="542">
        <f>IF(Resultados!Z66=1,AVERAGE(Resultados!AF69,Resultados!AH69),IF(Resultados!Z66=2,AVERAGE(Resultados!AF70,Resultados!AH70),IF(Resultados!Z66=3,AVERAGE(Resultados!AF71,Resultados!AH71),"Error")))</f>
        <v>2.2000000000000002</v>
      </c>
      <c r="K40" s="542"/>
      <c r="L40" t="s">
        <v>291</v>
      </c>
      <c r="M40" s="546" t="s">
        <v>293</v>
      </c>
      <c r="N40" s="546"/>
      <c r="O40" s="546"/>
    </row>
    <row r="41" spans="1:36">
      <c r="A41" s="264"/>
      <c r="B41" s="264"/>
      <c r="C41" s="264"/>
      <c r="D41" s="264"/>
      <c r="E41" s="265"/>
      <c r="F41" s="265"/>
      <c r="G41" s="263"/>
      <c r="H41" s="265"/>
      <c r="I41" s="265"/>
      <c r="K41" s="258"/>
      <c r="L41" s="258"/>
      <c r="M41" s="258"/>
    </row>
    <row r="42" spans="1:36">
      <c r="A42" s="254" t="s">
        <v>294</v>
      </c>
      <c r="B42" s="257"/>
      <c r="C42" s="257"/>
      <c r="D42" s="257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</row>
    <row r="43" spans="1:36" ht="12.75" customHeight="1">
      <c r="A43" s="553" t="s">
        <v>518</v>
      </c>
      <c r="B43" s="553"/>
      <c r="C43" s="553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53"/>
      <c r="P43" s="553"/>
      <c r="Q43" s="553"/>
      <c r="R43" s="553"/>
      <c r="S43" s="553"/>
      <c r="T43" s="553"/>
      <c r="U43" s="553"/>
      <c r="V43" s="553"/>
      <c r="W43" s="553"/>
      <c r="X43" s="553"/>
      <c r="Y43" s="553"/>
      <c r="Z43" s="553"/>
      <c r="AA43" s="553"/>
      <c r="AB43" s="553"/>
      <c r="AC43" s="553"/>
      <c r="AD43" s="553"/>
    </row>
    <row r="44" spans="1:36">
      <c r="A44" s="553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53"/>
      <c r="P44" s="553"/>
      <c r="Q44" s="553"/>
      <c r="R44" s="553"/>
      <c r="S44" s="553"/>
      <c r="T44" s="553"/>
      <c r="U44" s="553"/>
      <c r="V44" s="553"/>
      <c r="W44" s="553"/>
      <c r="X44" s="553"/>
      <c r="Y44" s="553"/>
      <c r="Z44" s="553"/>
      <c r="AA44" s="553"/>
      <c r="AB44" s="553"/>
      <c r="AC44" s="553"/>
      <c r="AD44" s="553"/>
    </row>
    <row r="45" spans="1:36">
      <c r="A45" s="254"/>
      <c r="B45" s="257"/>
      <c r="C45" s="259"/>
      <c r="D45" s="255"/>
      <c r="E45" s="255"/>
      <c r="F45" s="255"/>
      <c r="G45" s="257"/>
      <c r="H45" s="257"/>
      <c r="I45" s="257"/>
      <c r="J45" s="257"/>
      <c r="K45" s="257"/>
      <c r="L45" s="257"/>
      <c r="M45" s="257"/>
      <c r="N45" s="257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</row>
    <row r="46" spans="1:36">
      <c r="A46" s="254" t="s">
        <v>295</v>
      </c>
    </row>
    <row r="47" spans="1:36">
      <c r="A47" s="553" t="s">
        <v>296</v>
      </c>
      <c r="B47" s="553"/>
      <c r="C47" s="553"/>
      <c r="D47" s="553"/>
      <c r="E47" s="553"/>
      <c r="F47" s="553"/>
      <c r="G47" s="553"/>
      <c r="H47" s="553"/>
      <c r="I47" s="553"/>
      <c r="J47" s="553"/>
      <c r="K47" s="553"/>
      <c r="L47" s="553"/>
      <c r="M47" s="553"/>
      <c r="N47" s="553"/>
      <c r="O47" s="553"/>
      <c r="P47" s="553"/>
      <c r="Q47" s="553"/>
      <c r="R47" s="553"/>
      <c r="S47" s="553"/>
      <c r="T47" s="553"/>
      <c r="U47" s="553"/>
      <c r="V47" s="553"/>
      <c r="W47" s="553"/>
      <c r="X47" s="553"/>
      <c r="Y47" s="553"/>
      <c r="Z47" s="553"/>
      <c r="AA47" s="553"/>
      <c r="AB47" s="553"/>
      <c r="AC47" s="553"/>
      <c r="AD47" s="553"/>
    </row>
    <row r="48" spans="1:36">
      <c r="A48" s="553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53"/>
      <c r="P48" s="553"/>
      <c r="Q48" s="553"/>
      <c r="R48" s="553"/>
      <c r="S48" s="553"/>
      <c r="T48" s="553"/>
      <c r="U48" s="553"/>
      <c r="V48" s="553"/>
      <c r="W48" s="553"/>
      <c r="X48" s="553"/>
      <c r="Y48" s="553"/>
      <c r="Z48" s="553"/>
      <c r="AA48" s="553"/>
      <c r="AB48" s="553"/>
      <c r="AC48" s="553"/>
      <c r="AD48" s="553"/>
    </row>
    <row r="49" spans="1:30">
      <c r="A49" s="553"/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53"/>
      <c r="AB49" s="553"/>
      <c r="AC49" s="553"/>
      <c r="AD49" s="553"/>
    </row>
    <row r="50" spans="1:30">
      <c r="A50" s="553"/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53"/>
      <c r="AB50" s="553"/>
      <c r="AC50" s="553"/>
      <c r="AD50" s="553"/>
    </row>
    <row r="51" spans="1:30">
      <c r="A51" s="553"/>
      <c r="B51" s="553"/>
      <c r="C51" s="553"/>
      <c r="D51" s="553"/>
      <c r="E51" s="553"/>
      <c r="F51" s="553"/>
      <c r="G51" s="553"/>
      <c r="H51" s="553"/>
      <c r="I51" s="553"/>
      <c r="J51" s="553"/>
      <c r="K51" s="553"/>
      <c r="L51" s="553"/>
      <c r="M51" s="553"/>
      <c r="N51" s="553"/>
      <c r="O51" s="553"/>
      <c r="P51" s="553"/>
      <c r="Q51" s="553"/>
      <c r="R51" s="553"/>
      <c r="S51" s="553"/>
      <c r="T51" s="553"/>
      <c r="U51" s="553"/>
      <c r="V51" s="553"/>
      <c r="W51" s="553"/>
      <c r="X51" s="553"/>
      <c r="Y51" s="553"/>
      <c r="Z51" s="553"/>
      <c r="AA51" s="553"/>
      <c r="AB51" s="553"/>
      <c r="AC51" s="553"/>
      <c r="AD51" s="553"/>
    </row>
    <row r="61" spans="1:30">
      <c r="B61" s="254" t="s">
        <v>279</v>
      </c>
      <c r="C61" s="259"/>
      <c r="D61" s="255"/>
      <c r="E61" s="255"/>
      <c r="F61" s="255"/>
      <c r="G61" s="257"/>
      <c r="H61" s="257"/>
      <c r="I61" s="257"/>
      <c r="J61" s="257"/>
      <c r="K61" s="257"/>
      <c r="L61" s="257"/>
      <c r="M61" s="257"/>
      <c r="N61" s="257"/>
      <c r="R61" s="266"/>
      <c r="S61" s="266"/>
      <c r="T61" s="540" t="str">
        <f>O7</f>
        <v>NI-MC-D-</v>
      </c>
      <c r="U61" s="540"/>
      <c r="V61" s="540"/>
      <c r="W61" s="540"/>
      <c r="X61" s="540"/>
      <c r="Y61" s="540"/>
      <c r="Z61" s="540"/>
      <c r="AA61" s="540"/>
      <c r="AB61" s="540"/>
      <c r="AC61" s="540"/>
      <c r="AD61" s="540"/>
    </row>
    <row r="62" spans="1:30">
      <c r="A62" s="254"/>
      <c r="B62" s="257"/>
      <c r="C62" s="259"/>
      <c r="D62" s="255"/>
      <c r="E62" s="255"/>
      <c r="F62" s="255"/>
      <c r="G62" s="257"/>
      <c r="H62" s="257"/>
      <c r="I62" s="257"/>
      <c r="J62" s="257"/>
      <c r="K62" s="257"/>
      <c r="L62" s="257"/>
      <c r="M62" s="257"/>
      <c r="N62" s="257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</row>
    <row r="64" spans="1:30">
      <c r="A64" s="254" t="s">
        <v>297</v>
      </c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</row>
    <row r="65" spans="1:30" ht="15" customHeight="1">
      <c r="A65" s="543" t="s">
        <v>298</v>
      </c>
      <c r="B65" s="543"/>
      <c r="C65" s="543"/>
      <c r="D65" s="543"/>
      <c r="E65" s="543"/>
      <c r="F65" s="543"/>
      <c r="G65" s="543" t="s">
        <v>190</v>
      </c>
      <c r="H65" s="543"/>
      <c r="I65" s="543"/>
      <c r="J65" s="543"/>
      <c r="K65" s="544" t="s">
        <v>186</v>
      </c>
      <c r="L65" s="544"/>
      <c r="M65" s="544"/>
      <c r="N65" s="544"/>
      <c r="O65" s="544"/>
      <c r="P65" s="543" t="s">
        <v>299</v>
      </c>
      <c r="Q65" s="543"/>
      <c r="R65" s="543"/>
      <c r="S65" s="543"/>
      <c r="T65" s="543"/>
      <c r="U65" s="543"/>
      <c r="V65" s="543"/>
      <c r="W65" s="543"/>
      <c r="X65" s="543"/>
      <c r="Y65" s="543" t="s">
        <v>300</v>
      </c>
      <c r="Z65" s="543"/>
      <c r="AA65" s="543"/>
      <c r="AB65" s="543"/>
      <c r="AC65" s="543"/>
      <c r="AD65" s="543"/>
    </row>
    <row r="66" spans="1:30" ht="15" customHeight="1">
      <c r="A66" s="556" t="s">
        <v>116</v>
      </c>
      <c r="B66" s="557" t="s">
        <v>116</v>
      </c>
      <c r="C66" s="557" t="s">
        <v>116</v>
      </c>
      <c r="D66" s="557" t="s">
        <v>116</v>
      </c>
      <c r="E66" s="557" t="s">
        <v>116</v>
      </c>
      <c r="F66" s="558" t="s">
        <v>116</v>
      </c>
      <c r="G66" s="556" t="s">
        <v>320</v>
      </c>
      <c r="H66" s="557" t="s">
        <v>320</v>
      </c>
      <c r="I66" s="557" t="s">
        <v>320</v>
      </c>
      <c r="J66" s="558" t="s">
        <v>320</v>
      </c>
      <c r="K66" s="539" t="s">
        <v>1049</v>
      </c>
      <c r="L66" s="539"/>
      <c r="M66" s="539"/>
      <c r="N66" s="539"/>
      <c r="O66" s="539"/>
      <c r="P66" s="556" t="s">
        <v>321</v>
      </c>
      <c r="Q66" s="557"/>
      <c r="R66" s="557"/>
      <c r="S66" s="557"/>
      <c r="T66" s="557"/>
      <c r="U66" s="557"/>
      <c r="V66" s="557"/>
      <c r="W66" s="557"/>
      <c r="X66" s="558"/>
      <c r="Y66" s="535">
        <v>45021</v>
      </c>
      <c r="Z66" s="535"/>
      <c r="AA66" s="535"/>
      <c r="AB66" s="535"/>
      <c r="AC66" s="535"/>
      <c r="AD66" s="535"/>
    </row>
    <row r="67" spans="1:30" ht="15" customHeight="1">
      <c r="A67" s="556" t="s">
        <v>322</v>
      </c>
      <c r="B67" s="557" t="s">
        <v>322</v>
      </c>
      <c r="C67" s="557" t="s">
        <v>322</v>
      </c>
      <c r="D67" s="557" t="s">
        <v>322</v>
      </c>
      <c r="E67" s="557" t="s">
        <v>322</v>
      </c>
      <c r="F67" s="558" t="s">
        <v>322</v>
      </c>
      <c r="G67" s="556" t="s">
        <v>268</v>
      </c>
      <c r="H67" s="557" t="s">
        <v>268</v>
      </c>
      <c r="I67" s="557" t="s">
        <v>268</v>
      </c>
      <c r="J67" s="558" t="s">
        <v>268</v>
      </c>
      <c r="K67" s="539" t="s">
        <v>1050</v>
      </c>
      <c r="L67" s="539"/>
      <c r="M67" s="539"/>
      <c r="N67" s="539"/>
      <c r="O67" s="539"/>
      <c r="P67" s="556" t="s">
        <v>321</v>
      </c>
      <c r="Q67" s="557"/>
      <c r="R67" s="557"/>
      <c r="S67" s="557"/>
      <c r="T67" s="557"/>
      <c r="U67" s="557"/>
      <c r="V67" s="557"/>
      <c r="W67" s="557"/>
      <c r="X67" s="558"/>
      <c r="Y67" s="535">
        <v>45132</v>
      </c>
      <c r="Z67" s="535"/>
      <c r="AA67" s="535"/>
      <c r="AB67" s="535"/>
      <c r="AC67" s="535"/>
      <c r="AD67" s="535"/>
    </row>
    <row r="68" spans="1:30" ht="15" customHeight="1">
      <c r="A68" s="556" t="s">
        <v>1051</v>
      </c>
      <c r="B68" s="557"/>
      <c r="C68" s="557"/>
      <c r="D68" s="557"/>
      <c r="E68" s="557"/>
      <c r="F68" s="558"/>
      <c r="G68" s="556" t="s">
        <v>323</v>
      </c>
      <c r="H68" s="557"/>
      <c r="I68" s="557"/>
      <c r="J68" s="558"/>
      <c r="K68" s="556" t="s">
        <v>1052</v>
      </c>
      <c r="L68" s="557"/>
      <c r="M68" s="557"/>
      <c r="N68" s="557"/>
      <c r="O68" s="558"/>
      <c r="P68" s="556" t="s">
        <v>321</v>
      </c>
      <c r="Q68" s="557"/>
      <c r="R68" s="557"/>
      <c r="S68" s="557"/>
      <c r="T68" s="557"/>
      <c r="U68" s="557"/>
      <c r="V68" s="557"/>
      <c r="W68" s="557"/>
      <c r="X68" s="558"/>
      <c r="Y68" s="535">
        <v>45437</v>
      </c>
      <c r="Z68" s="535"/>
      <c r="AA68" s="535"/>
      <c r="AB68" s="535"/>
      <c r="AC68" s="535"/>
      <c r="AD68" s="535"/>
    </row>
    <row r="69" spans="1:30" ht="15" customHeight="1"/>
    <row r="70" spans="1:30">
      <c r="A70" s="254" t="s">
        <v>301</v>
      </c>
    </row>
    <row r="71" spans="1:30" ht="15" customHeight="1">
      <c r="A71" s="267" t="s">
        <v>302</v>
      </c>
    </row>
    <row r="72" spans="1:30" ht="15" customHeight="1">
      <c r="A72" s="268" t="str">
        <f>'[4]Salida de Datos'!$L$7</f>
        <v>La corrección corresponde al valor del patrón menos las indicación del equipo.</v>
      </c>
    </row>
    <row r="73" spans="1:30">
      <c r="A73" s="268" t="str">
        <f>'[4]Salida de Datos'!$L$8</f>
        <v>La indicación del equipo corresponde al promedio de 3 mediciones en cada punto de calibración.</v>
      </c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</row>
    <row r="74" spans="1:30">
      <c r="A74" s="267" t="s">
        <v>306</v>
      </c>
      <c r="B74" s="257"/>
      <c r="C74" s="257"/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</row>
    <row r="75" spans="1:30" ht="15" customHeight="1">
      <c r="A75" s="267" t="s">
        <v>307</v>
      </c>
      <c r="B75" s="257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57"/>
    </row>
    <row r="76" spans="1:30" ht="15" customHeight="1">
      <c r="A76" s="257" t="s">
        <v>513</v>
      </c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70"/>
      <c r="S76" s="270"/>
      <c r="T76" s="257"/>
      <c r="U76" s="257"/>
      <c r="V76" s="257"/>
      <c r="W76" s="257"/>
      <c r="X76" s="257"/>
      <c r="Y76" s="270"/>
      <c r="Z76" s="270"/>
      <c r="AA76" s="257"/>
    </row>
    <row r="77" spans="1:30" ht="15" customHeight="1">
      <c r="A77" s="267" t="s">
        <v>514</v>
      </c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71"/>
      <c r="S77" s="271"/>
      <c r="T77" s="271"/>
      <c r="U77" s="271"/>
      <c r="V77" s="271"/>
      <c r="Y77" s="270"/>
      <c r="Z77" s="270"/>
      <c r="AA77" s="270"/>
    </row>
    <row r="78" spans="1:30">
      <c r="B78" s="257"/>
      <c r="C78" s="257"/>
      <c r="D78" s="257"/>
      <c r="E78" s="257"/>
      <c r="F78" s="257"/>
      <c r="G78" s="257"/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</row>
    <row r="79" spans="1:30">
      <c r="B79" s="257"/>
      <c r="C79" s="257"/>
      <c r="D79" s="257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</row>
    <row r="85" spans="10:21">
      <c r="J85" s="550" t="s">
        <v>303</v>
      </c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</row>
    <row r="86" spans="10:21">
      <c r="J86" s="551" t="str">
        <f>IF($J$85=[4]Generales!F1,[4]Generales!F6,[4]Generales!F5)</f>
        <v>Director Técnico</v>
      </c>
      <c r="K86" s="551"/>
      <c r="L86" s="551"/>
      <c r="M86" s="551"/>
      <c r="N86" s="551"/>
      <c r="O86" s="551"/>
      <c r="P86" s="551"/>
      <c r="Q86" s="551"/>
      <c r="R86" s="551"/>
      <c r="S86" s="551"/>
      <c r="T86" s="551"/>
      <c r="U86" s="551"/>
    </row>
    <row r="87" spans="10:21">
      <c r="J87" s="549" t="s">
        <v>304</v>
      </c>
      <c r="K87" s="549"/>
      <c r="L87" s="549"/>
      <c r="M87" s="549"/>
      <c r="N87" s="549"/>
      <c r="O87" s="549"/>
      <c r="P87" s="549"/>
      <c r="Q87" s="549"/>
      <c r="R87" s="549"/>
      <c r="S87" s="549"/>
      <c r="T87" s="549"/>
      <c r="U87" s="549"/>
    </row>
    <row r="89" spans="10:21">
      <c r="J89" s="541" t="s">
        <v>305</v>
      </c>
      <c r="K89" s="541"/>
      <c r="L89" s="541"/>
      <c r="M89" s="541"/>
      <c r="N89" s="541"/>
      <c r="O89" s="541"/>
      <c r="P89" s="541"/>
      <c r="Q89" s="541"/>
      <c r="R89" s="541"/>
      <c r="S89" s="541"/>
      <c r="T89" s="541"/>
      <c r="U89" s="541"/>
    </row>
  </sheetData>
  <mergeCells count="92">
    <mergeCell ref="O19:AC19"/>
    <mergeCell ref="O8:S8"/>
    <mergeCell ref="O9:R9"/>
    <mergeCell ref="O13:R13"/>
    <mergeCell ref="O14:R14"/>
    <mergeCell ref="O15:T15"/>
    <mergeCell ref="O17:T17"/>
    <mergeCell ref="O10:R10"/>
    <mergeCell ref="K32:P32"/>
    <mergeCell ref="K33:P33"/>
    <mergeCell ref="O16:P16"/>
    <mergeCell ref="Q16:R16"/>
    <mergeCell ref="O21:Z21"/>
    <mergeCell ref="C24:AA25"/>
    <mergeCell ref="C26:E28"/>
    <mergeCell ref="F26:J28"/>
    <mergeCell ref="K26:P28"/>
    <mergeCell ref="Q26:V28"/>
    <mergeCell ref="W26:AA28"/>
    <mergeCell ref="W29:AA29"/>
    <mergeCell ref="W31:AA31"/>
    <mergeCell ref="W30:AA30"/>
    <mergeCell ref="C30:E30"/>
    <mergeCell ref="F30:J30"/>
    <mergeCell ref="C29:E29"/>
    <mergeCell ref="F29:J29"/>
    <mergeCell ref="C31:E31"/>
    <mergeCell ref="F31:J31"/>
    <mergeCell ref="Q29:V29"/>
    <mergeCell ref="Q30:V30"/>
    <mergeCell ref="Q31:V31"/>
    <mergeCell ref="K29:P29"/>
    <mergeCell ref="K30:P30"/>
    <mergeCell ref="K31:P31"/>
    <mergeCell ref="W32:AA32"/>
    <mergeCell ref="W34:AA34"/>
    <mergeCell ref="C35:E35"/>
    <mergeCell ref="F35:J35"/>
    <mergeCell ref="C33:E33"/>
    <mergeCell ref="F33:J33"/>
    <mergeCell ref="C34:E34"/>
    <mergeCell ref="F34:J34"/>
    <mergeCell ref="C32:E32"/>
    <mergeCell ref="F32:J32"/>
    <mergeCell ref="W33:AA33"/>
    <mergeCell ref="K34:P34"/>
    <mergeCell ref="K35:P35"/>
    <mergeCell ref="Q32:V32"/>
    <mergeCell ref="Q33:V33"/>
    <mergeCell ref="Q34:V34"/>
    <mergeCell ref="J39:K39"/>
    <mergeCell ref="M39:O39"/>
    <mergeCell ref="C36:E36"/>
    <mergeCell ref="F36:J36"/>
    <mergeCell ref="W35:AA35"/>
    <mergeCell ref="K36:P36"/>
    <mergeCell ref="Q35:V35"/>
    <mergeCell ref="Q36:V36"/>
    <mergeCell ref="W36:AA36"/>
    <mergeCell ref="C39:F39"/>
    <mergeCell ref="G39:H39"/>
    <mergeCell ref="J86:U86"/>
    <mergeCell ref="J87:U87"/>
    <mergeCell ref="J89:U89"/>
    <mergeCell ref="J85:U85"/>
    <mergeCell ref="A43:AD44"/>
    <mergeCell ref="A47:AD51"/>
    <mergeCell ref="T61:AD61"/>
    <mergeCell ref="A65:F65"/>
    <mergeCell ref="G65:J65"/>
    <mergeCell ref="K65:O65"/>
    <mergeCell ref="P65:X65"/>
    <mergeCell ref="Y65:AD65"/>
    <mergeCell ref="A68:F68"/>
    <mergeCell ref="A67:F67"/>
    <mergeCell ref="G67:J67"/>
    <mergeCell ref="K67:O67"/>
    <mergeCell ref="Y67:AD67"/>
    <mergeCell ref="P67:X67"/>
    <mergeCell ref="P66:X66"/>
    <mergeCell ref="Y66:AD66"/>
    <mergeCell ref="G68:J68"/>
    <mergeCell ref="K68:O68"/>
    <mergeCell ref="P68:X68"/>
    <mergeCell ref="Y68:AD68"/>
    <mergeCell ref="B40:F40"/>
    <mergeCell ref="G40:H40"/>
    <mergeCell ref="J40:K40"/>
    <mergeCell ref="M40:O40"/>
    <mergeCell ref="A66:F66"/>
    <mergeCell ref="G66:J66"/>
    <mergeCell ref="K66:O66"/>
  </mergeCells>
  <conditionalFormatting sqref="A76">
    <cfRule type="cellIs" priority="1" operator="equal">
      <formula>$G$27</formula>
    </cfRule>
  </conditionalFormatting>
  <pageMargins left="0.7" right="0.7" top="0.75" bottom="0.75" header="0.3" footer="0.3"/>
  <pageSetup orientation="portrait" r:id="rId1"/>
  <headerFooter>
    <oddHeader>&amp;C
&amp;G</oddHeader>
    <oddFooter xml:space="preserve">&amp;C&amp;G&amp;R&amp;8Página &amp;Pde&amp;N&amp;10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C370"/>
  <sheetViews>
    <sheetView topLeftCell="A345" zoomScale="88" zoomScaleNormal="88" workbookViewId="0">
      <selection activeCell="C376" sqref="C376"/>
    </sheetView>
  </sheetViews>
  <sheetFormatPr baseColWidth="10" defaultColWidth="11.44140625" defaultRowHeight="13.2"/>
  <cols>
    <col min="1" max="1" width="7.109375" style="316" customWidth="1"/>
    <col min="2" max="2" width="56.88671875" style="316" customWidth="1"/>
    <col min="3" max="3" width="83.88671875" style="316" bestFit="1" customWidth="1"/>
  </cols>
  <sheetData>
    <row r="1" spans="1:3" ht="6.6" customHeight="1">
      <c r="A1"/>
      <c r="B1"/>
      <c r="C1"/>
    </row>
    <row r="2" spans="1:3" ht="14.4">
      <c r="A2" s="430" t="s">
        <v>328</v>
      </c>
      <c r="B2" s="430"/>
      <c r="C2" s="430"/>
    </row>
    <row r="3" spans="1:3">
      <c r="B3" s="431" t="s">
        <v>329</v>
      </c>
      <c r="C3" s="431"/>
    </row>
    <row r="4" spans="1:3" ht="7.2" customHeight="1">
      <c r="B4" s="317"/>
      <c r="C4" s="317"/>
    </row>
    <row r="5" spans="1:3" ht="13.8">
      <c r="A5" s="318" t="s">
        <v>330</v>
      </c>
      <c r="B5" s="319" t="s">
        <v>521</v>
      </c>
      <c r="C5" s="319" t="s">
        <v>522</v>
      </c>
    </row>
    <row r="6" spans="1:3">
      <c r="A6" s="320">
        <v>1</v>
      </c>
      <c r="B6" s="321" t="s">
        <v>523</v>
      </c>
      <c r="C6" s="321" t="s">
        <v>331</v>
      </c>
    </row>
    <row r="7" spans="1:3">
      <c r="A7" s="320">
        <v>2</v>
      </c>
      <c r="B7" s="322" t="s">
        <v>524</v>
      </c>
      <c r="C7" s="321" t="s">
        <v>525</v>
      </c>
    </row>
    <row r="8" spans="1:3">
      <c r="A8" s="320">
        <v>3</v>
      </c>
      <c r="B8" s="321" t="s">
        <v>343</v>
      </c>
      <c r="C8" s="321" t="s">
        <v>344</v>
      </c>
    </row>
    <row r="9" spans="1:3">
      <c r="A9" s="320">
        <v>4</v>
      </c>
      <c r="B9" s="321" t="s">
        <v>526</v>
      </c>
      <c r="C9" s="321" t="s">
        <v>527</v>
      </c>
    </row>
    <row r="10" spans="1:3">
      <c r="A10" s="320">
        <v>5</v>
      </c>
      <c r="B10" s="321" t="s">
        <v>332</v>
      </c>
      <c r="C10" s="321" t="s">
        <v>333</v>
      </c>
    </row>
    <row r="11" spans="1:3">
      <c r="A11" s="320">
        <v>6</v>
      </c>
      <c r="B11" s="323" t="s">
        <v>528</v>
      </c>
      <c r="C11" s="323" t="s">
        <v>529</v>
      </c>
    </row>
    <row r="12" spans="1:3">
      <c r="A12" s="320">
        <v>7</v>
      </c>
      <c r="B12" s="321" t="s">
        <v>530</v>
      </c>
      <c r="C12" s="321" t="s">
        <v>531</v>
      </c>
    </row>
    <row r="13" spans="1:3">
      <c r="A13" s="320">
        <v>8</v>
      </c>
      <c r="B13" s="321" t="s">
        <v>346</v>
      </c>
      <c r="C13" s="321" t="s">
        <v>347</v>
      </c>
    </row>
    <row r="14" spans="1:3">
      <c r="A14" s="320">
        <v>9</v>
      </c>
      <c r="B14" s="321" t="s">
        <v>334</v>
      </c>
      <c r="C14" s="321" t="s">
        <v>335</v>
      </c>
    </row>
    <row r="15" spans="1:3">
      <c r="A15" s="320">
        <v>10</v>
      </c>
      <c r="B15" s="321" t="s">
        <v>339</v>
      </c>
      <c r="C15" s="321" t="s">
        <v>340</v>
      </c>
    </row>
    <row r="16" spans="1:3">
      <c r="A16" s="320">
        <v>11</v>
      </c>
      <c r="B16" s="257" t="s">
        <v>532</v>
      </c>
      <c r="C16" s="323" t="s">
        <v>533</v>
      </c>
    </row>
    <row r="17" spans="1:3">
      <c r="A17" s="320">
        <v>12</v>
      </c>
      <c r="B17" s="321" t="s">
        <v>534</v>
      </c>
      <c r="C17" s="321" t="s">
        <v>535</v>
      </c>
    </row>
    <row r="18" spans="1:3">
      <c r="A18" s="320">
        <v>13</v>
      </c>
      <c r="B18" s="321" t="s">
        <v>337</v>
      </c>
      <c r="C18" s="321" t="s">
        <v>338</v>
      </c>
    </row>
    <row r="19" spans="1:3">
      <c r="A19" s="320">
        <v>14</v>
      </c>
      <c r="B19" s="321" t="s">
        <v>536</v>
      </c>
      <c r="C19" s="321" t="s">
        <v>406</v>
      </c>
    </row>
    <row r="20" spans="1:3">
      <c r="A20" s="320">
        <v>15</v>
      </c>
      <c r="B20" s="321" t="s">
        <v>537</v>
      </c>
      <c r="C20" s="321" t="s">
        <v>538</v>
      </c>
    </row>
    <row r="21" spans="1:3">
      <c r="A21" s="320">
        <v>16</v>
      </c>
      <c r="B21" s="321" t="s">
        <v>539</v>
      </c>
      <c r="C21" s="321" t="s">
        <v>348</v>
      </c>
    </row>
    <row r="22" spans="1:3" ht="26.4">
      <c r="A22" s="320">
        <v>17</v>
      </c>
      <c r="B22" s="321" t="s">
        <v>540</v>
      </c>
      <c r="C22" s="321" t="s">
        <v>541</v>
      </c>
    </row>
    <row r="23" spans="1:3">
      <c r="A23" s="320">
        <v>18</v>
      </c>
      <c r="B23" s="321" t="s">
        <v>542</v>
      </c>
      <c r="C23" s="321" t="s">
        <v>543</v>
      </c>
    </row>
    <row r="24" spans="1:3">
      <c r="A24" s="320">
        <v>19</v>
      </c>
      <c r="B24" s="321" t="s">
        <v>544</v>
      </c>
      <c r="C24" s="321" t="s">
        <v>545</v>
      </c>
    </row>
    <row r="25" spans="1:3">
      <c r="A25" s="320">
        <v>20</v>
      </c>
      <c r="B25" s="321" t="s">
        <v>546</v>
      </c>
      <c r="C25" s="321" t="s">
        <v>266</v>
      </c>
    </row>
    <row r="26" spans="1:3">
      <c r="A26" s="320">
        <v>21</v>
      </c>
      <c r="B26" s="321" t="s">
        <v>547</v>
      </c>
      <c r="C26" s="321" t="s">
        <v>548</v>
      </c>
    </row>
    <row r="27" spans="1:3">
      <c r="A27" s="320">
        <v>22</v>
      </c>
      <c r="B27" s="321" t="s">
        <v>549</v>
      </c>
      <c r="C27" s="321" t="s">
        <v>550</v>
      </c>
    </row>
    <row r="28" spans="1:3">
      <c r="A28" s="320">
        <v>23</v>
      </c>
      <c r="B28" s="321" t="s">
        <v>551</v>
      </c>
      <c r="C28" s="321" t="s">
        <v>552</v>
      </c>
    </row>
    <row r="29" spans="1:3">
      <c r="A29" s="320">
        <v>24</v>
      </c>
      <c r="B29" s="321" t="s">
        <v>553</v>
      </c>
      <c r="C29" s="321" t="s">
        <v>341</v>
      </c>
    </row>
    <row r="30" spans="1:3">
      <c r="A30" s="320">
        <v>25</v>
      </c>
      <c r="B30" s="321" t="s">
        <v>554</v>
      </c>
      <c r="C30" s="321" t="s">
        <v>345</v>
      </c>
    </row>
    <row r="31" spans="1:3">
      <c r="A31" s="320">
        <v>26</v>
      </c>
      <c r="B31" s="321" t="s">
        <v>555</v>
      </c>
      <c r="C31" s="321" t="s">
        <v>556</v>
      </c>
    </row>
    <row r="32" spans="1:3">
      <c r="A32" s="320">
        <v>27</v>
      </c>
      <c r="B32" s="321" t="s">
        <v>557</v>
      </c>
      <c r="C32" s="321" t="s">
        <v>558</v>
      </c>
    </row>
    <row r="33" spans="1:3">
      <c r="A33" s="320">
        <v>28</v>
      </c>
      <c r="B33" s="321" t="s">
        <v>342</v>
      </c>
      <c r="C33" s="322" t="s">
        <v>559</v>
      </c>
    </row>
    <row r="34" spans="1:3">
      <c r="A34" s="320">
        <v>29</v>
      </c>
      <c r="B34" s="321" t="s">
        <v>560</v>
      </c>
      <c r="C34" s="321" t="s">
        <v>349</v>
      </c>
    </row>
    <row r="35" spans="1:3">
      <c r="A35" s="320">
        <v>30</v>
      </c>
      <c r="B35" s="321" t="s">
        <v>561</v>
      </c>
      <c r="C35" s="321" t="s">
        <v>562</v>
      </c>
    </row>
    <row r="36" spans="1:3">
      <c r="A36" s="320">
        <v>31</v>
      </c>
      <c r="B36" s="321" t="s">
        <v>563</v>
      </c>
      <c r="C36" s="321" t="s">
        <v>564</v>
      </c>
    </row>
    <row r="37" spans="1:3">
      <c r="A37" s="320">
        <v>32</v>
      </c>
      <c r="B37" s="321" t="s">
        <v>350</v>
      </c>
      <c r="C37" s="321" t="s">
        <v>351</v>
      </c>
    </row>
    <row r="38" spans="1:3">
      <c r="A38" s="320">
        <v>33</v>
      </c>
      <c r="B38" s="321" t="s">
        <v>565</v>
      </c>
      <c r="C38" s="321" t="s">
        <v>566</v>
      </c>
    </row>
    <row r="39" spans="1:3">
      <c r="A39" s="320">
        <v>34</v>
      </c>
      <c r="B39" s="321" t="s">
        <v>567</v>
      </c>
      <c r="C39" s="321" t="s">
        <v>568</v>
      </c>
    </row>
    <row r="40" spans="1:3">
      <c r="A40" s="320">
        <v>35</v>
      </c>
      <c r="B40" s="257" t="s">
        <v>569</v>
      </c>
      <c r="C40" s="321" t="s">
        <v>570</v>
      </c>
    </row>
    <row r="41" spans="1:3">
      <c r="A41" s="320">
        <v>36</v>
      </c>
      <c r="B41" s="321" t="s">
        <v>352</v>
      </c>
      <c r="C41" s="321" t="s">
        <v>353</v>
      </c>
    </row>
    <row r="42" spans="1:3">
      <c r="A42" s="320">
        <v>37</v>
      </c>
      <c r="B42" s="324" t="s">
        <v>571</v>
      </c>
      <c r="C42" s="321" t="s">
        <v>572</v>
      </c>
    </row>
    <row r="43" spans="1:3">
      <c r="A43" s="320">
        <v>38</v>
      </c>
      <c r="B43" s="321" t="s">
        <v>573</v>
      </c>
      <c r="C43" s="321" t="s">
        <v>574</v>
      </c>
    </row>
    <row r="44" spans="1:3">
      <c r="A44" s="320">
        <v>39</v>
      </c>
      <c r="B44" s="321" t="s">
        <v>575</v>
      </c>
      <c r="C44" s="321" t="s">
        <v>576</v>
      </c>
    </row>
    <row r="45" spans="1:3">
      <c r="A45" s="320">
        <v>40</v>
      </c>
      <c r="B45" s="321" t="s">
        <v>577</v>
      </c>
      <c r="C45" s="321" t="s">
        <v>578</v>
      </c>
    </row>
    <row r="46" spans="1:3">
      <c r="A46" s="320">
        <v>41</v>
      </c>
      <c r="B46" s="321" t="s">
        <v>579</v>
      </c>
      <c r="C46" s="321" t="s">
        <v>357</v>
      </c>
    </row>
    <row r="47" spans="1:3">
      <c r="A47" s="320">
        <v>42</v>
      </c>
      <c r="B47" s="321" t="s">
        <v>580</v>
      </c>
      <c r="C47" s="321" t="s">
        <v>354</v>
      </c>
    </row>
    <row r="48" spans="1:3">
      <c r="A48" s="320">
        <v>43</v>
      </c>
      <c r="B48" s="321" t="s">
        <v>581</v>
      </c>
      <c r="C48" s="321" t="s">
        <v>355</v>
      </c>
    </row>
    <row r="49" spans="1:3">
      <c r="A49" s="320">
        <v>44</v>
      </c>
      <c r="B49" s="321" t="s">
        <v>358</v>
      </c>
      <c r="C49" s="321" t="s">
        <v>359</v>
      </c>
    </row>
    <row r="50" spans="1:3">
      <c r="A50" s="320">
        <v>45</v>
      </c>
      <c r="B50" s="321" t="s">
        <v>582</v>
      </c>
      <c r="C50" s="321" t="s">
        <v>583</v>
      </c>
    </row>
    <row r="51" spans="1:3">
      <c r="A51" s="320">
        <v>46</v>
      </c>
      <c r="B51" s="321" t="s">
        <v>584</v>
      </c>
      <c r="C51" s="321" t="s">
        <v>585</v>
      </c>
    </row>
    <row r="52" spans="1:3">
      <c r="A52" s="320"/>
      <c r="B52" s="321" t="s">
        <v>586</v>
      </c>
      <c r="C52" s="321" t="s">
        <v>587</v>
      </c>
    </row>
    <row r="53" spans="1:3">
      <c r="A53" s="320">
        <v>47</v>
      </c>
      <c r="B53" s="321" t="s">
        <v>588</v>
      </c>
      <c r="C53" s="321" t="s">
        <v>362</v>
      </c>
    </row>
    <row r="54" spans="1:3">
      <c r="A54" s="320">
        <v>48</v>
      </c>
      <c r="B54" s="321" t="s">
        <v>589</v>
      </c>
      <c r="C54" s="321" t="s">
        <v>590</v>
      </c>
    </row>
    <row r="55" spans="1:3">
      <c r="A55" s="320">
        <v>49</v>
      </c>
      <c r="B55" s="321" t="s">
        <v>591</v>
      </c>
      <c r="C55" s="321" t="s">
        <v>592</v>
      </c>
    </row>
    <row r="56" spans="1:3">
      <c r="A56" s="320">
        <v>50</v>
      </c>
      <c r="B56" s="321" t="s">
        <v>593</v>
      </c>
      <c r="C56" s="321" t="s">
        <v>360</v>
      </c>
    </row>
    <row r="57" spans="1:3">
      <c r="A57" s="320">
        <v>51</v>
      </c>
      <c r="B57" s="321" t="s">
        <v>594</v>
      </c>
      <c r="C57" s="321" t="s">
        <v>361</v>
      </c>
    </row>
    <row r="58" spans="1:3">
      <c r="A58" s="320">
        <v>52</v>
      </c>
      <c r="B58" s="321" t="s">
        <v>595</v>
      </c>
      <c r="C58" s="321" t="s">
        <v>365</v>
      </c>
    </row>
    <row r="59" spans="1:3">
      <c r="A59" s="320">
        <v>53</v>
      </c>
      <c r="B59" s="321" t="s">
        <v>596</v>
      </c>
      <c r="C59" s="321" t="s">
        <v>365</v>
      </c>
    </row>
    <row r="60" spans="1:3">
      <c r="A60" s="320">
        <v>54</v>
      </c>
      <c r="B60" s="321" t="s">
        <v>597</v>
      </c>
      <c r="C60" s="321" t="s">
        <v>365</v>
      </c>
    </row>
    <row r="61" spans="1:3">
      <c r="A61" s="320">
        <v>55</v>
      </c>
      <c r="B61" s="321" t="s">
        <v>598</v>
      </c>
      <c r="C61" s="321" t="s">
        <v>599</v>
      </c>
    </row>
    <row r="62" spans="1:3">
      <c r="A62" s="320">
        <v>56</v>
      </c>
      <c r="B62" s="321" t="s">
        <v>600</v>
      </c>
      <c r="C62" s="321" t="s">
        <v>368</v>
      </c>
    </row>
    <row r="63" spans="1:3">
      <c r="A63" s="320">
        <v>57</v>
      </c>
      <c r="B63" s="321" t="s">
        <v>601</v>
      </c>
      <c r="C63" s="321" t="s">
        <v>602</v>
      </c>
    </row>
    <row r="64" spans="1:3">
      <c r="A64" s="320">
        <v>58</v>
      </c>
      <c r="B64" s="321" t="s">
        <v>603</v>
      </c>
      <c r="C64" s="321" t="s">
        <v>367</v>
      </c>
    </row>
    <row r="65" spans="1:3">
      <c r="A65" s="320">
        <v>59</v>
      </c>
      <c r="B65" s="321" t="s">
        <v>604</v>
      </c>
      <c r="C65" s="325" t="s">
        <v>605</v>
      </c>
    </row>
    <row r="66" spans="1:3">
      <c r="A66" s="320">
        <v>60</v>
      </c>
      <c r="B66" s="321" t="s">
        <v>606</v>
      </c>
      <c r="C66" s="325" t="s">
        <v>607</v>
      </c>
    </row>
    <row r="67" spans="1:3">
      <c r="A67" s="320">
        <v>61</v>
      </c>
      <c r="B67" s="326" t="s">
        <v>608</v>
      </c>
      <c r="C67" s="326" t="s">
        <v>366</v>
      </c>
    </row>
    <row r="68" spans="1:3">
      <c r="A68" s="320">
        <v>62</v>
      </c>
      <c r="B68" s="321" t="s">
        <v>609</v>
      </c>
      <c r="C68" s="321" t="s">
        <v>610</v>
      </c>
    </row>
    <row r="69" spans="1:3">
      <c r="A69" s="320">
        <v>63</v>
      </c>
      <c r="B69" s="321" t="s">
        <v>611</v>
      </c>
      <c r="C69" s="321" t="s">
        <v>570</v>
      </c>
    </row>
    <row r="70" spans="1:3">
      <c r="A70" s="320">
        <v>64</v>
      </c>
      <c r="B70" s="321" t="s">
        <v>612</v>
      </c>
      <c r="C70" s="321" t="s">
        <v>369</v>
      </c>
    </row>
    <row r="71" spans="1:3">
      <c r="A71" s="320">
        <v>65</v>
      </c>
      <c r="B71" s="321" t="s">
        <v>613</v>
      </c>
      <c r="C71" s="321" t="s">
        <v>614</v>
      </c>
    </row>
    <row r="72" spans="1:3">
      <c r="A72" s="320">
        <v>66</v>
      </c>
      <c r="B72" s="321" t="s">
        <v>370</v>
      </c>
      <c r="C72" s="321" t="s">
        <v>266</v>
      </c>
    </row>
    <row r="73" spans="1:3">
      <c r="A73" s="320">
        <v>67</v>
      </c>
      <c r="B73" s="321" t="s">
        <v>615</v>
      </c>
      <c r="C73" s="321" t="s">
        <v>616</v>
      </c>
    </row>
    <row r="74" spans="1:3">
      <c r="A74" s="320">
        <v>68</v>
      </c>
      <c r="B74" s="321" t="s">
        <v>617</v>
      </c>
      <c r="C74" s="321" t="s">
        <v>371</v>
      </c>
    </row>
    <row r="75" spans="1:3">
      <c r="A75" s="320">
        <v>69</v>
      </c>
      <c r="B75" s="321" t="s">
        <v>618</v>
      </c>
      <c r="C75" s="321" t="s">
        <v>619</v>
      </c>
    </row>
    <row r="76" spans="1:3">
      <c r="A76" s="320">
        <v>70</v>
      </c>
      <c r="B76" s="321" t="s">
        <v>620</v>
      </c>
      <c r="C76" s="321" t="s">
        <v>621</v>
      </c>
    </row>
    <row r="77" spans="1:3">
      <c r="A77" s="320"/>
      <c r="B77" s="321" t="s">
        <v>622</v>
      </c>
      <c r="C77" s="321" t="s">
        <v>623</v>
      </c>
    </row>
    <row r="78" spans="1:3">
      <c r="A78" s="320">
        <v>71</v>
      </c>
      <c r="B78" s="321" t="s">
        <v>624</v>
      </c>
      <c r="C78" s="321" t="s">
        <v>266</v>
      </c>
    </row>
    <row r="79" spans="1:3">
      <c r="A79" s="320">
        <v>72</v>
      </c>
      <c r="B79" s="321" t="s">
        <v>625</v>
      </c>
      <c r="C79" s="321" t="s">
        <v>626</v>
      </c>
    </row>
    <row r="80" spans="1:3">
      <c r="A80" s="320">
        <v>73</v>
      </c>
      <c r="B80" s="321" t="s">
        <v>627</v>
      </c>
      <c r="C80" s="321" t="s">
        <v>628</v>
      </c>
    </row>
    <row r="81" spans="1:3">
      <c r="A81" s="320">
        <v>74</v>
      </c>
      <c r="B81" s="321" t="s">
        <v>372</v>
      </c>
      <c r="C81" s="321" t="s">
        <v>629</v>
      </c>
    </row>
    <row r="82" spans="1:3">
      <c r="A82" s="320">
        <v>75</v>
      </c>
      <c r="B82" s="321" t="s">
        <v>376</v>
      </c>
      <c r="C82" s="321" t="s">
        <v>630</v>
      </c>
    </row>
    <row r="83" spans="1:3">
      <c r="A83" s="320">
        <v>76</v>
      </c>
      <c r="B83" s="321" t="s">
        <v>631</v>
      </c>
      <c r="C83" s="321" t="s">
        <v>632</v>
      </c>
    </row>
    <row r="84" spans="1:3">
      <c r="A84" s="320">
        <v>77</v>
      </c>
      <c r="B84" s="321" t="s">
        <v>633</v>
      </c>
      <c r="C84" s="321" t="s">
        <v>634</v>
      </c>
    </row>
    <row r="85" spans="1:3">
      <c r="A85" s="320">
        <v>78</v>
      </c>
      <c r="B85" s="321" t="s">
        <v>635</v>
      </c>
      <c r="C85" s="321" t="s">
        <v>636</v>
      </c>
    </row>
    <row r="86" spans="1:3">
      <c r="A86" s="320">
        <v>79</v>
      </c>
      <c r="B86" s="321" t="s">
        <v>637</v>
      </c>
      <c r="C86" s="257" t="s">
        <v>638</v>
      </c>
    </row>
    <row r="87" spans="1:3">
      <c r="A87" s="320">
        <v>80</v>
      </c>
      <c r="B87" s="321" t="s">
        <v>639</v>
      </c>
      <c r="C87" s="321" t="s">
        <v>640</v>
      </c>
    </row>
    <row r="88" spans="1:3">
      <c r="A88" s="320">
        <v>81</v>
      </c>
      <c r="B88" s="321" t="s">
        <v>641</v>
      </c>
      <c r="C88" s="321" t="s">
        <v>374</v>
      </c>
    </row>
    <row r="89" spans="1:3">
      <c r="A89" s="320">
        <v>82</v>
      </c>
      <c r="B89" s="321" t="s">
        <v>642</v>
      </c>
      <c r="C89" s="321" t="s">
        <v>643</v>
      </c>
    </row>
    <row r="90" spans="1:3">
      <c r="A90" s="320">
        <v>83</v>
      </c>
      <c r="B90" s="321" t="s">
        <v>644</v>
      </c>
      <c r="C90" s="321" t="s">
        <v>645</v>
      </c>
    </row>
    <row r="91" spans="1:3">
      <c r="A91" s="320">
        <v>84</v>
      </c>
      <c r="B91" s="321" t="s">
        <v>646</v>
      </c>
      <c r="C91" s="321" t="s">
        <v>375</v>
      </c>
    </row>
    <row r="92" spans="1:3">
      <c r="A92" s="320">
        <v>85</v>
      </c>
      <c r="B92" s="321" t="s">
        <v>378</v>
      </c>
      <c r="C92" s="321" t="s">
        <v>379</v>
      </c>
    </row>
    <row r="93" spans="1:3">
      <c r="A93" s="320">
        <v>86</v>
      </c>
      <c r="B93" s="321" t="s">
        <v>647</v>
      </c>
      <c r="C93" s="321" t="s">
        <v>648</v>
      </c>
    </row>
    <row r="94" spans="1:3">
      <c r="A94" s="320">
        <v>87</v>
      </c>
      <c r="B94" s="321" t="s">
        <v>649</v>
      </c>
      <c r="C94" s="321" t="s">
        <v>373</v>
      </c>
    </row>
    <row r="95" spans="1:3">
      <c r="A95" s="320">
        <v>88</v>
      </c>
      <c r="B95" s="321" t="s">
        <v>650</v>
      </c>
      <c r="C95" s="321" t="s">
        <v>651</v>
      </c>
    </row>
    <row r="96" spans="1:3">
      <c r="A96" s="320">
        <v>89</v>
      </c>
      <c r="B96" s="321" t="s">
        <v>652</v>
      </c>
      <c r="C96" s="321" t="s">
        <v>653</v>
      </c>
    </row>
    <row r="97" spans="1:3">
      <c r="A97" s="320">
        <v>90</v>
      </c>
      <c r="B97" s="321" t="s">
        <v>654</v>
      </c>
      <c r="C97" s="321" t="s">
        <v>655</v>
      </c>
    </row>
    <row r="98" spans="1:3">
      <c r="A98" s="320"/>
      <c r="B98" s="321" t="s">
        <v>656</v>
      </c>
      <c r="C98" s="321" t="s">
        <v>657</v>
      </c>
    </row>
    <row r="99" spans="1:3">
      <c r="A99" s="320">
        <v>91</v>
      </c>
      <c r="B99" s="321" t="s">
        <v>658</v>
      </c>
      <c r="C99" s="321" t="s">
        <v>659</v>
      </c>
    </row>
    <row r="100" spans="1:3">
      <c r="A100" s="320"/>
      <c r="B100" s="321" t="s">
        <v>660</v>
      </c>
      <c r="C100" s="321" t="s">
        <v>661</v>
      </c>
    </row>
    <row r="101" spans="1:3">
      <c r="A101" s="320">
        <v>92</v>
      </c>
      <c r="B101" s="321" t="s">
        <v>662</v>
      </c>
      <c r="C101" s="321" t="s">
        <v>377</v>
      </c>
    </row>
    <row r="102" spans="1:3">
      <c r="A102" s="320">
        <v>93</v>
      </c>
      <c r="B102" s="321" t="s">
        <v>663</v>
      </c>
      <c r="C102" s="321" t="s">
        <v>664</v>
      </c>
    </row>
    <row r="103" spans="1:3">
      <c r="A103" s="320">
        <v>94</v>
      </c>
      <c r="B103" s="321" t="s">
        <v>665</v>
      </c>
      <c r="C103" s="321" t="s">
        <v>666</v>
      </c>
    </row>
    <row r="104" spans="1:3">
      <c r="A104" s="320">
        <v>95</v>
      </c>
      <c r="B104" s="321" t="s">
        <v>667</v>
      </c>
      <c r="C104" s="321" t="s">
        <v>668</v>
      </c>
    </row>
    <row r="105" spans="1:3">
      <c r="A105" s="320">
        <v>96</v>
      </c>
      <c r="B105" s="321" t="s">
        <v>669</v>
      </c>
      <c r="C105" s="321" t="s">
        <v>670</v>
      </c>
    </row>
    <row r="106" spans="1:3">
      <c r="A106" s="320">
        <v>97</v>
      </c>
      <c r="B106" s="321" t="s">
        <v>671</v>
      </c>
      <c r="C106" s="321" t="s">
        <v>381</v>
      </c>
    </row>
    <row r="107" spans="1:3">
      <c r="A107" s="320">
        <v>98</v>
      </c>
      <c r="B107" s="321" t="s">
        <v>672</v>
      </c>
      <c r="C107" s="321" t="s">
        <v>673</v>
      </c>
    </row>
    <row r="108" spans="1:3">
      <c r="A108" s="320">
        <v>99</v>
      </c>
      <c r="B108" s="321" t="s">
        <v>674</v>
      </c>
      <c r="C108" s="321"/>
    </row>
    <row r="109" spans="1:3">
      <c r="A109" s="320">
        <v>100</v>
      </c>
      <c r="B109" s="321" t="s">
        <v>675</v>
      </c>
      <c r="C109" s="321" t="s">
        <v>676</v>
      </c>
    </row>
    <row r="110" spans="1:3">
      <c r="A110" s="320">
        <v>101</v>
      </c>
      <c r="B110" s="321" t="s">
        <v>677</v>
      </c>
      <c r="C110" s="321" t="s">
        <v>678</v>
      </c>
    </row>
    <row r="111" spans="1:3">
      <c r="A111" s="320">
        <v>102</v>
      </c>
      <c r="B111" s="321" t="s">
        <v>679</v>
      </c>
      <c r="C111" s="321" t="s">
        <v>680</v>
      </c>
    </row>
    <row r="112" spans="1:3">
      <c r="A112" s="320">
        <v>103</v>
      </c>
      <c r="B112" s="321" t="s">
        <v>382</v>
      </c>
      <c r="C112" s="321" t="s">
        <v>383</v>
      </c>
    </row>
    <row r="113" spans="1:3">
      <c r="A113" s="320">
        <v>104</v>
      </c>
      <c r="B113" s="321" t="s">
        <v>681</v>
      </c>
      <c r="C113" s="321" t="s">
        <v>682</v>
      </c>
    </row>
    <row r="114" spans="1:3">
      <c r="A114" s="320">
        <v>105</v>
      </c>
      <c r="B114" s="321" t="s">
        <v>683</v>
      </c>
      <c r="C114" s="321" t="s">
        <v>684</v>
      </c>
    </row>
    <row r="115" spans="1:3">
      <c r="A115" s="320">
        <v>106</v>
      </c>
      <c r="B115" s="321" t="s">
        <v>685</v>
      </c>
      <c r="C115" s="321" t="s">
        <v>686</v>
      </c>
    </row>
    <row r="116" spans="1:3">
      <c r="A116" s="320">
        <v>107</v>
      </c>
      <c r="B116" s="321" t="s">
        <v>687</v>
      </c>
      <c r="C116" s="321" t="s">
        <v>688</v>
      </c>
    </row>
    <row r="117" spans="1:3">
      <c r="A117" s="320">
        <v>108</v>
      </c>
      <c r="B117" s="321" t="s">
        <v>689</v>
      </c>
      <c r="C117" s="321" t="s">
        <v>690</v>
      </c>
    </row>
    <row r="118" spans="1:3">
      <c r="A118" s="320">
        <v>109</v>
      </c>
      <c r="B118" s="321" t="s">
        <v>691</v>
      </c>
      <c r="C118" s="321" t="s">
        <v>384</v>
      </c>
    </row>
    <row r="119" spans="1:3">
      <c r="A119" s="320">
        <v>110</v>
      </c>
      <c r="B119" s="321" t="s">
        <v>386</v>
      </c>
      <c r="C119" s="321" t="s">
        <v>387</v>
      </c>
    </row>
    <row r="120" spans="1:3">
      <c r="A120" s="320">
        <v>111</v>
      </c>
      <c r="B120" s="321" t="s">
        <v>692</v>
      </c>
      <c r="C120" s="321" t="s">
        <v>385</v>
      </c>
    </row>
    <row r="121" spans="1:3">
      <c r="A121" s="320">
        <v>112</v>
      </c>
      <c r="B121" s="321" t="s">
        <v>693</v>
      </c>
      <c r="C121" s="321" t="s">
        <v>694</v>
      </c>
    </row>
    <row r="122" spans="1:3">
      <c r="A122" s="320">
        <v>113</v>
      </c>
      <c r="B122" s="321" t="s">
        <v>695</v>
      </c>
      <c r="C122" s="321" t="s">
        <v>390</v>
      </c>
    </row>
    <row r="123" spans="1:3">
      <c r="A123" s="320">
        <v>114</v>
      </c>
      <c r="B123" s="321" t="s">
        <v>696</v>
      </c>
      <c r="C123" s="321" t="s">
        <v>697</v>
      </c>
    </row>
    <row r="124" spans="1:3">
      <c r="A124" s="320">
        <v>115</v>
      </c>
      <c r="B124" s="321" t="s">
        <v>698</v>
      </c>
      <c r="C124" s="321" t="s">
        <v>699</v>
      </c>
    </row>
    <row r="125" spans="1:3">
      <c r="A125" s="320">
        <v>116</v>
      </c>
      <c r="B125" s="321" t="s">
        <v>700</v>
      </c>
      <c r="C125" s="321" t="s">
        <v>701</v>
      </c>
    </row>
    <row r="126" spans="1:3">
      <c r="A126" s="320">
        <v>117</v>
      </c>
      <c r="B126" s="321" t="s">
        <v>391</v>
      </c>
      <c r="C126" s="321" t="s">
        <v>392</v>
      </c>
    </row>
    <row r="127" spans="1:3">
      <c r="A127" s="320">
        <v>118</v>
      </c>
      <c r="B127" s="321" t="s">
        <v>702</v>
      </c>
      <c r="C127" s="321" t="s">
        <v>703</v>
      </c>
    </row>
    <row r="128" spans="1:3">
      <c r="A128" s="320">
        <v>119</v>
      </c>
      <c r="B128" s="321" t="s">
        <v>704</v>
      </c>
      <c r="C128" s="321" t="s">
        <v>705</v>
      </c>
    </row>
    <row r="129" spans="1:3">
      <c r="A129" s="320">
        <v>120</v>
      </c>
      <c r="B129" s="321" t="s">
        <v>706</v>
      </c>
      <c r="C129" s="321" t="s">
        <v>707</v>
      </c>
    </row>
    <row r="130" spans="1:3">
      <c r="A130" s="320">
        <v>121</v>
      </c>
      <c r="B130" s="321" t="s">
        <v>708</v>
      </c>
      <c r="C130" s="321" t="s">
        <v>709</v>
      </c>
    </row>
    <row r="131" spans="1:3">
      <c r="A131" s="320">
        <v>122</v>
      </c>
      <c r="B131" s="321" t="s">
        <v>388</v>
      </c>
      <c r="C131" s="321" t="s">
        <v>710</v>
      </c>
    </row>
    <row r="132" spans="1:3">
      <c r="A132" s="320"/>
      <c r="B132" s="321" t="s">
        <v>711</v>
      </c>
      <c r="C132" s="321" t="s">
        <v>712</v>
      </c>
    </row>
    <row r="133" spans="1:3">
      <c r="A133" s="320">
        <v>123</v>
      </c>
      <c r="B133" s="321" t="s">
        <v>713</v>
      </c>
      <c r="C133" s="321" t="s">
        <v>393</v>
      </c>
    </row>
    <row r="134" spans="1:3">
      <c r="A134" s="320">
        <v>124</v>
      </c>
      <c r="B134" s="321" t="s">
        <v>714</v>
      </c>
      <c r="C134" s="321" t="s">
        <v>715</v>
      </c>
    </row>
    <row r="135" spans="1:3">
      <c r="A135" s="320">
        <v>125</v>
      </c>
      <c r="B135" s="321" t="s">
        <v>716</v>
      </c>
      <c r="C135" s="321" t="s">
        <v>717</v>
      </c>
    </row>
    <row r="136" spans="1:3">
      <c r="A136" s="320">
        <v>126</v>
      </c>
      <c r="B136" s="321" t="s">
        <v>718</v>
      </c>
      <c r="C136" s="321" t="s">
        <v>436</v>
      </c>
    </row>
    <row r="137" spans="1:3">
      <c r="A137" s="320">
        <v>127</v>
      </c>
      <c r="B137" s="321" t="s">
        <v>719</v>
      </c>
      <c r="C137" s="321" t="s">
        <v>394</v>
      </c>
    </row>
    <row r="138" spans="1:3">
      <c r="A138" s="320">
        <v>128</v>
      </c>
      <c r="B138" s="321" t="s">
        <v>720</v>
      </c>
      <c r="C138" s="321" t="s">
        <v>721</v>
      </c>
    </row>
    <row r="139" spans="1:3">
      <c r="A139" s="320">
        <v>129</v>
      </c>
      <c r="B139" s="321" t="s">
        <v>722</v>
      </c>
      <c r="C139" s="321" t="s">
        <v>395</v>
      </c>
    </row>
    <row r="140" spans="1:3" ht="26.4">
      <c r="A140" s="320">
        <v>130</v>
      </c>
      <c r="B140" s="321" t="s">
        <v>723</v>
      </c>
      <c r="C140" s="321" t="s">
        <v>724</v>
      </c>
    </row>
    <row r="141" spans="1:3">
      <c r="A141" s="320"/>
      <c r="B141" s="321" t="s">
        <v>725</v>
      </c>
      <c r="C141" s="321" t="s">
        <v>726</v>
      </c>
    </row>
    <row r="142" spans="1:3" ht="26.4">
      <c r="A142" s="320">
        <v>131</v>
      </c>
      <c r="B142" s="321" t="s">
        <v>727</v>
      </c>
      <c r="C142" s="321" t="s">
        <v>728</v>
      </c>
    </row>
    <row r="143" spans="1:3">
      <c r="A143" s="320">
        <v>132</v>
      </c>
      <c r="B143" s="321" t="s">
        <v>729</v>
      </c>
      <c r="C143" s="321" t="s">
        <v>730</v>
      </c>
    </row>
    <row r="144" spans="1:3">
      <c r="A144" s="320">
        <v>133</v>
      </c>
      <c r="B144" s="321" t="s">
        <v>731</v>
      </c>
      <c r="C144" s="321" t="s">
        <v>732</v>
      </c>
    </row>
    <row r="145" spans="1:3">
      <c r="A145" s="320">
        <v>134</v>
      </c>
      <c r="B145" s="321" t="s">
        <v>733</v>
      </c>
      <c r="C145" s="321" t="s">
        <v>734</v>
      </c>
    </row>
    <row r="146" spans="1:3">
      <c r="A146" s="320">
        <v>135</v>
      </c>
      <c r="B146" s="321" t="s">
        <v>735</v>
      </c>
      <c r="C146" s="321" t="s">
        <v>400</v>
      </c>
    </row>
    <row r="147" spans="1:3">
      <c r="A147" s="320">
        <v>136</v>
      </c>
      <c r="B147" s="321" t="s">
        <v>736</v>
      </c>
      <c r="C147" s="321" t="s">
        <v>403</v>
      </c>
    </row>
    <row r="148" spans="1:3">
      <c r="A148" s="320">
        <v>137</v>
      </c>
      <c r="B148" s="321" t="s">
        <v>737</v>
      </c>
      <c r="C148" s="321" t="s">
        <v>738</v>
      </c>
    </row>
    <row r="149" spans="1:3">
      <c r="A149" s="320">
        <v>138</v>
      </c>
      <c r="B149" s="321" t="s">
        <v>739</v>
      </c>
      <c r="C149" s="321" t="s">
        <v>266</v>
      </c>
    </row>
    <row r="150" spans="1:3">
      <c r="A150" s="320">
        <v>139</v>
      </c>
      <c r="B150" s="321" t="s">
        <v>740</v>
      </c>
      <c r="C150" s="321" t="s">
        <v>397</v>
      </c>
    </row>
    <row r="151" spans="1:3">
      <c r="A151" s="320">
        <v>140</v>
      </c>
      <c r="B151" s="321" t="s">
        <v>741</v>
      </c>
      <c r="C151" s="321" t="s">
        <v>742</v>
      </c>
    </row>
    <row r="152" spans="1:3">
      <c r="A152" s="320">
        <v>141</v>
      </c>
      <c r="B152" s="321" t="s">
        <v>743</v>
      </c>
      <c r="C152" s="321" t="s">
        <v>742</v>
      </c>
    </row>
    <row r="153" spans="1:3">
      <c r="A153" s="320">
        <v>142</v>
      </c>
      <c r="B153" s="321" t="s">
        <v>744</v>
      </c>
      <c r="C153" s="321" t="s">
        <v>399</v>
      </c>
    </row>
    <row r="154" spans="1:3">
      <c r="A154" s="320">
        <v>143</v>
      </c>
      <c r="B154" s="321" t="s">
        <v>745</v>
      </c>
      <c r="C154" s="321" t="s">
        <v>746</v>
      </c>
    </row>
    <row r="155" spans="1:3">
      <c r="A155" s="320">
        <v>144</v>
      </c>
      <c r="B155" s="321" t="s">
        <v>747</v>
      </c>
      <c r="C155" s="321" t="s">
        <v>380</v>
      </c>
    </row>
    <row r="156" spans="1:3">
      <c r="A156" s="320">
        <v>145</v>
      </c>
      <c r="B156" s="321" t="s">
        <v>748</v>
      </c>
      <c r="C156" s="321" t="s">
        <v>749</v>
      </c>
    </row>
    <row r="157" spans="1:3">
      <c r="A157" s="320">
        <v>146</v>
      </c>
      <c r="B157" s="321" t="s">
        <v>750</v>
      </c>
      <c r="C157" s="321" t="s">
        <v>751</v>
      </c>
    </row>
    <row r="158" spans="1:3">
      <c r="A158" s="320"/>
      <c r="B158" s="321" t="s">
        <v>752</v>
      </c>
      <c r="C158" s="321" t="s">
        <v>753</v>
      </c>
    </row>
    <row r="159" spans="1:3">
      <c r="A159" s="320">
        <v>147</v>
      </c>
      <c r="B159" s="321" t="s">
        <v>401</v>
      </c>
      <c r="C159" s="321" t="s">
        <v>402</v>
      </c>
    </row>
    <row r="160" spans="1:3">
      <c r="A160" s="320">
        <v>148</v>
      </c>
      <c r="B160" s="321" t="s">
        <v>407</v>
      </c>
      <c r="C160" s="321" t="s">
        <v>398</v>
      </c>
    </row>
    <row r="161" spans="1:3">
      <c r="A161" s="320">
        <v>149</v>
      </c>
      <c r="B161" s="321" t="s">
        <v>754</v>
      </c>
      <c r="C161" s="321" t="s">
        <v>404</v>
      </c>
    </row>
    <row r="162" spans="1:3">
      <c r="A162" s="320">
        <v>150</v>
      </c>
      <c r="B162" s="321" t="s">
        <v>755</v>
      </c>
      <c r="C162" s="321" t="s">
        <v>266</v>
      </c>
    </row>
    <row r="163" spans="1:3">
      <c r="A163" s="320">
        <v>151</v>
      </c>
      <c r="B163" s="321" t="s">
        <v>756</v>
      </c>
      <c r="C163" s="321" t="s">
        <v>757</v>
      </c>
    </row>
    <row r="164" spans="1:3">
      <c r="A164" s="320">
        <v>152</v>
      </c>
      <c r="B164" s="321" t="s">
        <v>758</v>
      </c>
      <c r="C164" s="321" t="s">
        <v>405</v>
      </c>
    </row>
    <row r="165" spans="1:3">
      <c r="A165" s="320">
        <v>153</v>
      </c>
      <c r="B165" s="321" t="s">
        <v>759</v>
      </c>
      <c r="C165" s="321" t="s">
        <v>760</v>
      </c>
    </row>
    <row r="166" spans="1:3">
      <c r="A166" s="320">
        <v>154</v>
      </c>
      <c r="B166" s="321" t="s">
        <v>761</v>
      </c>
      <c r="C166" s="321" t="s">
        <v>762</v>
      </c>
    </row>
    <row r="167" spans="1:3">
      <c r="A167" s="320">
        <v>155</v>
      </c>
      <c r="B167" s="321" t="s">
        <v>408</v>
      </c>
      <c r="C167" s="321" t="s">
        <v>409</v>
      </c>
    </row>
    <row r="168" spans="1:3">
      <c r="A168" s="320">
        <v>156</v>
      </c>
      <c r="B168" s="327" t="s">
        <v>763</v>
      </c>
      <c r="C168" s="321" t="s">
        <v>410</v>
      </c>
    </row>
    <row r="169" spans="1:3" ht="26.4">
      <c r="A169" s="320">
        <v>157</v>
      </c>
      <c r="B169" s="321" t="s">
        <v>764</v>
      </c>
      <c r="C169" s="321" t="s">
        <v>765</v>
      </c>
    </row>
    <row r="170" spans="1:3">
      <c r="A170" s="320">
        <v>158</v>
      </c>
      <c r="B170" s="321" t="s">
        <v>414</v>
      </c>
      <c r="C170" s="321" t="s">
        <v>415</v>
      </c>
    </row>
    <row r="171" spans="1:3">
      <c r="A171" s="320">
        <v>159</v>
      </c>
      <c r="B171" s="321" t="s">
        <v>766</v>
      </c>
      <c r="C171" s="321" t="s">
        <v>767</v>
      </c>
    </row>
    <row r="172" spans="1:3">
      <c r="A172" s="320">
        <v>160</v>
      </c>
      <c r="B172" s="321" t="s">
        <v>768</v>
      </c>
      <c r="C172" s="321" t="s">
        <v>769</v>
      </c>
    </row>
    <row r="173" spans="1:3">
      <c r="A173" s="320">
        <v>161</v>
      </c>
      <c r="B173" s="321" t="s">
        <v>770</v>
      </c>
      <c r="C173" s="321" t="s">
        <v>531</v>
      </c>
    </row>
    <row r="174" spans="1:3">
      <c r="A174" s="320">
        <v>162</v>
      </c>
      <c r="B174" s="321" t="s">
        <v>771</v>
      </c>
      <c r="C174" s="321" t="s">
        <v>772</v>
      </c>
    </row>
    <row r="175" spans="1:3">
      <c r="A175" s="320">
        <v>163</v>
      </c>
      <c r="B175" s="321" t="s">
        <v>773</v>
      </c>
      <c r="C175" s="321" t="s">
        <v>424</v>
      </c>
    </row>
    <row r="176" spans="1:3">
      <c r="A176" s="320">
        <v>164</v>
      </c>
      <c r="B176" s="321" t="s">
        <v>774</v>
      </c>
      <c r="C176" s="321" t="s">
        <v>775</v>
      </c>
    </row>
    <row r="177" spans="1:3">
      <c r="A177" s="320">
        <v>165</v>
      </c>
      <c r="B177" s="321" t="s">
        <v>776</v>
      </c>
      <c r="C177" s="321" t="s">
        <v>777</v>
      </c>
    </row>
    <row r="178" spans="1:3">
      <c r="A178" s="320">
        <v>166</v>
      </c>
      <c r="B178" s="321" t="s">
        <v>778</v>
      </c>
      <c r="C178" s="321" t="s">
        <v>779</v>
      </c>
    </row>
    <row r="179" spans="1:3">
      <c r="A179" s="320">
        <v>167</v>
      </c>
      <c r="B179" s="321" t="s">
        <v>780</v>
      </c>
      <c r="C179" s="324" t="s">
        <v>781</v>
      </c>
    </row>
    <row r="180" spans="1:3">
      <c r="A180" s="320">
        <v>168</v>
      </c>
      <c r="B180" s="321" t="s">
        <v>782</v>
      </c>
      <c r="C180" s="324" t="s">
        <v>783</v>
      </c>
    </row>
    <row r="181" spans="1:3">
      <c r="A181" s="320">
        <v>169</v>
      </c>
      <c r="B181" s="321" t="s">
        <v>784</v>
      </c>
      <c r="C181" s="321" t="s">
        <v>785</v>
      </c>
    </row>
    <row r="182" spans="1:3">
      <c r="A182" s="320">
        <v>170</v>
      </c>
      <c r="B182" s="321" t="s">
        <v>418</v>
      </c>
      <c r="C182" s="321" t="s">
        <v>419</v>
      </c>
    </row>
    <row r="183" spans="1:3">
      <c r="A183" s="320">
        <v>171</v>
      </c>
      <c r="B183" s="321" t="s">
        <v>786</v>
      </c>
      <c r="C183" s="321" t="s">
        <v>787</v>
      </c>
    </row>
    <row r="184" spans="1:3">
      <c r="A184" s="320">
        <v>172</v>
      </c>
      <c r="B184" s="321" t="s">
        <v>788</v>
      </c>
      <c r="C184" s="321" t="s">
        <v>787</v>
      </c>
    </row>
    <row r="185" spans="1:3">
      <c r="A185" s="320">
        <v>173</v>
      </c>
      <c r="B185" s="324" t="s">
        <v>789</v>
      </c>
      <c r="C185" s="321" t="s">
        <v>790</v>
      </c>
    </row>
    <row r="186" spans="1:3">
      <c r="A186" s="320">
        <v>174</v>
      </c>
      <c r="B186" s="321" t="s">
        <v>791</v>
      </c>
      <c r="C186" s="321" t="s">
        <v>422</v>
      </c>
    </row>
    <row r="187" spans="1:3">
      <c r="A187" s="320">
        <v>175</v>
      </c>
      <c r="B187" s="321" t="s">
        <v>792</v>
      </c>
      <c r="C187" s="321" t="s">
        <v>793</v>
      </c>
    </row>
    <row r="188" spans="1:3">
      <c r="A188" s="320">
        <v>176</v>
      </c>
      <c r="B188" s="321" t="s">
        <v>794</v>
      </c>
      <c r="C188" s="321" t="s">
        <v>412</v>
      </c>
    </row>
    <row r="189" spans="1:3">
      <c r="A189" s="320">
        <v>177</v>
      </c>
      <c r="B189" s="321" t="s">
        <v>795</v>
      </c>
      <c r="C189" s="321" t="s">
        <v>796</v>
      </c>
    </row>
    <row r="190" spans="1:3">
      <c r="A190" s="320">
        <v>178</v>
      </c>
      <c r="B190" s="321" t="s">
        <v>364</v>
      </c>
      <c r="C190" s="321" t="s">
        <v>797</v>
      </c>
    </row>
    <row r="191" spans="1:3">
      <c r="A191" s="320">
        <v>179</v>
      </c>
      <c r="B191" s="321" t="s">
        <v>798</v>
      </c>
      <c r="C191" s="321" t="s">
        <v>799</v>
      </c>
    </row>
    <row r="192" spans="1:3">
      <c r="A192" s="320">
        <v>180</v>
      </c>
      <c r="B192" s="321" t="s">
        <v>520</v>
      </c>
      <c r="C192" s="321" t="s">
        <v>519</v>
      </c>
    </row>
    <row r="193" spans="1:3">
      <c r="A193" s="320">
        <v>181</v>
      </c>
      <c r="B193" s="321" t="s">
        <v>411</v>
      </c>
      <c r="C193" s="321" t="s">
        <v>800</v>
      </c>
    </row>
    <row r="194" spans="1:3">
      <c r="A194" s="320">
        <v>182</v>
      </c>
      <c r="B194" s="321" t="s">
        <v>801</v>
      </c>
      <c r="C194" s="321" t="s">
        <v>802</v>
      </c>
    </row>
    <row r="195" spans="1:3">
      <c r="A195" s="320">
        <v>183</v>
      </c>
      <c r="B195" s="321" t="s">
        <v>803</v>
      </c>
      <c r="C195" s="321" t="s">
        <v>804</v>
      </c>
    </row>
    <row r="196" spans="1:3">
      <c r="A196" s="320">
        <v>184</v>
      </c>
      <c r="B196" s="321" t="s">
        <v>805</v>
      </c>
      <c r="C196" s="321" t="s">
        <v>413</v>
      </c>
    </row>
    <row r="197" spans="1:3">
      <c r="A197" s="320">
        <v>185</v>
      </c>
      <c r="B197" s="321" t="s">
        <v>806</v>
      </c>
      <c r="C197" s="321" t="s">
        <v>423</v>
      </c>
    </row>
    <row r="198" spans="1:3">
      <c r="A198" s="320">
        <v>186</v>
      </c>
      <c r="B198" s="321" t="s">
        <v>807</v>
      </c>
      <c r="C198" s="321" t="s">
        <v>808</v>
      </c>
    </row>
    <row r="199" spans="1:3">
      <c r="A199" s="320">
        <v>187</v>
      </c>
      <c r="B199" s="321" t="s">
        <v>809</v>
      </c>
      <c r="C199" s="321" t="s">
        <v>810</v>
      </c>
    </row>
    <row r="200" spans="1:3">
      <c r="A200" s="320">
        <v>188</v>
      </c>
      <c r="B200" s="321" t="s">
        <v>811</v>
      </c>
      <c r="C200" s="321" t="s">
        <v>416</v>
      </c>
    </row>
    <row r="201" spans="1:3">
      <c r="A201" s="320">
        <v>189</v>
      </c>
      <c r="B201" s="321" t="s">
        <v>812</v>
      </c>
      <c r="C201" s="321" t="s">
        <v>813</v>
      </c>
    </row>
    <row r="202" spans="1:3">
      <c r="A202" s="320">
        <v>190</v>
      </c>
      <c r="B202" s="321" t="s">
        <v>814</v>
      </c>
      <c r="C202" s="321" t="s">
        <v>815</v>
      </c>
    </row>
    <row r="203" spans="1:3">
      <c r="A203" s="320">
        <v>191</v>
      </c>
      <c r="B203" s="321" t="s">
        <v>816</v>
      </c>
      <c r="C203" s="321" t="s">
        <v>421</v>
      </c>
    </row>
    <row r="204" spans="1:3" ht="26.4">
      <c r="A204" s="320">
        <v>192</v>
      </c>
      <c r="B204" s="321" t="s">
        <v>817</v>
      </c>
      <c r="C204" s="321" t="s">
        <v>818</v>
      </c>
    </row>
    <row r="205" spans="1:3" ht="26.4">
      <c r="A205" s="320">
        <v>193</v>
      </c>
      <c r="B205" s="321" t="s">
        <v>819</v>
      </c>
      <c r="C205" s="321" t="s">
        <v>820</v>
      </c>
    </row>
    <row r="206" spans="1:3">
      <c r="A206" s="320">
        <v>194</v>
      </c>
      <c r="B206" s="321" t="s">
        <v>821</v>
      </c>
      <c r="C206" s="321" t="s">
        <v>417</v>
      </c>
    </row>
    <row r="207" spans="1:3">
      <c r="A207" s="320">
        <v>195</v>
      </c>
      <c r="B207" s="321" t="s">
        <v>822</v>
      </c>
      <c r="C207" s="321" t="s">
        <v>823</v>
      </c>
    </row>
    <row r="208" spans="1:3">
      <c r="A208" s="320">
        <v>196</v>
      </c>
      <c r="B208" s="324" t="s">
        <v>824</v>
      </c>
      <c r="C208" s="321" t="s">
        <v>825</v>
      </c>
    </row>
    <row r="209" spans="1:3">
      <c r="A209" s="320">
        <v>197</v>
      </c>
      <c r="B209" s="324" t="s">
        <v>826</v>
      </c>
      <c r="C209" s="321" t="s">
        <v>827</v>
      </c>
    </row>
    <row r="210" spans="1:3">
      <c r="A210" s="320">
        <v>198</v>
      </c>
      <c r="B210" s="321" t="s">
        <v>828</v>
      </c>
      <c r="C210" s="321" t="s">
        <v>829</v>
      </c>
    </row>
    <row r="211" spans="1:3">
      <c r="A211" s="320">
        <v>199</v>
      </c>
      <c r="B211" s="321" t="s">
        <v>830</v>
      </c>
      <c r="C211" s="321" t="s">
        <v>831</v>
      </c>
    </row>
    <row r="212" spans="1:3">
      <c r="A212" s="320">
        <v>200</v>
      </c>
      <c r="B212" s="321" t="s">
        <v>832</v>
      </c>
      <c r="C212" s="321" t="s">
        <v>833</v>
      </c>
    </row>
    <row r="213" spans="1:3">
      <c r="A213" s="320">
        <v>201</v>
      </c>
      <c r="B213" s="321" t="s">
        <v>834</v>
      </c>
      <c r="C213" s="321" t="s">
        <v>835</v>
      </c>
    </row>
    <row r="214" spans="1:3">
      <c r="A214" s="320">
        <v>202</v>
      </c>
      <c r="B214" s="321" t="s">
        <v>836</v>
      </c>
      <c r="C214" s="321" t="s">
        <v>837</v>
      </c>
    </row>
    <row r="215" spans="1:3">
      <c r="A215" s="320">
        <v>203</v>
      </c>
      <c r="B215" s="321" t="s">
        <v>838</v>
      </c>
      <c r="C215" s="324" t="s">
        <v>428</v>
      </c>
    </row>
    <row r="216" spans="1:3">
      <c r="A216" s="320">
        <v>204</v>
      </c>
      <c r="B216" s="321" t="s">
        <v>839</v>
      </c>
      <c r="C216" s="321" t="s">
        <v>840</v>
      </c>
    </row>
    <row r="217" spans="1:3">
      <c r="A217" s="320">
        <v>205</v>
      </c>
      <c r="B217" s="321" t="s">
        <v>437</v>
      </c>
      <c r="C217" s="321" t="s">
        <v>841</v>
      </c>
    </row>
    <row r="218" spans="1:3">
      <c r="A218" s="320">
        <v>206</v>
      </c>
      <c r="B218" s="321" t="s">
        <v>842</v>
      </c>
      <c r="C218" s="321" t="s">
        <v>843</v>
      </c>
    </row>
    <row r="219" spans="1:3">
      <c r="A219" s="320">
        <v>207</v>
      </c>
      <c r="B219" s="321" t="s">
        <v>438</v>
      </c>
      <c r="C219" s="321" t="s">
        <v>439</v>
      </c>
    </row>
    <row r="220" spans="1:3">
      <c r="A220" s="320">
        <v>208</v>
      </c>
      <c r="B220" s="321" t="s">
        <v>844</v>
      </c>
      <c r="C220" s="321" t="s">
        <v>845</v>
      </c>
    </row>
    <row r="221" spans="1:3">
      <c r="A221" s="320">
        <v>209</v>
      </c>
      <c r="B221" s="321" t="s">
        <v>846</v>
      </c>
      <c r="C221" s="321" t="s">
        <v>847</v>
      </c>
    </row>
    <row r="222" spans="1:3" ht="26.4">
      <c r="A222" s="320">
        <v>210</v>
      </c>
      <c r="B222" s="321" t="s">
        <v>848</v>
      </c>
      <c r="C222" s="321" t="s">
        <v>849</v>
      </c>
    </row>
    <row r="223" spans="1:3" ht="26.4">
      <c r="A223" s="320">
        <v>211</v>
      </c>
      <c r="B223" s="321" t="s">
        <v>431</v>
      </c>
      <c r="C223" s="321" t="s">
        <v>849</v>
      </c>
    </row>
    <row r="224" spans="1:3">
      <c r="A224" s="320">
        <v>212</v>
      </c>
      <c r="B224" s="321" t="s">
        <v>432</v>
      </c>
      <c r="C224" s="321" t="s">
        <v>433</v>
      </c>
    </row>
    <row r="225" spans="1:3">
      <c r="A225" s="320">
        <v>213</v>
      </c>
      <c r="B225" s="321" t="s">
        <v>850</v>
      </c>
      <c r="C225" s="321" t="s">
        <v>851</v>
      </c>
    </row>
    <row r="226" spans="1:3">
      <c r="A226" s="320">
        <v>214</v>
      </c>
      <c r="B226" s="321" t="s">
        <v>426</v>
      </c>
      <c r="C226" s="321" t="s">
        <v>427</v>
      </c>
    </row>
    <row r="227" spans="1:3">
      <c r="A227" s="320">
        <v>215</v>
      </c>
      <c r="B227" s="321" t="s">
        <v>852</v>
      </c>
      <c r="C227" s="321" t="s">
        <v>435</v>
      </c>
    </row>
    <row r="228" spans="1:3">
      <c r="A228" s="320">
        <v>216</v>
      </c>
      <c r="B228" s="321" t="s">
        <v>853</v>
      </c>
      <c r="C228" s="321" t="s">
        <v>425</v>
      </c>
    </row>
    <row r="229" spans="1:3">
      <c r="A229" s="320">
        <v>217</v>
      </c>
      <c r="B229" s="321" t="s">
        <v>854</v>
      </c>
      <c r="C229" s="321" t="s">
        <v>434</v>
      </c>
    </row>
    <row r="230" spans="1:3">
      <c r="A230" s="320">
        <v>218</v>
      </c>
      <c r="B230" s="321" t="s">
        <v>855</v>
      </c>
      <c r="C230" s="321" t="s">
        <v>856</v>
      </c>
    </row>
    <row r="231" spans="1:3">
      <c r="A231" s="320">
        <v>219</v>
      </c>
      <c r="B231" s="321" t="s">
        <v>857</v>
      </c>
      <c r="C231" s="321" t="s">
        <v>858</v>
      </c>
    </row>
    <row r="232" spans="1:3">
      <c r="A232" s="320"/>
      <c r="B232" s="321" t="s">
        <v>859</v>
      </c>
      <c r="C232" s="321" t="s">
        <v>860</v>
      </c>
    </row>
    <row r="233" spans="1:3">
      <c r="A233" s="320">
        <v>220</v>
      </c>
      <c r="B233" s="321" t="s">
        <v>861</v>
      </c>
      <c r="C233" s="321" t="s">
        <v>862</v>
      </c>
    </row>
    <row r="234" spans="1:3">
      <c r="A234" s="320">
        <v>221</v>
      </c>
      <c r="B234" s="321" t="s">
        <v>863</v>
      </c>
      <c r="C234" s="321" t="s">
        <v>864</v>
      </c>
    </row>
    <row r="235" spans="1:3">
      <c r="A235" s="320"/>
      <c r="B235" s="321" t="s">
        <v>865</v>
      </c>
      <c r="C235" s="321" t="s">
        <v>866</v>
      </c>
    </row>
    <row r="236" spans="1:3">
      <c r="A236" s="320">
        <v>222</v>
      </c>
      <c r="B236" s="321" t="s">
        <v>867</v>
      </c>
      <c r="C236" s="321" t="s">
        <v>868</v>
      </c>
    </row>
    <row r="237" spans="1:3">
      <c r="A237" s="320">
        <v>223</v>
      </c>
      <c r="B237" s="322" t="s">
        <v>429</v>
      </c>
      <c r="C237" s="322" t="s">
        <v>430</v>
      </c>
    </row>
    <row r="238" spans="1:3">
      <c r="A238" s="320">
        <v>224</v>
      </c>
      <c r="B238" s="321" t="s">
        <v>869</v>
      </c>
      <c r="C238" s="321" t="s">
        <v>436</v>
      </c>
    </row>
    <row r="239" spans="1:3">
      <c r="A239" s="320">
        <v>225</v>
      </c>
      <c r="B239" s="321" t="s">
        <v>870</v>
      </c>
      <c r="C239" s="321" t="s">
        <v>871</v>
      </c>
    </row>
    <row r="240" spans="1:3">
      <c r="A240" s="320">
        <v>226</v>
      </c>
      <c r="B240" s="321" t="s">
        <v>872</v>
      </c>
      <c r="C240" s="321" t="s">
        <v>873</v>
      </c>
    </row>
    <row r="241" spans="1:3" ht="26.4">
      <c r="A241" s="320">
        <v>227</v>
      </c>
      <c r="B241" s="321" t="s">
        <v>442</v>
      </c>
      <c r="C241" s="321" t="s">
        <v>443</v>
      </c>
    </row>
    <row r="242" spans="1:3">
      <c r="A242" s="320">
        <v>228</v>
      </c>
      <c r="B242" s="321" t="s">
        <v>440</v>
      </c>
      <c r="C242" s="321" t="s">
        <v>441</v>
      </c>
    </row>
    <row r="243" spans="1:3">
      <c r="A243" s="320">
        <v>229</v>
      </c>
      <c r="B243" s="321" t="s">
        <v>874</v>
      </c>
      <c r="C243" s="321" t="s">
        <v>363</v>
      </c>
    </row>
    <row r="244" spans="1:3">
      <c r="A244" s="320"/>
      <c r="B244" s="321" t="s">
        <v>875</v>
      </c>
      <c r="C244" s="321" t="s">
        <v>876</v>
      </c>
    </row>
    <row r="245" spans="1:3" ht="26.4">
      <c r="A245" s="320">
        <v>230</v>
      </c>
      <c r="B245" s="321" t="s">
        <v>877</v>
      </c>
      <c r="C245" s="321" t="s">
        <v>878</v>
      </c>
    </row>
    <row r="246" spans="1:3">
      <c r="A246" s="320">
        <v>231</v>
      </c>
      <c r="B246" s="321" t="s">
        <v>450</v>
      </c>
      <c r="C246" s="321" t="s">
        <v>451</v>
      </c>
    </row>
    <row r="247" spans="1:3">
      <c r="A247" s="320">
        <v>232</v>
      </c>
      <c r="B247" s="321" t="s">
        <v>445</v>
      </c>
      <c r="C247" s="321" t="s">
        <v>444</v>
      </c>
    </row>
    <row r="248" spans="1:3">
      <c r="A248" s="320">
        <v>233</v>
      </c>
      <c r="B248" s="321" t="s">
        <v>879</v>
      </c>
      <c r="C248" s="321" t="s">
        <v>880</v>
      </c>
    </row>
    <row r="249" spans="1:3">
      <c r="A249" s="320">
        <v>234</v>
      </c>
      <c r="B249" s="321" t="s">
        <v>449</v>
      </c>
      <c r="C249" s="321" t="s">
        <v>881</v>
      </c>
    </row>
    <row r="250" spans="1:3">
      <c r="A250" s="320">
        <v>235</v>
      </c>
      <c r="B250" s="321" t="s">
        <v>447</v>
      </c>
      <c r="C250" s="321" t="s">
        <v>448</v>
      </c>
    </row>
    <row r="251" spans="1:3">
      <c r="A251" s="320">
        <v>236</v>
      </c>
      <c r="B251" s="321" t="s">
        <v>882</v>
      </c>
      <c r="C251" s="321" t="s">
        <v>356</v>
      </c>
    </row>
    <row r="252" spans="1:3">
      <c r="A252" s="320">
        <v>237</v>
      </c>
      <c r="B252" s="321" t="s">
        <v>883</v>
      </c>
      <c r="C252" s="321" t="s">
        <v>884</v>
      </c>
    </row>
    <row r="253" spans="1:3">
      <c r="A253" s="320">
        <v>238</v>
      </c>
      <c r="B253" s="321" t="s">
        <v>885</v>
      </c>
      <c r="C253" s="321" t="s">
        <v>446</v>
      </c>
    </row>
    <row r="254" spans="1:3">
      <c r="A254" s="320">
        <v>239</v>
      </c>
      <c r="B254" s="321" t="s">
        <v>886</v>
      </c>
      <c r="C254" s="321" t="s">
        <v>884</v>
      </c>
    </row>
    <row r="255" spans="1:3">
      <c r="A255" s="320">
        <v>240</v>
      </c>
      <c r="B255" s="321" t="s">
        <v>887</v>
      </c>
      <c r="C255" s="321" t="s">
        <v>266</v>
      </c>
    </row>
    <row r="256" spans="1:3">
      <c r="A256" s="320">
        <v>241</v>
      </c>
      <c r="B256" s="321" t="s">
        <v>452</v>
      </c>
      <c r="C256" s="321" t="s">
        <v>453</v>
      </c>
    </row>
    <row r="257" spans="1:3">
      <c r="A257" s="320">
        <v>242</v>
      </c>
      <c r="B257" s="321" t="s">
        <v>888</v>
      </c>
      <c r="C257" s="321" t="s">
        <v>889</v>
      </c>
    </row>
    <row r="258" spans="1:3">
      <c r="A258" s="320">
        <v>243</v>
      </c>
      <c r="B258" s="321" t="s">
        <v>890</v>
      </c>
      <c r="C258" s="321" t="s">
        <v>891</v>
      </c>
    </row>
    <row r="259" spans="1:3">
      <c r="A259" s="320">
        <v>244</v>
      </c>
      <c r="B259" s="321" t="s">
        <v>892</v>
      </c>
      <c r="C259" s="321" t="s">
        <v>893</v>
      </c>
    </row>
    <row r="260" spans="1:3" ht="26.4">
      <c r="A260" s="320">
        <v>245</v>
      </c>
      <c r="B260" s="321" t="s">
        <v>454</v>
      </c>
      <c r="C260" s="321" t="s">
        <v>455</v>
      </c>
    </row>
    <row r="261" spans="1:3">
      <c r="A261" s="320">
        <v>246</v>
      </c>
      <c r="B261" s="324" t="s">
        <v>894</v>
      </c>
      <c r="C261" s="321" t="s">
        <v>895</v>
      </c>
    </row>
    <row r="262" spans="1:3">
      <c r="A262" s="320">
        <v>247</v>
      </c>
      <c r="B262" s="321" t="s">
        <v>458</v>
      </c>
      <c r="C262" s="321" t="s">
        <v>459</v>
      </c>
    </row>
    <row r="263" spans="1:3">
      <c r="A263" s="320">
        <v>248</v>
      </c>
      <c r="B263" s="324" t="s">
        <v>456</v>
      </c>
      <c r="C263" s="321" t="s">
        <v>457</v>
      </c>
    </row>
    <row r="264" spans="1:3">
      <c r="A264" s="320">
        <v>249</v>
      </c>
      <c r="B264" s="324" t="s">
        <v>896</v>
      </c>
      <c r="C264" s="321" t="s">
        <v>897</v>
      </c>
    </row>
    <row r="265" spans="1:3">
      <c r="A265" s="320">
        <v>250</v>
      </c>
      <c r="B265" s="324" t="s">
        <v>898</v>
      </c>
      <c r="C265" s="321" t="s">
        <v>460</v>
      </c>
    </row>
    <row r="266" spans="1:3">
      <c r="A266" s="320">
        <v>251</v>
      </c>
      <c r="B266" s="324" t="s">
        <v>899</v>
      </c>
      <c r="C266" s="321" t="s">
        <v>900</v>
      </c>
    </row>
    <row r="267" spans="1:3">
      <c r="A267" s="320">
        <v>252</v>
      </c>
      <c r="B267" s="324" t="s">
        <v>901</v>
      </c>
      <c r="C267" s="321" t="s">
        <v>461</v>
      </c>
    </row>
    <row r="268" spans="1:3">
      <c r="A268" s="320">
        <v>253</v>
      </c>
      <c r="B268" s="324" t="s">
        <v>902</v>
      </c>
      <c r="C268" s="321" t="s">
        <v>463</v>
      </c>
    </row>
    <row r="269" spans="1:3">
      <c r="A269" s="320">
        <v>254</v>
      </c>
      <c r="B269" s="324" t="s">
        <v>462</v>
      </c>
      <c r="C269" s="321" t="s">
        <v>903</v>
      </c>
    </row>
    <row r="270" spans="1:3">
      <c r="A270" s="320">
        <v>255</v>
      </c>
      <c r="B270" s="324" t="s">
        <v>904</v>
      </c>
      <c r="C270" s="321" t="s">
        <v>905</v>
      </c>
    </row>
    <row r="271" spans="1:3">
      <c r="A271" s="320">
        <v>256</v>
      </c>
      <c r="B271" s="324" t="s">
        <v>906</v>
      </c>
      <c r="C271" s="321" t="s">
        <v>907</v>
      </c>
    </row>
    <row r="272" spans="1:3" ht="13.8">
      <c r="A272" s="320"/>
      <c r="B272" s="328" t="s">
        <v>908</v>
      </c>
      <c r="C272" s="321" t="s">
        <v>909</v>
      </c>
    </row>
    <row r="273" spans="1:3" ht="26.4">
      <c r="A273" s="320">
        <v>257</v>
      </c>
      <c r="B273" s="257" t="s">
        <v>910</v>
      </c>
      <c r="C273" s="321" t="s">
        <v>911</v>
      </c>
    </row>
    <row r="274" spans="1:3">
      <c r="A274" s="320">
        <v>258</v>
      </c>
      <c r="B274" s="324" t="s">
        <v>912</v>
      </c>
      <c r="C274" s="321" t="s">
        <v>913</v>
      </c>
    </row>
    <row r="275" spans="1:3">
      <c r="A275" s="320">
        <v>259</v>
      </c>
      <c r="B275" s="329" t="s">
        <v>914</v>
      </c>
      <c r="C275" s="322" t="s">
        <v>915</v>
      </c>
    </row>
    <row r="276" spans="1:3">
      <c r="A276" s="320">
        <v>260</v>
      </c>
      <c r="B276" s="329" t="s">
        <v>916</v>
      </c>
      <c r="C276" s="322" t="s">
        <v>465</v>
      </c>
    </row>
    <row r="277" spans="1:3">
      <c r="A277" s="320">
        <v>261</v>
      </c>
      <c r="B277" s="324" t="s">
        <v>917</v>
      </c>
      <c r="C277" s="321" t="s">
        <v>918</v>
      </c>
    </row>
    <row r="278" spans="1:3">
      <c r="A278" s="320">
        <v>262</v>
      </c>
      <c r="B278" s="324" t="s">
        <v>919</v>
      </c>
      <c r="C278" s="324" t="s">
        <v>920</v>
      </c>
    </row>
    <row r="279" spans="1:3">
      <c r="A279" s="320">
        <v>263</v>
      </c>
      <c r="B279" s="324" t="s">
        <v>921</v>
      </c>
      <c r="C279" s="321" t="s">
        <v>922</v>
      </c>
    </row>
    <row r="280" spans="1:3">
      <c r="A280" s="320">
        <v>264</v>
      </c>
      <c r="B280" s="324" t="s">
        <v>923</v>
      </c>
      <c r="C280" s="321" t="s">
        <v>469</v>
      </c>
    </row>
    <row r="281" spans="1:3">
      <c r="A281" s="320">
        <v>265</v>
      </c>
      <c r="B281" s="324" t="s">
        <v>466</v>
      </c>
      <c r="C281" s="321" t="s">
        <v>467</v>
      </c>
    </row>
    <row r="282" spans="1:3">
      <c r="A282" s="320">
        <v>266</v>
      </c>
      <c r="B282" s="324" t="s">
        <v>468</v>
      </c>
      <c r="C282" s="321" t="s">
        <v>924</v>
      </c>
    </row>
    <row r="283" spans="1:3">
      <c r="A283" s="320">
        <v>267</v>
      </c>
      <c r="B283" s="324" t="s">
        <v>925</v>
      </c>
      <c r="C283" s="330" t="s">
        <v>926</v>
      </c>
    </row>
    <row r="284" spans="1:3">
      <c r="A284" s="320">
        <v>268</v>
      </c>
      <c r="B284" s="324" t="s">
        <v>927</v>
      </c>
      <c r="C284" s="330" t="s">
        <v>928</v>
      </c>
    </row>
    <row r="285" spans="1:3">
      <c r="A285" s="320">
        <v>269</v>
      </c>
      <c r="B285" s="321" t="s">
        <v>929</v>
      </c>
      <c r="C285" s="321" t="s">
        <v>420</v>
      </c>
    </row>
    <row r="286" spans="1:3">
      <c r="A286" s="320">
        <v>270</v>
      </c>
      <c r="B286" s="324" t="s">
        <v>930</v>
      </c>
      <c r="C286" s="321" t="s">
        <v>470</v>
      </c>
    </row>
    <row r="287" spans="1:3">
      <c r="A287" s="320">
        <v>271</v>
      </c>
      <c r="B287" s="324" t="s">
        <v>931</v>
      </c>
      <c r="C287" s="321" t="s">
        <v>932</v>
      </c>
    </row>
    <row r="288" spans="1:3">
      <c r="A288" s="320">
        <v>272</v>
      </c>
      <c r="B288" s="324" t="s">
        <v>933</v>
      </c>
      <c r="C288" s="321" t="s">
        <v>934</v>
      </c>
    </row>
    <row r="289" spans="1:3">
      <c r="A289" s="320">
        <v>273</v>
      </c>
      <c r="B289" s="324" t="s">
        <v>477</v>
      </c>
      <c r="C289" s="321" t="s">
        <v>478</v>
      </c>
    </row>
    <row r="290" spans="1:3">
      <c r="A290" s="320">
        <v>274</v>
      </c>
      <c r="B290" s="324" t="s">
        <v>935</v>
      </c>
      <c r="C290" s="321" t="s">
        <v>936</v>
      </c>
    </row>
    <row r="291" spans="1:3">
      <c r="A291" s="320">
        <v>275</v>
      </c>
      <c r="B291" s="324" t="s">
        <v>937</v>
      </c>
      <c r="C291" s="321" t="s">
        <v>938</v>
      </c>
    </row>
    <row r="292" spans="1:3">
      <c r="A292" s="320">
        <v>276</v>
      </c>
      <c r="B292" s="324" t="s">
        <v>939</v>
      </c>
      <c r="C292" s="321" t="s">
        <v>940</v>
      </c>
    </row>
    <row r="293" spans="1:3">
      <c r="A293" s="320">
        <v>277</v>
      </c>
      <c r="B293" s="324" t="s">
        <v>941</v>
      </c>
      <c r="C293" s="321" t="s">
        <v>942</v>
      </c>
    </row>
    <row r="294" spans="1:3">
      <c r="A294" s="320">
        <v>278</v>
      </c>
      <c r="B294" s="321" t="s">
        <v>943</v>
      </c>
      <c r="C294" s="321" t="s">
        <v>474</v>
      </c>
    </row>
    <row r="295" spans="1:3">
      <c r="A295" s="320">
        <v>279</v>
      </c>
      <c r="B295" s="324" t="s">
        <v>944</v>
      </c>
      <c r="C295" s="321" t="s">
        <v>945</v>
      </c>
    </row>
    <row r="296" spans="1:3">
      <c r="A296" s="320">
        <v>280</v>
      </c>
      <c r="B296" s="324" t="s">
        <v>946</v>
      </c>
      <c r="C296" s="321" t="s">
        <v>473</v>
      </c>
    </row>
    <row r="297" spans="1:3">
      <c r="A297" s="320">
        <v>281</v>
      </c>
      <c r="B297" s="324" t="s">
        <v>947</v>
      </c>
      <c r="C297" s="321" t="s">
        <v>779</v>
      </c>
    </row>
    <row r="298" spans="1:3">
      <c r="A298" s="320">
        <v>282</v>
      </c>
      <c r="B298" s="324" t="s">
        <v>948</v>
      </c>
      <c r="C298" s="321" t="s">
        <v>949</v>
      </c>
    </row>
    <row r="299" spans="1:3">
      <c r="A299" s="320">
        <v>283</v>
      </c>
      <c r="B299" s="324" t="s">
        <v>471</v>
      </c>
      <c r="C299" s="321" t="s">
        <v>472</v>
      </c>
    </row>
    <row r="300" spans="1:3">
      <c r="A300" s="320">
        <v>284</v>
      </c>
      <c r="B300" s="324" t="s">
        <v>950</v>
      </c>
      <c r="C300" s="321" t="s">
        <v>951</v>
      </c>
    </row>
    <row r="301" spans="1:3">
      <c r="A301" s="320">
        <v>285</v>
      </c>
      <c r="B301" s="324" t="s">
        <v>952</v>
      </c>
      <c r="C301" s="321" t="s">
        <v>953</v>
      </c>
    </row>
    <row r="302" spans="1:3">
      <c r="A302" s="320">
        <v>286</v>
      </c>
      <c r="B302" s="324" t="s">
        <v>954</v>
      </c>
      <c r="C302" s="321" t="s">
        <v>955</v>
      </c>
    </row>
    <row r="303" spans="1:3">
      <c r="A303" s="320">
        <v>287</v>
      </c>
      <c r="B303" s="324" t="s">
        <v>956</v>
      </c>
      <c r="C303" s="321" t="s">
        <v>476</v>
      </c>
    </row>
    <row r="304" spans="1:3">
      <c r="A304" s="320">
        <v>288</v>
      </c>
      <c r="B304" s="324" t="s">
        <v>957</v>
      </c>
      <c r="C304" s="321" t="s">
        <v>475</v>
      </c>
    </row>
    <row r="305" spans="1:3">
      <c r="A305" s="320">
        <v>289</v>
      </c>
      <c r="B305" s="324" t="s">
        <v>958</v>
      </c>
      <c r="C305" s="321" t="s">
        <v>959</v>
      </c>
    </row>
    <row r="306" spans="1:3">
      <c r="A306" s="320">
        <v>290</v>
      </c>
      <c r="B306" s="324" t="s">
        <v>960</v>
      </c>
      <c r="C306" s="321" t="s">
        <v>479</v>
      </c>
    </row>
    <row r="307" spans="1:3">
      <c r="A307" s="320">
        <v>291</v>
      </c>
      <c r="B307" s="321" t="s">
        <v>961</v>
      </c>
      <c r="C307" s="322" t="s">
        <v>962</v>
      </c>
    </row>
    <row r="308" spans="1:3">
      <c r="A308" s="320">
        <v>292</v>
      </c>
      <c r="B308" s="324" t="s">
        <v>963</v>
      </c>
      <c r="C308" s="321" t="s">
        <v>964</v>
      </c>
    </row>
    <row r="309" spans="1:3">
      <c r="A309" s="320">
        <v>293</v>
      </c>
      <c r="B309" s="324" t="s">
        <v>480</v>
      </c>
      <c r="C309" s="321" t="s">
        <v>965</v>
      </c>
    </row>
    <row r="310" spans="1:3">
      <c r="A310" s="320">
        <v>294</v>
      </c>
      <c r="B310" s="324" t="s">
        <v>966</v>
      </c>
      <c r="C310" s="321" t="s">
        <v>481</v>
      </c>
    </row>
    <row r="311" spans="1:3">
      <c r="A311" s="320">
        <v>295</v>
      </c>
      <c r="B311" s="324" t="s">
        <v>967</v>
      </c>
      <c r="C311" s="321" t="s">
        <v>345</v>
      </c>
    </row>
    <row r="312" spans="1:3">
      <c r="A312" s="320">
        <v>296</v>
      </c>
      <c r="B312" s="324" t="s">
        <v>968</v>
      </c>
      <c r="C312" s="321" t="s">
        <v>473</v>
      </c>
    </row>
    <row r="313" spans="1:3">
      <c r="A313" s="320">
        <v>297</v>
      </c>
      <c r="B313" s="324" t="s">
        <v>969</v>
      </c>
      <c r="C313" s="321" t="s">
        <v>970</v>
      </c>
    </row>
    <row r="314" spans="1:3">
      <c r="A314" s="320">
        <v>298</v>
      </c>
      <c r="B314" s="324" t="s">
        <v>971</v>
      </c>
      <c r="C314" s="321" t="s">
        <v>972</v>
      </c>
    </row>
    <row r="315" spans="1:3">
      <c r="A315" s="320">
        <v>299</v>
      </c>
      <c r="B315" s="324" t="s">
        <v>973</v>
      </c>
      <c r="C315" s="321" t="s">
        <v>974</v>
      </c>
    </row>
    <row r="316" spans="1:3">
      <c r="A316" s="320">
        <v>300</v>
      </c>
      <c r="B316" s="324" t="s">
        <v>975</v>
      </c>
      <c r="C316" s="321" t="s">
        <v>976</v>
      </c>
    </row>
    <row r="317" spans="1:3" ht="26.4">
      <c r="A317" s="320">
        <v>301</v>
      </c>
      <c r="B317" s="324" t="s">
        <v>977</v>
      </c>
      <c r="C317" s="321" t="s">
        <v>978</v>
      </c>
    </row>
    <row r="318" spans="1:3">
      <c r="A318" s="320">
        <v>302</v>
      </c>
      <c r="B318" s="324" t="s">
        <v>979</v>
      </c>
      <c r="C318" s="321" t="s">
        <v>980</v>
      </c>
    </row>
    <row r="319" spans="1:3">
      <c r="A319" s="320">
        <v>303</v>
      </c>
      <c r="B319" s="324" t="s">
        <v>981</v>
      </c>
      <c r="C319" s="321" t="s">
        <v>464</v>
      </c>
    </row>
    <row r="320" spans="1:3">
      <c r="A320" s="320">
        <v>304</v>
      </c>
      <c r="B320" s="324" t="s">
        <v>982</v>
      </c>
      <c r="C320" s="321" t="s">
        <v>390</v>
      </c>
    </row>
    <row r="321" spans="1:3">
      <c r="A321" s="320">
        <v>305</v>
      </c>
      <c r="B321" s="324" t="s">
        <v>983</v>
      </c>
      <c r="C321" s="321" t="s">
        <v>482</v>
      </c>
    </row>
    <row r="322" spans="1:3">
      <c r="A322" s="320">
        <v>306</v>
      </c>
      <c r="B322" s="324" t="s">
        <v>984</v>
      </c>
      <c r="C322" s="321" t="s">
        <v>985</v>
      </c>
    </row>
    <row r="323" spans="1:3" ht="26.4">
      <c r="A323" s="320">
        <v>307</v>
      </c>
      <c r="B323" s="324" t="s">
        <v>986</v>
      </c>
      <c r="C323" s="321" t="s">
        <v>484</v>
      </c>
    </row>
    <row r="324" spans="1:3">
      <c r="A324" s="320">
        <v>308</v>
      </c>
      <c r="B324" s="324" t="s">
        <v>987</v>
      </c>
      <c r="C324" s="321" t="s">
        <v>988</v>
      </c>
    </row>
    <row r="325" spans="1:3">
      <c r="A325" s="320">
        <v>309</v>
      </c>
      <c r="B325" s="324" t="s">
        <v>989</v>
      </c>
      <c r="C325" s="321" t="s">
        <v>483</v>
      </c>
    </row>
    <row r="326" spans="1:3">
      <c r="A326" s="320">
        <v>310</v>
      </c>
      <c r="B326" s="324" t="s">
        <v>990</v>
      </c>
      <c r="C326" s="321" t="s">
        <v>991</v>
      </c>
    </row>
    <row r="327" spans="1:3">
      <c r="A327" s="320">
        <v>311</v>
      </c>
      <c r="B327" s="324" t="s">
        <v>992</v>
      </c>
      <c r="C327" s="321" t="s">
        <v>993</v>
      </c>
    </row>
    <row r="328" spans="1:3">
      <c r="A328" s="320">
        <v>312</v>
      </c>
      <c r="B328" s="324" t="s">
        <v>994</v>
      </c>
      <c r="C328" s="321" t="s">
        <v>487</v>
      </c>
    </row>
    <row r="329" spans="1:3">
      <c r="A329" s="320">
        <v>313</v>
      </c>
      <c r="B329" s="324" t="s">
        <v>995</v>
      </c>
      <c r="C329" s="321" t="s">
        <v>996</v>
      </c>
    </row>
    <row r="330" spans="1:3">
      <c r="A330" s="320">
        <v>314</v>
      </c>
      <c r="B330" s="324" t="s">
        <v>997</v>
      </c>
      <c r="C330" s="321" t="s">
        <v>998</v>
      </c>
    </row>
    <row r="331" spans="1:3">
      <c r="A331" s="320">
        <v>315</v>
      </c>
      <c r="B331" s="324" t="s">
        <v>485</v>
      </c>
      <c r="C331" s="321" t="s">
        <v>486</v>
      </c>
    </row>
    <row r="332" spans="1:3">
      <c r="A332" s="320">
        <v>316</v>
      </c>
      <c r="B332" s="324" t="s">
        <v>999</v>
      </c>
      <c r="C332" s="321" t="s">
        <v>1000</v>
      </c>
    </row>
    <row r="333" spans="1:3">
      <c r="A333" s="320">
        <v>317</v>
      </c>
      <c r="B333" s="324" t="s">
        <v>1001</v>
      </c>
      <c r="C333" s="321" t="s">
        <v>1002</v>
      </c>
    </row>
    <row r="334" spans="1:3">
      <c r="A334" s="320">
        <v>318</v>
      </c>
      <c r="B334" s="324" t="s">
        <v>491</v>
      </c>
      <c r="C334" s="321" t="s">
        <v>492</v>
      </c>
    </row>
    <row r="335" spans="1:3">
      <c r="A335" s="320">
        <v>319</v>
      </c>
      <c r="B335" s="321" t="s">
        <v>1003</v>
      </c>
      <c r="C335" s="321" t="s">
        <v>361</v>
      </c>
    </row>
    <row r="336" spans="1:3">
      <c r="A336" s="320">
        <v>320</v>
      </c>
      <c r="B336" s="321" t="s">
        <v>1004</v>
      </c>
      <c r="C336" s="321" t="s">
        <v>1005</v>
      </c>
    </row>
    <row r="337" spans="1:3">
      <c r="A337" s="320">
        <v>321</v>
      </c>
      <c r="B337" s="321" t="s">
        <v>488</v>
      </c>
      <c r="C337" s="321" t="s">
        <v>489</v>
      </c>
    </row>
    <row r="338" spans="1:3">
      <c r="A338" s="320">
        <v>322</v>
      </c>
      <c r="B338" s="324" t="s">
        <v>1006</v>
      </c>
      <c r="C338" s="321" t="s">
        <v>490</v>
      </c>
    </row>
    <row r="339" spans="1:3" ht="26.4">
      <c r="A339" s="320"/>
      <c r="B339" s="324" t="s">
        <v>1007</v>
      </c>
      <c r="C339" s="321" t="s">
        <v>1008</v>
      </c>
    </row>
    <row r="340" spans="1:3">
      <c r="A340" s="320">
        <v>323</v>
      </c>
      <c r="B340" s="324" t="s">
        <v>1009</v>
      </c>
      <c r="C340" s="321" t="s">
        <v>504</v>
      </c>
    </row>
    <row r="341" spans="1:3">
      <c r="A341" s="320">
        <v>324</v>
      </c>
      <c r="B341" s="324" t="s">
        <v>1010</v>
      </c>
      <c r="C341" s="321" t="s">
        <v>1011</v>
      </c>
    </row>
    <row r="342" spans="1:3">
      <c r="A342" s="320">
        <v>325</v>
      </c>
      <c r="B342" s="324" t="s">
        <v>1012</v>
      </c>
      <c r="C342" s="321" t="s">
        <v>501</v>
      </c>
    </row>
    <row r="343" spans="1:3">
      <c r="A343" s="320">
        <v>326</v>
      </c>
      <c r="B343" s="324" t="s">
        <v>500</v>
      </c>
      <c r="C343" s="321" t="s">
        <v>396</v>
      </c>
    </row>
    <row r="344" spans="1:3">
      <c r="A344" s="320">
        <v>327</v>
      </c>
      <c r="B344" s="324" t="s">
        <v>495</v>
      </c>
      <c r="C344" s="321" t="s">
        <v>496</v>
      </c>
    </row>
    <row r="345" spans="1:3">
      <c r="A345" s="320">
        <v>328</v>
      </c>
      <c r="B345" s="324" t="s">
        <v>1013</v>
      </c>
      <c r="C345" s="321" t="s">
        <v>502</v>
      </c>
    </row>
    <row r="346" spans="1:3">
      <c r="A346" s="320">
        <v>329</v>
      </c>
      <c r="B346" s="324" t="s">
        <v>1014</v>
      </c>
      <c r="C346" s="321" t="s">
        <v>493</v>
      </c>
    </row>
    <row r="347" spans="1:3">
      <c r="A347" s="320">
        <v>330</v>
      </c>
      <c r="B347" s="324" t="s">
        <v>494</v>
      </c>
      <c r="C347" s="321" t="s">
        <v>1015</v>
      </c>
    </row>
    <row r="348" spans="1:3">
      <c r="A348" s="320">
        <v>331</v>
      </c>
      <c r="B348" s="324" t="s">
        <v>1016</v>
      </c>
      <c r="C348" s="321" t="s">
        <v>336</v>
      </c>
    </row>
    <row r="349" spans="1:3">
      <c r="A349" s="320">
        <v>332</v>
      </c>
      <c r="B349" s="324" t="s">
        <v>1017</v>
      </c>
      <c r="C349" s="321" t="s">
        <v>389</v>
      </c>
    </row>
    <row r="350" spans="1:3">
      <c r="A350" s="320">
        <v>333</v>
      </c>
      <c r="B350" s="324" t="s">
        <v>1018</v>
      </c>
      <c r="C350" s="321" t="s">
        <v>1019</v>
      </c>
    </row>
    <row r="351" spans="1:3">
      <c r="A351" s="320">
        <v>334</v>
      </c>
      <c r="B351" s="324" t="s">
        <v>497</v>
      </c>
      <c r="C351" s="321" t="s">
        <v>1020</v>
      </c>
    </row>
    <row r="352" spans="1:3">
      <c r="A352" s="320">
        <v>335</v>
      </c>
      <c r="B352" s="324" t="s">
        <v>1021</v>
      </c>
      <c r="C352" s="321" t="s">
        <v>1022</v>
      </c>
    </row>
    <row r="353" spans="1:3">
      <c r="A353" s="320">
        <v>336</v>
      </c>
      <c r="B353" s="324" t="s">
        <v>498</v>
      </c>
      <c r="C353" s="321" t="s">
        <v>499</v>
      </c>
    </row>
    <row r="354" spans="1:3">
      <c r="A354" s="320">
        <v>337</v>
      </c>
      <c r="B354" s="324" t="s">
        <v>503</v>
      </c>
      <c r="C354" s="321" t="s">
        <v>1023</v>
      </c>
    </row>
    <row r="355" spans="1:3">
      <c r="A355" s="320">
        <v>338</v>
      </c>
      <c r="B355" s="324" t="s">
        <v>1024</v>
      </c>
      <c r="C355" s="321" t="s">
        <v>1025</v>
      </c>
    </row>
    <row r="356" spans="1:3">
      <c r="A356" s="320">
        <v>339</v>
      </c>
      <c r="B356" s="324" t="s">
        <v>1026</v>
      </c>
      <c r="C356" s="321" t="s">
        <v>1027</v>
      </c>
    </row>
    <row r="357" spans="1:3">
      <c r="A357" s="320">
        <v>340</v>
      </c>
      <c r="B357" s="324" t="s">
        <v>1028</v>
      </c>
      <c r="C357" s="321" t="s">
        <v>505</v>
      </c>
    </row>
    <row r="358" spans="1:3">
      <c r="A358" s="320">
        <v>341</v>
      </c>
      <c r="B358" s="324" t="s">
        <v>508</v>
      </c>
      <c r="C358" s="321" t="s">
        <v>509</v>
      </c>
    </row>
    <row r="359" spans="1:3">
      <c r="A359" s="320">
        <v>342</v>
      </c>
      <c r="B359" s="324" t="s">
        <v>1029</v>
      </c>
      <c r="C359" s="324" t="s">
        <v>507</v>
      </c>
    </row>
    <row r="360" spans="1:3">
      <c r="A360" s="320">
        <v>343</v>
      </c>
      <c r="B360" s="324" t="s">
        <v>1030</v>
      </c>
      <c r="C360" s="324" t="s">
        <v>1031</v>
      </c>
    </row>
    <row r="361" spans="1:3">
      <c r="A361" s="320">
        <v>344</v>
      </c>
      <c r="B361" s="324" t="s">
        <v>1032</v>
      </c>
      <c r="C361" s="324" t="s">
        <v>506</v>
      </c>
    </row>
    <row r="362" spans="1:3">
      <c r="A362" s="320">
        <v>345</v>
      </c>
      <c r="B362" s="324" t="s">
        <v>1033</v>
      </c>
      <c r="C362" s="324" t="s">
        <v>1034</v>
      </c>
    </row>
    <row r="363" spans="1:3">
      <c r="A363" s="320"/>
      <c r="B363" s="324" t="s">
        <v>1035</v>
      </c>
      <c r="C363" s="324" t="s">
        <v>643</v>
      </c>
    </row>
    <row r="364" spans="1:3">
      <c r="A364" s="320"/>
      <c r="B364" s="324" t="s">
        <v>1036</v>
      </c>
      <c r="C364" s="324" t="s">
        <v>1037</v>
      </c>
    </row>
    <row r="365" spans="1:3">
      <c r="A365" s="320">
        <v>346</v>
      </c>
      <c r="B365" s="324" t="s">
        <v>1038</v>
      </c>
      <c r="C365" s="324" t="s">
        <v>1039</v>
      </c>
    </row>
    <row r="366" spans="1:3">
      <c r="A366" s="320">
        <v>347</v>
      </c>
      <c r="B366" s="324" t="s">
        <v>1040</v>
      </c>
      <c r="C366" s="324" t="s">
        <v>510</v>
      </c>
    </row>
    <row r="367" spans="1:3">
      <c r="A367" s="320">
        <v>348</v>
      </c>
      <c r="B367" s="324" t="s">
        <v>1041</v>
      </c>
      <c r="C367" s="324" t="s">
        <v>511</v>
      </c>
    </row>
    <row r="368" spans="1:3">
      <c r="A368" s="320"/>
      <c r="B368" s="324" t="s">
        <v>1042</v>
      </c>
      <c r="C368" s="324" t="s">
        <v>266</v>
      </c>
    </row>
    <row r="369" spans="1:3">
      <c r="A369" s="320"/>
      <c r="B369" s="324" t="s">
        <v>1043</v>
      </c>
      <c r="C369" s="324" t="s">
        <v>1044</v>
      </c>
    </row>
    <row r="370" spans="1:3">
      <c r="A370" s="320">
        <v>349</v>
      </c>
      <c r="B370" s="331" t="s">
        <v>1045</v>
      </c>
      <c r="C370" s="331" t="s">
        <v>266</v>
      </c>
    </row>
  </sheetData>
  <mergeCells count="2">
    <mergeCell ref="A2:C2"/>
    <mergeCell ref="B3:C3"/>
  </mergeCells>
  <conditionalFormatting sqref="B234:B235">
    <cfRule type="duplicateValues" dxfId="23" priority="18"/>
  </conditionalFormatting>
  <conditionalFormatting sqref="B210:B211">
    <cfRule type="duplicateValues" dxfId="22" priority="17"/>
  </conditionalFormatting>
  <conditionalFormatting sqref="B298">
    <cfRule type="duplicateValues" dxfId="21" priority="16"/>
  </conditionalFormatting>
  <conditionalFormatting sqref="B93">
    <cfRule type="duplicateValues" dxfId="20" priority="15"/>
  </conditionalFormatting>
  <conditionalFormatting sqref="B161">
    <cfRule type="duplicateValues" dxfId="19" priority="14"/>
  </conditionalFormatting>
  <conditionalFormatting sqref="B206">
    <cfRule type="duplicateValues" dxfId="18" priority="13"/>
  </conditionalFormatting>
  <conditionalFormatting sqref="B265">
    <cfRule type="duplicateValues" dxfId="17" priority="12"/>
  </conditionalFormatting>
  <conditionalFormatting sqref="B131:B132">
    <cfRule type="duplicateValues" dxfId="16" priority="11"/>
  </conditionalFormatting>
  <conditionalFormatting sqref="B212:B213">
    <cfRule type="duplicateValues" dxfId="15" priority="10"/>
  </conditionalFormatting>
  <conditionalFormatting sqref="B190">
    <cfRule type="duplicateValues" dxfId="14" priority="9"/>
  </conditionalFormatting>
  <conditionalFormatting sqref="B236">
    <cfRule type="duplicateValues" dxfId="13" priority="8"/>
  </conditionalFormatting>
  <conditionalFormatting sqref="B27">
    <cfRule type="duplicateValues" dxfId="12" priority="7"/>
  </conditionalFormatting>
  <conditionalFormatting sqref="B152">
    <cfRule type="duplicateValues" dxfId="11" priority="6"/>
  </conditionalFormatting>
  <conditionalFormatting sqref="B299:B331 B237:B245 B94:B114 B162:B182 B5:B11 B207:B209 B266:B271 B133:B151 B214:B233 B44:B92 B17:B26 B191:B205 B247:B257 B119:B130 B13:B15 B28:B42 B153:B160 B259:B264 B116:B117 B333:B338 B184:B189 B340:B358 B367:B368 B273:B297">
    <cfRule type="duplicateValues" dxfId="10" priority="19"/>
  </conditionalFormatting>
  <conditionalFormatting sqref="B258">
    <cfRule type="duplicateValues" dxfId="9" priority="5"/>
  </conditionalFormatting>
  <conditionalFormatting sqref="B115">
    <cfRule type="duplicateValues" dxfId="8" priority="4"/>
  </conditionalFormatting>
  <conditionalFormatting sqref="B332">
    <cfRule type="duplicateValues" dxfId="7" priority="3"/>
  </conditionalFormatting>
  <conditionalFormatting sqref="B183">
    <cfRule type="duplicateValues" dxfId="6" priority="2"/>
  </conditionalFormatting>
  <conditionalFormatting sqref="B339">
    <cfRule type="duplicateValues" dxfId="5" priority="1"/>
  </conditionalFormatting>
  <conditionalFormatting sqref="B369:C369">
    <cfRule type="duplicateValues" dxfId="4" priority="20"/>
  </conditionalFormatting>
  <conditionalFormatting sqref="B359:C366">
    <cfRule type="duplicateValues" dxfId="3" priority="21"/>
  </conditionalFormatting>
  <hyperlinks>
    <hyperlink ref="B285" r:id="rId1" display="http://www.retecsa.com.ni/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715D-EF54-4684-B5C7-1B3BF7669736}">
  <sheetPr codeName="Sheet9"/>
  <dimension ref="A5:L53"/>
  <sheetViews>
    <sheetView view="pageLayout" topLeftCell="A41" zoomScaleNormal="100" workbookViewId="0">
      <selection activeCell="F40" sqref="F40"/>
    </sheetView>
  </sheetViews>
  <sheetFormatPr baseColWidth="10" defaultColWidth="8.88671875" defaultRowHeight="13.2"/>
  <cols>
    <col min="1" max="1" width="10" style="1" customWidth="1"/>
    <col min="2" max="2" width="8.44140625" style="1" customWidth="1"/>
    <col min="3" max="4" width="8.88671875" style="1"/>
    <col min="5" max="5" width="8.109375" style="1" customWidth="1"/>
    <col min="6" max="6" width="6.77734375" style="1" customWidth="1"/>
    <col min="7" max="7" width="6.5546875" style="1" customWidth="1"/>
    <col min="8" max="8" width="7.33203125" style="1" customWidth="1"/>
    <col min="9" max="9" width="7.6640625" style="1" customWidth="1"/>
    <col min="10" max="11" width="6.33203125" style="1" customWidth="1"/>
    <col min="12" max="12" width="4.44140625" style="1" customWidth="1"/>
    <col min="13" max="16384" width="8.88671875" style="1"/>
  </cols>
  <sheetData>
    <row r="5" spans="1:9" ht="9" customHeight="1"/>
    <row r="6" spans="1:9">
      <c r="A6" s="432" t="s">
        <v>1127</v>
      </c>
      <c r="B6" s="432"/>
      <c r="C6" s="432"/>
      <c r="D6" s="432"/>
      <c r="E6" s="432"/>
      <c r="F6" s="432"/>
      <c r="G6" s="432"/>
    </row>
    <row r="7" spans="1:9">
      <c r="A7" s="363" t="s">
        <v>1085</v>
      </c>
      <c r="B7" s="433" t="s">
        <v>770</v>
      </c>
      <c r="C7" s="433"/>
      <c r="D7" s="433"/>
      <c r="E7" s="433"/>
      <c r="F7" s="433"/>
      <c r="G7" s="364" t="s">
        <v>1086</v>
      </c>
      <c r="H7" s="434">
        <v>44964</v>
      </c>
      <c r="I7" s="434"/>
    </row>
    <row r="8" spans="1:9">
      <c r="A8" s="363" t="s">
        <v>1087</v>
      </c>
      <c r="B8" s="363"/>
      <c r="C8" s="435" t="s">
        <v>1088</v>
      </c>
      <c r="D8" s="435"/>
      <c r="E8" s="435"/>
      <c r="F8" s="435"/>
      <c r="G8" s="365" t="s">
        <v>1089</v>
      </c>
      <c r="H8" s="436" t="s">
        <v>1090</v>
      </c>
      <c r="I8" s="436"/>
    </row>
    <row r="9" spans="1:9" ht="9" customHeight="1">
      <c r="A9" s="367"/>
      <c r="B9" s="367"/>
      <c r="C9" s="368"/>
      <c r="D9" s="368"/>
      <c r="E9" s="368"/>
      <c r="F9" s="368"/>
      <c r="G9" s="369"/>
      <c r="H9" s="370"/>
      <c r="I9" s="370"/>
    </row>
    <row r="10" spans="1:9">
      <c r="A10" s="432" t="s">
        <v>1128</v>
      </c>
      <c r="B10" s="432"/>
      <c r="C10" s="432"/>
      <c r="D10" s="432"/>
      <c r="E10" s="432"/>
      <c r="F10" s="432"/>
      <c r="G10" s="432"/>
      <c r="H10" s="432"/>
    </row>
    <row r="11" spans="1:9" ht="13.2" customHeight="1">
      <c r="A11" s="437" t="s">
        <v>1091</v>
      </c>
      <c r="B11" s="437"/>
      <c r="C11" s="441" t="s">
        <v>116</v>
      </c>
      <c r="D11" s="442"/>
      <c r="E11" s="364" t="s">
        <v>1126</v>
      </c>
      <c r="F11" s="441" t="s">
        <v>50</v>
      </c>
      <c r="G11" s="443"/>
      <c r="H11" s="442"/>
    </row>
    <row r="12" spans="1:9">
      <c r="A12" s="438" t="s">
        <v>1092</v>
      </c>
      <c r="B12" s="438"/>
      <c r="C12" s="439" t="s">
        <v>37</v>
      </c>
      <c r="D12" s="439"/>
      <c r="E12" s="363" t="s">
        <v>1093</v>
      </c>
      <c r="F12" s="440" t="s">
        <v>1094</v>
      </c>
      <c r="G12" s="440"/>
      <c r="H12" s="440"/>
    </row>
    <row r="13" spans="1:9">
      <c r="A13" s="437" t="s">
        <v>1095</v>
      </c>
      <c r="B13" s="437"/>
      <c r="C13" s="439">
        <v>66347171</v>
      </c>
      <c r="D13" s="439"/>
      <c r="E13" s="363" t="s">
        <v>190</v>
      </c>
      <c r="F13" s="440" t="s">
        <v>1096</v>
      </c>
      <c r="G13" s="440"/>
      <c r="H13" s="440"/>
    </row>
    <row r="14" spans="1:9">
      <c r="A14" s="437" t="s">
        <v>1097</v>
      </c>
      <c r="B14" s="437"/>
      <c r="C14" s="445" t="s">
        <v>1098</v>
      </c>
      <c r="D14" s="446"/>
      <c r="E14" s="364" t="s">
        <v>1099</v>
      </c>
      <c r="F14" s="447" t="s">
        <v>1080</v>
      </c>
      <c r="G14" s="447"/>
      <c r="H14" s="447"/>
    </row>
    <row r="15" spans="1:9">
      <c r="A15" s="438" t="s">
        <v>86</v>
      </c>
      <c r="B15" s="438"/>
      <c r="C15" s="445">
        <v>0.01</v>
      </c>
      <c r="D15" s="446"/>
      <c r="E15" s="364" t="s">
        <v>1100</v>
      </c>
      <c r="F15" s="364"/>
      <c r="G15" s="364" t="s">
        <v>1101</v>
      </c>
      <c r="H15" s="364"/>
    </row>
    <row r="16" spans="1:9">
      <c r="A16" s="372"/>
      <c r="B16" s="372"/>
      <c r="C16" s="386"/>
      <c r="D16" s="386"/>
      <c r="E16" s="373"/>
      <c r="F16" s="373"/>
      <c r="G16" s="373"/>
      <c r="H16" s="373"/>
    </row>
    <row r="17" spans="1:12">
      <c r="A17" s="432" t="s">
        <v>1129</v>
      </c>
      <c r="B17" s="432"/>
      <c r="C17" s="432"/>
      <c r="D17" s="432"/>
      <c r="E17" s="432"/>
      <c r="F17" s="432"/>
      <c r="G17" s="432"/>
      <c r="H17" s="432"/>
    </row>
    <row r="18" spans="1:12" ht="20.399999999999999" customHeight="1">
      <c r="A18" s="375"/>
      <c r="B18" s="376" t="s">
        <v>1102</v>
      </c>
      <c r="C18" s="376" t="s">
        <v>1103</v>
      </c>
      <c r="D18" s="444" t="s">
        <v>1104</v>
      </c>
      <c r="E18" s="444"/>
      <c r="F18" s="456" t="s">
        <v>1105</v>
      </c>
      <c r="G18" s="457"/>
      <c r="H18" s="457"/>
      <c r="I18" s="458"/>
      <c r="J18" s="444" t="s">
        <v>1106</v>
      </c>
      <c r="K18" s="444"/>
    </row>
    <row r="19" spans="1:12" ht="13.2" customHeight="1">
      <c r="A19" s="377" t="s">
        <v>1107</v>
      </c>
      <c r="B19" s="377">
        <v>22.6</v>
      </c>
      <c r="C19" s="377">
        <v>59.6</v>
      </c>
      <c r="D19" s="444" t="s">
        <v>325</v>
      </c>
      <c r="E19" s="444"/>
      <c r="F19" s="459"/>
      <c r="G19" s="460"/>
      <c r="H19" s="460"/>
      <c r="I19" s="461"/>
      <c r="J19" s="455"/>
      <c r="K19" s="455"/>
    </row>
    <row r="20" spans="1:12">
      <c r="A20" s="377" t="s">
        <v>1108</v>
      </c>
      <c r="B20" s="377">
        <v>22.4</v>
      </c>
      <c r="C20" s="377">
        <v>59.6</v>
      </c>
      <c r="D20" s="444"/>
      <c r="E20" s="444"/>
      <c r="F20" s="462"/>
      <c r="G20" s="463"/>
      <c r="H20" s="463"/>
      <c r="I20" s="464"/>
      <c r="J20" s="455"/>
      <c r="K20" s="455"/>
    </row>
    <row r="21" spans="1:12">
      <c r="A21" s="378"/>
      <c r="B21" s="378"/>
      <c r="C21" s="378"/>
      <c r="D21" s="378"/>
      <c r="E21" s="378"/>
      <c r="F21" s="378"/>
      <c r="G21" s="378"/>
      <c r="H21" s="378"/>
      <c r="I21" s="378"/>
    </row>
    <row r="22" spans="1:12">
      <c r="A22" s="432" t="s">
        <v>1130</v>
      </c>
      <c r="B22" s="432"/>
      <c r="C22" s="432"/>
      <c r="D22" s="432"/>
      <c r="E22" s="432"/>
      <c r="F22" s="432"/>
      <c r="G22" s="432"/>
      <c r="H22" s="432"/>
      <c r="I22" s="432"/>
    </row>
    <row r="23" spans="1:12">
      <c r="A23" s="447" t="s">
        <v>1109</v>
      </c>
      <c r="B23" s="447"/>
      <c r="C23" s="447" t="s">
        <v>1109</v>
      </c>
      <c r="D23" s="447"/>
      <c r="F23" s="447" t="s">
        <v>1109</v>
      </c>
      <c r="G23" s="447"/>
      <c r="H23" s="447" t="s">
        <v>1109</v>
      </c>
      <c r="I23" s="447"/>
    </row>
    <row r="24" spans="1:12" ht="9" customHeight="1">
      <c r="A24" s="379"/>
      <c r="B24" s="379"/>
      <c r="C24" s="379"/>
      <c r="D24" s="379"/>
    </row>
    <row r="25" spans="1:12">
      <c r="A25" s="432" t="s">
        <v>1131</v>
      </c>
      <c r="B25" s="432"/>
      <c r="C25" s="432"/>
      <c r="D25" s="432"/>
      <c r="E25" s="432"/>
      <c r="F25" s="432"/>
      <c r="G25" s="432"/>
      <c r="H25" s="432"/>
      <c r="I25" s="432"/>
    </row>
    <row r="26" spans="1:12">
      <c r="A26" s="448"/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50"/>
    </row>
    <row r="27" spans="1:12">
      <c r="A27" s="451"/>
      <c r="B27" s="452"/>
      <c r="C27" s="452"/>
      <c r="D27" s="452"/>
      <c r="E27" s="452"/>
      <c r="F27" s="452"/>
      <c r="G27" s="452"/>
      <c r="H27" s="452"/>
      <c r="I27" s="452"/>
      <c r="J27" s="452"/>
      <c r="K27" s="452"/>
      <c r="L27" s="452"/>
    </row>
    <row r="28" spans="1:12" ht="10.199999999999999" customHeight="1">
      <c r="A28" s="371"/>
    </row>
    <row r="29" spans="1:12">
      <c r="A29" s="432" t="s">
        <v>1132</v>
      </c>
      <c r="B29" s="432"/>
      <c r="C29" s="432"/>
      <c r="D29" s="432"/>
      <c r="E29" s="432"/>
      <c r="F29" s="432"/>
      <c r="G29" s="432"/>
      <c r="H29" s="432"/>
      <c r="I29" s="432"/>
    </row>
    <row r="30" spans="1:12" ht="28.8" customHeight="1">
      <c r="A30" s="380" t="s">
        <v>36</v>
      </c>
      <c r="B30" s="465" t="s">
        <v>112</v>
      </c>
      <c r="C30" s="465"/>
      <c r="D30" s="465"/>
      <c r="E30" s="465"/>
      <c r="F30" s="465"/>
      <c r="G30" s="384" t="str">
        <f>F11</f>
        <v>mm</v>
      </c>
    </row>
    <row r="31" spans="1:12" ht="15.6">
      <c r="A31" s="380" t="str">
        <f>F11</f>
        <v>mm</v>
      </c>
      <c r="B31" s="380" t="s">
        <v>1110</v>
      </c>
      <c r="C31" s="380" t="s">
        <v>1111</v>
      </c>
      <c r="D31" s="380" t="s">
        <v>1118</v>
      </c>
      <c r="E31" s="380" t="s">
        <v>1119</v>
      </c>
      <c r="F31" s="380" t="s">
        <v>1120</v>
      </c>
      <c r="G31" s="380" t="s">
        <v>1121</v>
      </c>
      <c r="H31" s="380" t="s">
        <v>1122</v>
      </c>
      <c r="I31" s="380" t="s">
        <v>1123</v>
      </c>
      <c r="J31" s="380" t="s">
        <v>1124</v>
      </c>
      <c r="K31" s="380" t="s">
        <v>1125</v>
      </c>
    </row>
    <row r="32" spans="1:12">
      <c r="A32" s="366">
        <v>0</v>
      </c>
      <c r="B32" s="366">
        <v>0</v>
      </c>
      <c r="C32" s="366">
        <v>0</v>
      </c>
      <c r="D32" s="366">
        <v>0</v>
      </c>
      <c r="E32" s="366">
        <v>0</v>
      </c>
      <c r="F32" s="366">
        <v>0</v>
      </c>
      <c r="G32" s="366">
        <v>0</v>
      </c>
      <c r="H32" s="366">
        <v>0</v>
      </c>
      <c r="I32" s="366">
        <v>0</v>
      </c>
      <c r="J32" s="366">
        <v>0</v>
      </c>
      <c r="K32" s="366">
        <v>0</v>
      </c>
    </row>
    <row r="33" spans="1:11">
      <c r="A33" s="374"/>
    </row>
    <row r="34" spans="1:11">
      <c r="A34" s="432" t="s">
        <v>1133</v>
      </c>
      <c r="B34" s="432"/>
      <c r="C34" s="432"/>
      <c r="D34" s="432"/>
      <c r="E34" s="432"/>
      <c r="F34" s="432"/>
      <c r="G34" s="432"/>
      <c r="H34" s="432"/>
      <c r="I34" s="432"/>
    </row>
    <row r="35" spans="1:11" ht="13.2" customHeight="1">
      <c r="A35" s="466" t="s">
        <v>1112</v>
      </c>
      <c r="B35" s="465" t="s">
        <v>112</v>
      </c>
      <c r="C35" s="465"/>
      <c r="D35" s="465"/>
      <c r="E35" s="465"/>
      <c r="F35" s="465"/>
      <c r="G35" s="384" t="str">
        <f>F11</f>
        <v>mm</v>
      </c>
      <c r="H35" s="384"/>
    </row>
    <row r="36" spans="1:11" ht="15.6">
      <c r="A36" s="467"/>
      <c r="B36" s="380" t="s">
        <v>1110</v>
      </c>
      <c r="C36" s="380" t="s">
        <v>1111</v>
      </c>
      <c r="D36" s="380" t="s">
        <v>1118</v>
      </c>
      <c r="E36" s="380" t="s">
        <v>1119</v>
      </c>
      <c r="F36" s="380" t="s">
        <v>1120</v>
      </c>
      <c r="G36" s="380" t="s">
        <v>1121</v>
      </c>
      <c r="H36" s="380" t="s">
        <v>1122</v>
      </c>
      <c r="I36" s="380" t="s">
        <v>1123</v>
      </c>
      <c r="J36" s="380" t="s">
        <v>1124</v>
      </c>
      <c r="K36" s="380" t="s">
        <v>1125</v>
      </c>
    </row>
    <row r="37" spans="1:11">
      <c r="A37" s="381"/>
      <c r="B37" s="385">
        <v>0</v>
      </c>
      <c r="C37" s="385">
        <v>0</v>
      </c>
      <c r="D37" s="385">
        <v>0</v>
      </c>
      <c r="E37" s="385">
        <v>0</v>
      </c>
      <c r="F37" s="385">
        <v>0</v>
      </c>
      <c r="G37" s="385">
        <v>0</v>
      </c>
      <c r="H37" s="385">
        <v>0</v>
      </c>
      <c r="I37" s="385">
        <v>0</v>
      </c>
      <c r="J37" s="385">
        <v>0</v>
      </c>
      <c r="K37" s="385">
        <v>0</v>
      </c>
    </row>
    <row r="38" spans="1:11">
      <c r="A38" s="381"/>
      <c r="B38" s="385">
        <v>0</v>
      </c>
      <c r="C38" s="385">
        <v>0</v>
      </c>
      <c r="D38" s="385">
        <v>0</v>
      </c>
      <c r="E38" s="385">
        <v>0</v>
      </c>
      <c r="F38" s="385">
        <v>0</v>
      </c>
      <c r="G38" s="385">
        <v>0</v>
      </c>
      <c r="H38" s="385">
        <v>0</v>
      </c>
      <c r="I38" s="385">
        <v>0</v>
      </c>
      <c r="J38" s="385">
        <v>0</v>
      </c>
      <c r="K38" s="385">
        <v>0</v>
      </c>
    </row>
    <row r="39" spans="1:11">
      <c r="A39" s="381"/>
      <c r="B39" s="385">
        <v>0</v>
      </c>
      <c r="C39" s="385">
        <v>0</v>
      </c>
      <c r="D39" s="385">
        <v>0</v>
      </c>
      <c r="E39" s="385">
        <v>0</v>
      </c>
      <c r="F39" s="385">
        <v>0</v>
      </c>
      <c r="G39" s="385">
        <v>0</v>
      </c>
      <c r="H39" s="385">
        <v>0</v>
      </c>
      <c r="I39" s="385">
        <v>0</v>
      </c>
      <c r="J39" s="385">
        <v>0</v>
      </c>
      <c r="K39" s="385">
        <v>0</v>
      </c>
    </row>
    <row r="40" spans="1:11">
      <c r="A40" s="381"/>
      <c r="B40" s="385">
        <v>0</v>
      </c>
      <c r="C40" s="385">
        <v>0</v>
      </c>
      <c r="D40" s="385">
        <v>0</v>
      </c>
      <c r="E40" s="385">
        <v>0</v>
      </c>
      <c r="F40" s="385">
        <v>0</v>
      </c>
      <c r="G40" s="385">
        <v>0</v>
      </c>
      <c r="H40" s="385">
        <v>0</v>
      </c>
      <c r="I40" s="385">
        <v>0</v>
      </c>
      <c r="J40" s="385">
        <v>0</v>
      </c>
      <c r="K40" s="385">
        <v>0</v>
      </c>
    </row>
    <row r="41" spans="1:11">
      <c r="A41" s="381"/>
      <c r="B41" s="385">
        <v>0</v>
      </c>
      <c r="C41" s="385">
        <v>0</v>
      </c>
      <c r="D41" s="385">
        <v>0</v>
      </c>
      <c r="E41" s="385">
        <v>0</v>
      </c>
      <c r="F41" s="385">
        <v>0</v>
      </c>
      <c r="G41" s="385">
        <v>0</v>
      </c>
      <c r="H41" s="385">
        <v>0</v>
      </c>
      <c r="I41" s="385">
        <v>0</v>
      </c>
      <c r="J41" s="385">
        <v>0</v>
      </c>
      <c r="K41" s="385">
        <v>0</v>
      </c>
    </row>
    <row r="42" spans="1:11">
      <c r="A42" s="381"/>
      <c r="B42" s="385">
        <v>0</v>
      </c>
      <c r="C42" s="385">
        <v>0</v>
      </c>
      <c r="D42" s="385">
        <v>0</v>
      </c>
      <c r="E42" s="385">
        <v>0</v>
      </c>
      <c r="F42" s="385">
        <v>0</v>
      </c>
      <c r="G42" s="385">
        <v>0</v>
      </c>
      <c r="H42" s="385">
        <v>0</v>
      </c>
      <c r="I42" s="385">
        <v>0</v>
      </c>
      <c r="J42" s="385">
        <v>0</v>
      </c>
      <c r="K42" s="385">
        <v>0</v>
      </c>
    </row>
    <row r="43" spans="1:11">
      <c r="A43" s="381"/>
      <c r="B43" s="385">
        <v>0</v>
      </c>
      <c r="C43" s="385">
        <v>0</v>
      </c>
      <c r="D43" s="385">
        <v>0</v>
      </c>
      <c r="E43" s="385">
        <v>0</v>
      </c>
      <c r="F43" s="385">
        <v>0</v>
      </c>
      <c r="G43" s="385">
        <v>0</v>
      </c>
      <c r="H43" s="385">
        <v>0</v>
      </c>
      <c r="I43" s="385">
        <v>0</v>
      </c>
      <c r="J43" s="385">
        <v>0</v>
      </c>
      <c r="K43" s="385">
        <v>0</v>
      </c>
    </row>
    <row r="44" spans="1:11">
      <c r="A44" s="381"/>
      <c r="B44" s="385">
        <v>0</v>
      </c>
      <c r="C44" s="385">
        <v>0</v>
      </c>
      <c r="D44" s="385">
        <v>0</v>
      </c>
      <c r="E44" s="385">
        <v>0</v>
      </c>
      <c r="F44" s="385">
        <v>0</v>
      </c>
      <c r="G44" s="385">
        <v>0</v>
      </c>
      <c r="H44" s="385">
        <v>0</v>
      </c>
      <c r="I44" s="385">
        <v>0</v>
      </c>
      <c r="J44" s="385">
        <v>0</v>
      </c>
      <c r="K44" s="385">
        <v>0</v>
      </c>
    </row>
    <row r="45" spans="1:11">
      <c r="A45" s="381"/>
      <c r="B45" s="385">
        <v>0</v>
      </c>
      <c r="C45" s="385">
        <v>0</v>
      </c>
      <c r="D45" s="385">
        <v>0</v>
      </c>
      <c r="E45" s="385">
        <v>0</v>
      </c>
      <c r="F45" s="385">
        <v>0</v>
      </c>
      <c r="G45" s="385">
        <v>0</v>
      </c>
      <c r="H45" s="385">
        <v>0</v>
      </c>
      <c r="I45" s="385">
        <v>0</v>
      </c>
      <c r="J45" s="385">
        <v>0</v>
      </c>
      <c r="K45" s="385">
        <v>0</v>
      </c>
    </row>
    <row r="46" spans="1:11">
      <c r="A46" s="381"/>
      <c r="B46" s="385">
        <v>0</v>
      </c>
      <c r="C46" s="385">
        <v>0</v>
      </c>
      <c r="D46" s="385">
        <v>0</v>
      </c>
      <c r="E46" s="385">
        <v>0</v>
      </c>
      <c r="F46" s="385">
        <v>0</v>
      </c>
      <c r="G46" s="385">
        <v>0</v>
      </c>
      <c r="H46" s="385">
        <v>0</v>
      </c>
      <c r="I46" s="385">
        <v>0</v>
      </c>
      <c r="J46" s="385">
        <v>0</v>
      </c>
      <c r="K46" s="385">
        <v>0</v>
      </c>
    </row>
    <row r="47" spans="1:11">
      <c r="A47" s="381"/>
      <c r="B47" s="385">
        <v>0</v>
      </c>
      <c r="C47" s="385">
        <v>0</v>
      </c>
      <c r="D47" s="385">
        <v>0</v>
      </c>
      <c r="E47" s="385">
        <v>0</v>
      </c>
      <c r="F47" s="385">
        <v>0</v>
      </c>
      <c r="G47" s="385">
        <v>0</v>
      </c>
      <c r="H47" s="385">
        <v>0</v>
      </c>
      <c r="I47" s="385">
        <v>0</v>
      </c>
      <c r="J47" s="385">
        <v>0</v>
      </c>
      <c r="K47" s="385">
        <v>0</v>
      </c>
    </row>
    <row r="48" spans="1:11">
      <c r="A48" s="374"/>
    </row>
    <row r="49" spans="1:9">
      <c r="A49" s="432" t="s">
        <v>1134</v>
      </c>
      <c r="B49" s="432"/>
      <c r="C49" s="432"/>
      <c r="D49" s="432"/>
      <c r="F49" s="432" t="s">
        <v>1113</v>
      </c>
      <c r="G49" s="432"/>
      <c r="H49" s="432"/>
    </row>
    <row r="50" spans="1:9">
      <c r="A50" s="381" t="s">
        <v>1114</v>
      </c>
      <c r="B50" s="455"/>
      <c r="C50" s="455"/>
      <c r="D50" s="455"/>
      <c r="E50" s="455"/>
      <c r="F50" s="381" t="s">
        <v>1114</v>
      </c>
      <c r="G50" s="455"/>
      <c r="H50" s="455"/>
      <c r="I50" s="455"/>
    </row>
    <row r="51" spans="1:9">
      <c r="A51" s="371"/>
    </row>
    <row r="52" spans="1:9">
      <c r="A52" s="453" t="s">
        <v>1135</v>
      </c>
      <c r="B52" s="453"/>
      <c r="C52" s="453"/>
      <c r="E52" s="382" t="s">
        <v>1115</v>
      </c>
      <c r="G52" s="383" t="s">
        <v>1116</v>
      </c>
    </row>
    <row r="53" spans="1:9">
      <c r="A53" s="454" t="s">
        <v>1117</v>
      </c>
      <c r="B53" s="454"/>
      <c r="C53" s="454"/>
      <c r="D53" s="381" t="s">
        <v>1114</v>
      </c>
      <c r="E53" s="455"/>
      <c r="F53" s="455"/>
      <c r="G53" s="455"/>
      <c r="H53" s="455"/>
      <c r="I53" s="455"/>
    </row>
  </sheetData>
  <mergeCells count="48">
    <mergeCell ref="A52:C52"/>
    <mergeCell ref="A53:C53"/>
    <mergeCell ref="E53:F53"/>
    <mergeCell ref="G53:I53"/>
    <mergeCell ref="J18:K18"/>
    <mergeCell ref="F18:I18"/>
    <mergeCell ref="F19:I20"/>
    <mergeCell ref="J19:K20"/>
    <mergeCell ref="B30:F30"/>
    <mergeCell ref="A49:D49"/>
    <mergeCell ref="F49:H49"/>
    <mergeCell ref="B50:E50"/>
    <mergeCell ref="G50:I50"/>
    <mergeCell ref="A34:I34"/>
    <mergeCell ref="A35:A36"/>
    <mergeCell ref="B35:F35"/>
    <mergeCell ref="A29:I29"/>
    <mergeCell ref="A26:L26"/>
    <mergeCell ref="A27:L27"/>
    <mergeCell ref="A22:I22"/>
    <mergeCell ref="A23:B23"/>
    <mergeCell ref="C23:D23"/>
    <mergeCell ref="F23:G23"/>
    <mergeCell ref="H23:I23"/>
    <mergeCell ref="A25:I25"/>
    <mergeCell ref="D18:E18"/>
    <mergeCell ref="D19:E20"/>
    <mergeCell ref="A14:B14"/>
    <mergeCell ref="C14:D14"/>
    <mergeCell ref="F14:H14"/>
    <mergeCell ref="A15:B15"/>
    <mergeCell ref="C15:D15"/>
    <mergeCell ref="A17:H17"/>
    <mergeCell ref="A11:B11"/>
    <mergeCell ref="A12:B12"/>
    <mergeCell ref="C12:D12"/>
    <mergeCell ref="F12:H12"/>
    <mergeCell ref="A13:B13"/>
    <mergeCell ref="C13:D13"/>
    <mergeCell ref="F13:H13"/>
    <mergeCell ref="C11:D11"/>
    <mergeCell ref="F11:H11"/>
    <mergeCell ref="A10:H10"/>
    <mergeCell ref="A6:G6"/>
    <mergeCell ref="B7:F7"/>
    <mergeCell ref="H7:I7"/>
    <mergeCell ref="C8:F8"/>
    <mergeCell ref="H8:I8"/>
  </mergeCells>
  <phoneticPr fontId="24" type="noConversion"/>
  <dataValidations count="1">
    <dataValidation type="list" allowBlank="1" showInputMessage="1" showErrorMessage="1" sqref="D19" xr:uid="{F056F067-3744-4EDA-B336-69246CEA9966}">
      <formula1>$O$10:$O$11</formula1>
    </dataValidation>
  </dataValidations>
  <pageMargins left="0.7" right="0.7" top="0.75" bottom="0.75" header="0.3" footer="0.3"/>
  <pageSetup orientation="portrait" horizontalDpi="1200" verticalDpi="1200" r:id="rId1"/>
  <headerFooter>
    <oddHeader>&amp;C&amp;G</oddHeader>
    <oddFooter>&amp;L&amp;8Pág. &amp;P de &amp;N&amp;R&amp;8versión 4 Aprobado en NI-MCIT-D-02 v6 con fecha 2019-01-21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AL132"/>
  <sheetViews>
    <sheetView topLeftCell="A34" zoomScale="85" zoomScaleNormal="85" workbookViewId="0">
      <selection activeCell="P34" sqref="P34"/>
    </sheetView>
  </sheetViews>
  <sheetFormatPr baseColWidth="10" defaultColWidth="9.109375" defaultRowHeight="13.2"/>
  <cols>
    <col min="1" max="1" width="8.6640625" style="3" customWidth="1"/>
    <col min="2" max="2" width="12.6640625" style="3" customWidth="1"/>
    <col min="3" max="3" width="13.5546875" style="3" bestFit="1" customWidth="1"/>
    <col min="4" max="16" width="11.6640625" style="3" customWidth="1"/>
    <col min="17" max="17" width="12.33203125" style="3" bestFit="1" customWidth="1"/>
    <col min="18" max="18" width="14.5546875" style="3" bestFit="1" customWidth="1"/>
    <col min="19" max="19" width="14.5546875" style="3" customWidth="1"/>
    <col min="20" max="20" width="5.6640625" style="3" customWidth="1"/>
    <col min="21" max="21" width="12.44140625" style="3" customWidth="1"/>
    <col min="22" max="22" width="9.6640625" style="3" customWidth="1"/>
    <col min="23" max="23" width="11" style="3" bestFit="1" customWidth="1"/>
    <col min="24" max="25" width="9.6640625" style="3" customWidth="1"/>
    <col min="26" max="26" width="10.6640625" style="3" bestFit="1" customWidth="1"/>
    <col min="27" max="27" width="11.33203125" style="3" customWidth="1"/>
    <col min="28" max="28" width="13.6640625" style="3" customWidth="1"/>
    <col min="29" max="29" width="12.88671875" style="3" customWidth="1"/>
    <col min="30" max="30" width="15.33203125" style="3" customWidth="1"/>
    <col min="31" max="31" width="19.44140625" style="3" customWidth="1"/>
    <col min="32" max="34" width="9.109375" style="3"/>
    <col min="35" max="35" width="16" style="3" bestFit="1" customWidth="1"/>
    <col min="36" max="36" width="14.33203125" style="3" customWidth="1"/>
    <col min="37" max="37" width="14" style="3" customWidth="1"/>
    <col min="38" max="38" width="14.88671875" style="3" customWidth="1"/>
    <col min="39" max="16384" width="9.109375" style="3"/>
  </cols>
  <sheetData>
    <row r="1" spans="1:31" ht="15.6">
      <c r="A1" s="468"/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</row>
    <row r="2" spans="1:31" ht="15.6">
      <c r="A2" s="468"/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</row>
    <row r="3" spans="1:31" ht="15.6">
      <c r="A3" s="468"/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</row>
    <row r="6" spans="1:31">
      <c r="A6" s="473" t="s">
        <v>108</v>
      </c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  <c r="O6" s="473"/>
      <c r="P6" s="5"/>
      <c r="Q6" s="5"/>
    </row>
    <row r="7" spans="1:31" ht="13.8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"/>
      <c r="Q7" s="5"/>
      <c r="X7" s="232"/>
      <c r="Z7" s="232"/>
    </row>
    <row r="8" spans="1:31" ht="13.8" thickTop="1">
      <c r="A8" s="499" t="s">
        <v>36</v>
      </c>
      <c r="B8" s="474" t="s">
        <v>112</v>
      </c>
      <c r="C8" s="474"/>
      <c r="D8" s="474"/>
      <c r="E8" s="474"/>
      <c r="F8" s="474"/>
      <c r="G8" s="474"/>
      <c r="H8" s="474"/>
      <c r="I8" s="474"/>
      <c r="J8" s="474"/>
      <c r="K8" s="474"/>
      <c r="L8" s="49" t="s">
        <v>109</v>
      </c>
      <c r="M8" s="49" t="s">
        <v>110</v>
      </c>
      <c r="N8" s="501" t="s">
        <v>111</v>
      </c>
      <c r="O8" s="502"/>
      <c r="P8" s="5"/>
      <c r="Q8" s="5"/>
      <c r="Z8" s="232"/>
    </row>
    <row r="9" spans="1:31" ht="15.6">
      <c r="A9" s="500"/>
      <c r="B9" s="48" t="s">
        <v>94</v>
      </c>
      <c r="C9" s="48" t="s">
        <v>95</v>
      </c>
      <c r="D9" s="48" t="s">
        <v>96</v>
      </c>
      <c r="E9" s="48" t="s">
        <v>97</v>
      </c>
      <c r="F9" s="48" t="s">
        <v>98</v>
      </c>
      <c r="G9" s="48" t="s">
        <v>1074</v>
      </c>
      <c r="H9" s="48" t="s">
        <v>1075</v>
      </c>
      <c r="I9" s="48" t="s">
        <v>1076</v>
      </c>
      <c r="J9" s="48" t="s">
        <v>1077</v>
      </c>
      <c r="K9" s="48" t="s">
        <v>1078</v>
      </c>
      <c r="L9" s="48" t="s">
        <v>19</v>
      </c>
      <c r="M9" s="51" t="s">
        <v>20</v>
      </c>
      <c r="N9" s="503"/>
      <c r="O9" s="504"/>
      <c r="P9" s="5"/>
      <c r="Q9" s="5"/>
    </row>
    <row r="10" spans="1:31" ht="13.8" thickBot="1">
      <c r="A10" s="21" t="s">
        <v>50</v>
      </c>
      <c r="B10" s="22" t="str">
        <f>CONCATENATE("(",Identificaciones!K34,")")</f>
        <v>(mm)</v>
      </c>
      <c r="C10" s="22" t="str">
        <f>CONCATENATE("(",Identificaciones!K34,")")</f>
        <v>(mm)</v>
      </c>
      <c r="D10" s="22" t="str">
        <f>CONCATENATE("(",Identificaciones!K34,")")</f>
        <v>(mm)</v>
      </c>
      <c r="E10" s="22" t="str">
        <f>CONCATENATE("(",Identificaciones!K34,")")</f>
        <v>(mm)</v>
      </c>
      <c r="F10" s="22" t="str">
        <f>CONCATENATE("(",Identificaciones!K34,")")</f>
        <v>(mm)</v>
      </c>
      <c r="G10" s="22" t="str">
        <f>CONCATENATE("(",Identificaciones!K34,")")</f>
        <v>(mm)</v>
      </c>
      <c r="H10" s="22" t="str">
        <f>CONCATENATE("(",Identificaciones!K34,")")</f>
        <v>(mm)</v>
      </c>
      <c r="I10" s="22" t="str">
        <f>CONCATENATE("(",Identificaciones!K34,")")</f>
        <v>(mm)</v>
      </c>
      <c r="J10" s="22" t="str">
        <f>CONCATENATE("(",Identificaciones!K34,")")</f>
        <v>(mm)</v>
      </c>
      <c r="K10" s="22" t="str">
        <f>CONCATENATE("(",Identificaciones!K34,")")</f>
        <v>(mm)</v>
      </c>
      <c r="L10" s="22" t="str">
        <f>CONCATENATE("(",Identificaciones!K34,")")</f>
        <v>(mm)</v>
      </c>
      <c r="M10" s="22" t="str">
        <f>CONCATENATE("(",Identificaciones!K34,")")</f>
        <v>(mm)</v>
      </c>
      <c r="N10" s="471" t="s">
        <v>39</v>
      </c>
      <c r="O10" s="472"/>
      <c r="P10" s="5"/>
      <c r="Q10" s="5"/>
      <c r="X10" s="232"/>
      <c r="Z10" s="232"/>
    </row>
    <row r="11" spans="1:31" ht="21" customHeight="1" thickTop="1" thickBot="1">
      <c r="A11" s="52">
        <v>0</v>
      </c>
      <c r="B11" s="352">
        <f>'NI-R01-MCIT-D-02'!B32</f>
        <v>0</v>
      </c>
      <c r="C11" s="352">
        <f>'NI-R01-MCIT-D-02'!C32</f>
        <v>0</v>
      </c>
      <c r="D11" s="352">
        <f>'NI-R01-MCIT-D-02'!D32</f>
        <v>0</v>
      </c>
      <c r="E11" s="352">
        <f>'NI-R01-MCIT-D-02'!E32</f>
        <v>0</v>
      </c>
      <c r="F11" s="352">
        <f>'NI-R01-MCIT-D-02'!F32</f>
        <v>0</v>
      </c>
      <c r="G11" s="352">
        <f>'NI-R01-MCIT-D-02'!G32</f>
        <v>0</v>
      </c>
      <c r="H11" s="352">
        <f>'NI-R01-MCIT-D-02'!H32</f>
        <v>0</v>
      </c>
      <c r="I11" s="352">
        <f>'NI-R01-MCIT-D-02'!I32</f>
        <v>0</v>
      </c>
      <c r="J11" s="352">
        <f>'NI-R01-MCIT-D-02'!J32</f>
        <v>0</v>
      </c>
      <c r="K11" s="352">
        <f>'NI-R01-MCIT-D-02'!K32</f>
        <v>0</v>
      </c>
      <c r="L11" s="28">
        <f>AVERAGE(B11:K11)</f>
        <v>0</v>
      </c>
      <c r="M11" s="28">
        <f>STDEV(B11:K11)</f>
        <v>0</v>
      </c>
      <c r="N11" s="469">
        <f>IF($L$10="(mm)",(M11/SQRT(10))*1000,IF($L$10="(plg)",(M11/SQRT(10))*25.4*1000,"ERROR"))</f>
        <v>0</v>
      </c>
      <c r="O11" s="470"/>
      <c r="P11" s="5"/>
      <c r="Q11" s="5"/>
    </row>
    <row r="12" spans="1:31" ht="13.8" thickTop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3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3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31">
      <c r="A15" s="473" t="s">
        <v>104</v>
      </c>
      <c r="B15" s="473"/>
      <c r="C15" s="473"/>
      <c r="D15" s="473"/>
      <c r="E15" s="473"/>
      <c r="F15" s="473"/>
      <c r="G15" s="473"/>
      <c r="H15" s="473"/>
      <c r="I15" s="473"/>
      <c r="J15" s="473"/>
      <c r="K15" s="473"/>
      <c r="L15" s="473"/>
      <c r="M15" s="473"/>
      <c r="N15" s="473"/>
      <c r="O15" s="473"/>
      <c r="P15" s="473"/>
      <c r="Q15" s="473"/>
      <c r="R15" s="473"/>
      <c r="S15" s="5"/>
      <c r="T15" s="514" t="s">
        <v>114</v>
      </c>
      <c r="U15" s="514"/>
      <c r="V15" s="514"/>
      <c r="W15" s="514"/>
      <c r="X15" s="514"/>
      <c r="Y15" s="514"/>
      <c r="Z15" s="514"/>
      <c r="AA15" s="514"/>
      <c r="AB15" s="514"/>
      <c r="AC15" s="514"/>
      <c r="AD15" s="514"/>
      <c r="AE15" s="514"/>
    </row>
    <row r="16" spans="1:31" ht="13.8" thickBo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</row>
    <row r="17" spans="1:34" ht="13.5" customHeight="1" thickTop="1">
      <c r="A17" s="495" t="s">
        <v>67</v>
      </c>
      <c r="B17" s="501" t="s">
        <v>105</v>
      </c>
      <c r="C17" s="510"/>
      <c r="D17" s="502"/>
      <c r="E17" s="505" t="s">
        <v>122</v>
      </c>
      <c r="F17" s="518"/>
      <c r="G17" s="518"/>
      <c r="H17" s="518"/>
      <c r="I17" s="518"/>
      <c r="J17" s="518"/>
      <c r="K17" s="518"/>
      <c r="L17" s="518"/>
      <c r="M17" s="518"/>
      <c r="N17" s="518"/>
      <c r="O17" s="518"/>
      <c r="P17" s="506"/>
      <c r="Q17" s="505" t="s">
        <v>106</v>
      </c>
      <c r="R17" s="506"/>
      <c r="S17" s="53"/>
      <c r="T17" s="515" t="s">
        <v>67</v>
      </c>
      <c r="U17" s="480" t="s">
        <v>113</v>
      </c>
      <c r="V17" s="494" t="s">
        <v>34</v>
      </c>
      <c r="W17" s="494"/>
      <c r="X17" s="494"/>
      <c r="Y17" s="494"/>
      <c r="Z17" s="494"/>
      <c r="AA17" s="494"/>
      <c r="AB17" s="494"/>
      <c r="AC17" s="494"/>
      <c r="AD17" s="478" t="s">
        <v>68</v>
      </c>
      <c r="AE17" s="276"/>
    </row>
    <row r="18" spans="1:34">
      <c r="A18" s="496"/>
      <c r="B18" s="511"/>
      <c r="C18" s="512"/>
      <c r="D18" s="513"/>
      <c r="E18" s="507" t="s">
        <v>12</v>
      </c>
      <c r="F18" s="508"/>
      <c r="G18" s="508"/>
      <c r="H18" s="508"/>
      <c r="I18" s="508"/>
      <c r="J18" s="508"/>
      <c r="K18" s="509"/>
      <c r="L18" s="509"/>
      <c r="M18" s="509"/>
      <c r="N18" s="509"/>
      <c r="O18" s="13" t="s">
        <v>13</v>
      </c>
      <c r="P18" s="14" t="s">
        <v>14</v>
      </c>
      <c r="Q18" s="17" t="s">
        <v>40</v>
      </c>
      <c r="R18" s="14" t="s">
        <v>15</v>
      </c>
      <c r="S18" s="53"/>
      <c r="T18" s="516"/>
      <c r="U18" s="481"/>
      <c r="V18" s="494"/>
      <c r="W18" s="494"/>
      <c r="X18" s="494"/>
      <c r="Y18" s="494"/>
      <c r="Z18" s="494"/>
      <c r="AA18" s="494"/>
      <c r="AB18" s="494"/>
      <c r="AC18" s="494"/>
      <c r="AD18" s="479"/>
      <c r="AE18" s="276"/>
    </row>
    <row r="19" spans="1:34" ht="17.25" customHeight="1">
      <c r="A19" s="496"/>
      <c r="B19" s="19" t="s">
        <v>16</v>
      </c>
      <c r="C19" s="42" t="s">
        <v>316</v>
      </c>
      <c r="D19" s="228" t="s">
        <v>17</v>
      </c>
      <c r="E19" s="18" t="s">
        <v>18</v>
      </c>
      <c r="F19" s="18" t="s">
        <v>1065</v>
      </c>
      <c r="G19" s="18" t="s">
        <v>1066</v>
      </c>
      <c r="H19" s="18" t="s">
        <v>1067</v>
      </c>
      <c r="I19" s="18" t="s">
        <v>1068</v>
      </c>
      <c r="J19" s="18" t="s">
        <v>1069</v>
      </c>
      <c r="K19" s="18" t="s">
        <v>1070</v>
      </c>
      <c r="L19" s="18" t="s">
        <v>1071</v>
      </c>
      <c r="M19" s="18" t="s">
        <v>1072</v>
      </c>
      <c r="N19" s="18" t="s">
        <v>1073</v>
      </c>
      <c r="O19" s="19" t="s">
        <v>19</v>
      </c>
      <c r="P19" s="47" t="s">
        <v>20</v>
      </c>
      <c r="Q19" s="18" t="s">
        <v>21</v>
      </c>
      <c r="R19" s="20" t="s">
        <v>22</v>
      </c>
      <c r="S19" s="53"/>
      <c r="T19" s="516"/>
      <c r="U19" s="481"/>
      <c r="V19" s="91" t="s">
        <v>273</v>
      </c>
      <c r="W19" s="92" t="s">
        <v>272</v>
      </c>
      <c r="X19" s="93" t="s">
        <v>271</v>
      </c>
      <c r="Y19" s="94" t="s">
        <v>274</v>
      </c>
      <c r="Z19" s="92" t="s">
        <v>275</v>
      </c>
      <c r="AA19" s="93" t="s">
        <v>276</v>
      </c>
      <c r="AB19" s="95" t="s">
        <v>277</v>
      </c>
      <c r="AC19" s="96" t="s">
        <v>206</v>
      </c>
      <c r="AD19" s="168" t="s">
        <v>35</v>
      </c>
    </row>
    <row r="20" spans="1:34" ht="15" thickBot="1">
      <c r="A20" s="497"/>
      <c r="B20" s="31" t="s">
        <v>84</v>
      </c>
      <c r="C20" s="30" t="s">
        <v>84</v>
      </c>
      <c r="D20" s="229" t="s">
        <v>23</v>
      </c>
      <c r="E20" s="21" t="str">
        <f>CONCATENATE("(",Identificaciones!K34,")")</f>
        <v>(mm)</v>
      </c>
      <c r="F20" s="359" t="str">
        <f>CONCATENATE("(",Identificaciones!K34,")")</f>
        <v>(mm)</v>
      </c>
      <c r="G20" s="359" t="str">
        <f>CONCATENATE("(",Identificaciones!K34,")")</f>
        <v>(mm)</v>
      </c>
      <c r="H20" s="359" t="str">
        <f>CONCATENATE("(",Identificaciones!K34,")")</f>
        <v>(mm)</v>
      </c>
      <c r="I20" s="359" t="str">
        <f>CONCATENATE("(",Identificaciones!K34,")")</f>
        <v>(mm)</v>
      </c>
      <c r="J20" s="359" t="str">
        <f>CONCATENATE("(",Identificaciones!K34,")")</f>
        <v>(mm)</v>
      </c>
      <c r="K20" s="22" t="str">
        <f>CONCATENATE("(",Identificaciones!K34,")")</f>
        <v>(mm)</v>
      </c>
      <c r="L20" s="22" t="str">
        <f>CONCATENATE("(",Identificaciones!K34,")")</f>
        <v>(mm)</v>
      </c>
      <c r="M20" s="22" t="str">
        <f>CONCATENATE("(",Identificaciones!K34,")")</f>
        <v>(mm)</v>
      </c>
      <c r="N20" s="22" t="str">
        <f>CONCATENATE("(",Identificaciones!K34,")")</f>
        <v>(mm)</v>
      </c>
      <c r="O20" s="22" t="str">
        <f>CONCATENATE("(",Identificaciones!K34,")")</f>
        <v>(mm)</v>
      </c>
      <c r="P20" s="23" t="str">
        <f>CONCATENATE("(",Identificaciones!K34,")")</f>
        <v>(mm)</v>
      </c>
      <c r="Q20" s="21" t="s">
        <v>103</v>
      </c>
      <c r="R20" s="23" t="s">
        <v>103</v>
      </c>
      <c r="S20" s="53"/>
      <c r="T20" s="517"/>
      <c r="U20" s="97" t="s">
        <v>84</v>
      </c>
      <c r="V20" s="98" t="s">
        <v>23</v>
      </c>
      <c r="W20" s="99" t="s">
        <v>207</v>
      </c>
      <c r="X20" s="99" t="s">
        <v>208</v>
      </c>
      <c r="Y20" s="100" t="s">
        <v>23</v>
      </c>
      <c r="Z20" s="99" t="s">
        <v>207</v>
      </c>
      <c r="AA20" s="99" t="s">
        <v>208</v>
      </c>
      <c r="AB20" s="101" t="s">
        <v>23</v>
      </c>
      <c r="AC20" s="97" t="s">
        <v>23</v>
      </c>
      <c r="AD20" s="102" t="s">
        <v>23</v>
      </c>
    </row>
    <row r="21" spans="1:34" ht="14.4" thickTop="1" thickBot="1">
      <c r="A21" s="43">
        <v>1</v>
      </c>
      <c r="B21" s="45">
        <f>Patrones!T7</f>
        <v>0</v>
      </c>
      <c r="C21" s="46">
        <f>Patrones!T7+Patrones!T8/1000</f>
        <v>0</v>
      </c>
      <c r="D21" s="230">
        <f>SQRT(SUMSQ(Patrones!T9:T10))</f>
        <v>0</v>
      </c>
      <c r="E21" s="353">
        <f>'NI-R01-MCIT-D-02'!B37</f>
        <v>0</v>
      </c>
      <c r="F21" s="353">
        <f>'NI-R01-MCIT-D-02'!C37</f>
        <v>0</v>
      </c>
      <c r="G21" s="353">
        <f>'NI-R01-MCIT-D-02'!D37</f>
        <v>0</v>
      </c>
      <c r="H21" s="353">
        <f>'NI-R01-MCIT-D-02'!E37</f>
        <v>0</v>
      </c>
      <c r="I21" s="353">
        <f>'NI-R01-MCIT-D-02'!F37</f>
        <v>0</v>
      </c>
      <c r="J21" s="353">
        <f>'NI-R01-MCIT-D-02'!G37</f>
        <v>0</v>
      </c>
      <c r="K21" s="353">
        <f>'NI-R01-MCIT-D-02'!H37</f>
        <v>0</v>
      </c>
      <c r="L21" s="353">
        <f>'NI-R01-MCIT-D-02'!I37</f>
        <v>0</v>
      </c>
      <c r="M21" s="353">
        <f>'NI-R01-MCIT-D-02'!J37</f>
        <v>0</v>
      </c>
      <c r="N21" s="353">
        <f>'NI-R01-MCIT-D-02'!K37</f>
        <v>0</v>
      </c>
      <c r="O21" s="24">
        <f>AVERAGE(E21:N21)</f>
        <v>0</v>
      </c>
      <c r="P21" s="40">
        <f t="shared" ref="P21:P26" si="0">STDEV(E21:N21)</f>
        <v>0</v>
      </c>
      <c r="Q21" s="223">
        <f t="shared" ref="Q21:Q26" si="1">IF($O$20="(mm)",(O21-C21)*1000,IF($O$20="(plg)",(O21*25.4-C21)*1000,"ERROR"))</f>
        <v>0</v>
      </c>
      <c r="R21" s="35">
        <f>IF($O$20="(mm)",(P21/SQRT(10))*1000,IF($O$20="(plg)",(P21/SQRT(10))*25.4*1000,"ERROR"))</f>
        <v>0</v>
      </c>
      <c r="S21" s="54"/>
      <c r="T21" s="103">
        <v>0</v>
      </c>
      <c r="U21" s="104">
        <f>+B11</f>
        <v>0</v>
      </c>
      <c r="V21" s="44">
        <f>O11</f>
        <v>0</v>
      </c>
      <c r="W21" s="122">
        <f>0.00000115/SQRT(3)</f>
        <v>6.6395280956806967E-7</v>
      </c>
      <c r="X21" s="105">
        <f>$W$68</f>
        <v>1.2956594202695915</v>
      </c>
      <c r="Y21" s="106">
        <v>0</v>
      </c>
      <c r="Z21" s="233">
        <f>W21</f>
        <v>6.6395280956806967E-7</v>
      </c>
      <c r="AA21" s="106">
        <f>X21</f>
        <v>1.2956594202695915</v>
      </c>
      <c r="AB21" s="275">
        <f>IF($O$20="(mm)",(Identificaciones!$I$34)*1000,IF($O$20="(plg)",(Identificaciones!$I$34*25.4)*1000,"ERROR"))/SQRT(12)</f>
        <v>0.28867513459481292</v>
      </c>
      <c r="AC21" s="107">
        <f t="shared" ref="AC21:AC27" si="2">SQRT((V21*V45)^2+(W21*W45)^2+(X21*X45)^2+(Y21*Y45)^2+(Z21*Z45)^2+(AA21*AA45)^2+(AB21*AB45)^2)</f>
        <v>0.28867513459481292</v>
      </c>
      <c r="AD21" s="107" t="e">
        <f>AC21*'Grados de Libertad'!G12</f>
        <v>#DIV/0!</v>
      </c>
      <c r="AE21" s="277"/>
      <c r="AG21" s="81"/>
    </row>
    <row r="22" spans="1:34" ht="14.4" thickTop="1" thickBot="1">
      <c r="A22" s="43">
        <v>2</v>
      </c>
      <c r="B22" s="45">
        <f>Patrones!T13</f>
        <v>0</v>
      </c>
      <c r="C22" s="46">
        <f>Patrones!T13+Patrones!T14/1000</f>
        <v>0</v>
      </c>
      <c r="D22" s="230">
        <f>SQRT(SUMSQ(Patrones!T15:T16))</f>
        <v>0</v>
      </c>
      <c r="E22" s="353">
        <f>'NI-R01-MCIT-D-02'!B38</f>
        <v>0</v>
      </c>
      <c r="F22" s="353">
        <f>'NI-R01-MCIT-D-02'!C38</f>
        <v>0</v>
      </c>
      <c r="G22" s="353">
        <f>'NI-R01-MCIT-D-02'!D38</f>
        <v>0</v>
      </c>
      <c r="H22" s="353">
        <f>'NI-R01-MCIT-D-02'!E38</f>
        <v>0</v>
      </c>
      <c r="I22" s="353">
        <f>'NI-R01-MCIT-D-02'!F38</f>
        <v>0</v>
      </c>
      <c r="J22" s="353">
        <f>'NI-R01-MCIT-D-02'!G38</f>
        <v>0</v>
      </c>
      <c r="K22" s="353">
        <f>'NI-R01-MCIT-D-02'!H38</f>
        <v>0</v>
      </c>
      <c r="L22" s="353">
        <f>'NI-R01-MCIT-D-02'!I38</f>
        <v>0</v>
      </c>
      <c r="M22" s="353">
        <f>'NI-R01-MCIT-D-02'!J38</f>
        <v>0</v>
      </c>
      <c r="N22" s="353">
        <f>'NI-R01-MCIT-D-02'!K38</f>
        <v>0</v>
      </c>
      <c r="O22" s="26">
        <f>AVERAGE(E22:N22)</f>
        <v>0</v>
      </c>
      <c r="P22" s="41">
        <f t="shared" si="0"/>
        <v>0</v>
      </c>
      <c r="Q22" s="224">
        <f t="shared" si="1"/>
        <v>0</v>
      </c>
      <c r="R22" s="36">
        <f>IF($O$20="(mm)",(P22/SQRT(10))*1000,IF($O$20="(plg)",(P22/SQRT(10))*25.4*1000,"ERROR"))</f>
        <v>0</v>
      </c>
      <c r="S22" s="54"/>
      <c r="T22" s="103">
        <v>1</v>
      </c>
      <c r="U22" s="108">
        <f t="shared" ref="U22:U27" si="3">B21</f>
        <v>0</v>
      </c>
      <c r="V22" s="44">
        <f t="shared" ref="V22:V27" si="4">R21</f>
        <v>0</v>
      </c>
      <c r="W22" s="122">
        <f t="shared" ref="W22:W32" si="5">0.00000115/SQRT(3)</f>
        <v>6.6395280956806967E-7</v>
      </c>
      <c r="X22" s="105">
        <f t="shared" ref="X22:X32" si="6">$W$68</f>
        <v>1.2956594202695915</v>
      </c>
      <c r="Y22" s="109">
        <f t="shared" ref="Y22:Y27" si="7">D21</f>
        <v>0</v>
      </c>
      <c r="Z22" s="233">
        <f t="shared" ref="Z22:Z27" si="8">W22</f>
        <v>6.6395280956806967E-7</v>
      </c>
      <c r="AA22" s="106">
        <f t="shared" ref="AA22:AA27" si="9">X22</f>
        <v>1.2956594202695915</v>
      </c>
      <c r="AB22" s="275">
        <f>IF($O$20="(mm)",(Identificaciones!$I$34)*1000,IF($O$20="(plg)",(Identificaciones!$I$34*25.4)*1000,"ERROR"))/SQRT(12)</f>
        <v>0.28867513459481292</v>
      </c>
      <c r="AC22" s="107">
        <f t="shared" si="2"/>
        <v>0.28867513459481292</v>
      </c>
      <c r="AD22" s="107" t="e">
        <f>AC22*'Grados de Libertad'!G25</f>
        <v>#DIV/0!</v>
      </c>
      <c r="AE22" s="277"/>
      <c r="AG22" s="81"/>
    </row>
    <row r="23" spans="1:34" ht="14.4" thickTop="1" thickBot="1">
      <c r="A23" s="43">
        <v>3</v>
      </c>
      <c r="B23" s="45">
        <f>Patrones!T19</f>
        <v>0</v>
      </c>
      <c r="C23" s="46">
        <f>Patrones!T19+Patrones!T20/1000</f>
        <v>0</v>
      </c>
      <c r="D23" s="230">
        <f>SQRT(SUMSQ(Patrones!T21:T22))</f>
        <v>0</v>
      </c>
      <c r="E23" s="353">
        <f>'NI-R01-MCIT-D-02'!B39</f>
        <v>0</v>
      </c>
      <c r="F23" s="353">
        <f>'NI-R01-MCIT-D-02'!C39</f>
        <v>0</v>
      </c>
      <c r="G23" s="353">
        <f>'NI-R01-MCIT-D-02'!D39</f>
        <v>0</v>
      </c>
      <c r="H23" s="353">
        <f>'NI-R01-MCIT-D-02'!E39</f>
        <v>0</v>
      </c>
      <c r="I23" s="353">
        <f>'NI-R01-MCIT-D-02'!F39</f>
        <v>0</v>
      </c>
      <c r="J23" s="353">
        <f>'NI-R01-MCIT-D-02'!G39</f>
        <v>0</v>
      </c>
      <c r="K23" s="353">
        <f>'NI-R01-MCIT-D-02'!H39</f>
        <v>0</v>
      </c>
      <c r="L23" s="353">
        <f>'NI-R01-MCIT-D-02'!I39</f>
        <v>0</v>
      </c>
      <c r="M23" s="353">
        <f>'NI-R01-MCIT-D-02'!J39</f>
        <v>0</v>
      </c>
      <c r="N23" s="353">
        <f>'NI-R01-MCIT-D-02'!K39</f>
        <v>0</v>
      </c>
      <c r="O23" s="26">
        <f>AVERAGE(E23:N23)</f>
        <v>0</v>
      </c>
      <c r="P23" s="41">
        <f t="shared" si="0"/>
        <v>0</v>
      </c>
      <c r="Q23" s="224">
        <f t="shared" si="1"/>
        <v>0</v>
      </c>
      <c r="R23" s="36">
        <f t="shared" ref="R23:R29" si="10">IF($O$20="(mm)",(P23/SQRT(10))*1000,IF($O$20="(plg)",(P23/SQRT(10))*25.4*1000,"ERROR"))</f>
        <v>0</v>
      </c>
      <c r="S23" s="54"/>
      <c r="T23" s="103">
        <v>2</v>
      </c>
      <c r="U23" s="108">
        <f t="shared" si="3"/>
        <v>0</v>
      </c>
      <c r="V23" s="44">
        <f t="shared" si="4"/>
        <v>0</v>
      </c>
      <c r="W23" s="122">
        <f t="shared" si="5"/>
        <v>6.6395280956806967E-7</v>
      </c>
      <c r="X23" s="105">
        <f t="shared" si="6"/>
        <v>1.2956594202695915</v>
      </c>
      <c r="Y23" s="109">
        <f t="shared" si="7"/>
        <v>0</v>
      </c>
      <c r="Z23" s="233">
        <f t="shared" si="8"/>
        <v>6.6395280956806967E-7</v>
      </c>
      <c r="AA23" s="106">
        <f t="shared" si="9"/>
        <v>1.2956594202695915</v>
      </c>
      <c r="AB23" s="275">
        <f>IF($O$20="(mm)",(Identificaciones!$I$34)*1000,IF($O$20="(plg)",(Identificaciones!$I$34*25.4)*1000,"ERROR"))/SQRT(12)</f>
        <v>0.28867513459481292</v>
      </c>
      <c r="AC23" s="107">
        <f t="shared" si="2"/>
        <v>0.28867513459481292</v>
      </c>
      <c r="AD23" s="107" t="e">
        <f>AC23*'Grados de Libertad'!G41</f>
        <v>#DIV/0!</v>
      </c>
      <c r="AE23" s="278"/>
      <c r="AG23" s="81"/>
    </row>
    <row r="24" spans="1:34" ht="14.4" thickTop="1" thickBot="1">
      <c r="A24" s="83">
        <v>4</v>
      </c>
      <c r="B24" s="84">
        <f>Patrones!T25</f>
        <v>0</v>
      </c>
      <c r="C24" s="85">
        <f>Patrones!T25+Patrones!T26/1000</f>
        <v>0</v>
      </c>
      <c r="D24" s="230">
        <f>SQRT(SUMSQ(Patrones!T27:T28))</f>
        <v>0</v>
      </c>
      <c r="E24" s="353">
        <f>'NI-R01-MCIT-D-02'!B40</f>
        <v>0</v>
      </c>
      <c r="F24" s="353">
        <f>'NI-R01-MCIT-D-02'!C40</f>
        <v>0</v>
      </c>
      <c r="G24" s="353">
        <f>'NI-R01-MCIT-D-02'!D40</f>
        <v>0</v>
      </c>
      <c r="H24" s="353">
        <f>'NI-R01-MCIT-D-02'!E40</f>
        <v>0</v>
      </c>
      <c r="I24" s="353">
        <f>'NI-R01-MCIT-D-02'!F40</f>
        <v>0</v>
      </c>
      <c r="J24" s="353">
        <f>'NI-R01-MCIT-D-02'!G40</f>
        <v>0</v>
      </c>
      <c r="K24" s="353">
        <f>'NI-R01-MCIT-D-02'!H40</f>
        <v>0</v>
      </c>
      <c r="L24" s="353">
        <f>'NI-R01-MCIT-D-02'!I40</f>
        <v>0</v>
      </c>
      <c r="M24" s="353">
        <f>'NI-R01-MCIT-D-02'!J40</f>
        <v>0</v>
      </c>
      <c r="N24" s="353">
        <f>'NI-R01-MCIT-D-02'!K40</f>
        <v>0</v>
      </c>
      <c r="O24" s="87">
        <f t="shared" ref="O24:O26" si="11">AVERAGE(E24:N24)</f>
        <v>0</v>
      </c>
      <c r="P24" s="86">
        <f t="shared" si="0"/>
        <v>0</v>
      </c>
      <c r="Q24" s="225">
        <f t="shared" si="1"/>
        <v>0</v>
      </c>
      <c r="R24" s="36">
        <f t="shared" si="10"/>
        <v>0</v>
      </c>
      <c r="S24" s="54"/>
      <c r="T24" s="103">
        <v>3</v>
      </c>
      <c r="U24" s="108">
        <f t="shared" si="3"/>
        <v>0</v>
      </c>
      <c r="V24" s="44">
        <f t="shared" si="4"/>
        <v>0</v>
      </c>
      <c r="W24" s="122">
        <f t="shared" si="5"/>
        <v>6.6395280956806967E-7</v>
      </c>
      <c r="X24" s="105">
        <f t="shared" si="6"/>
        <v>1.2956594202695915</v>
      </c>
      <c r="Y24" s="109">
        <f t="shared" si="7"/>
        <v>0</v>
      </c>
      <c r="Z24" s="233">
        <f t="shared" si="8"/>
        <v>6.6395280956806967E-7</v>
      </c>
      <c r="AA24" s="106">
        <f t="shared" si="9"/>
        <v>1.2956594202695915</v>
      </c>
      <c r="AB24" s="275">
        <f>IF($O$20="(mm)",(Identificaciones!$I$34)*1000,IF($O$20="(plg)",(Identificaciones!$I$34*25.4)*1000,"ERROR"))/SQRT(12)</f>
        <v>0.28867513459481292</v>
      </c>
      <c r="AC24" s="107">
        <f t="shared" si="2"/>
        <v>0.28867513459481292</v>
      </c>
      <c r="AD24" s="107" t="e">
        <f>AC24*'Grados de Libertad'!G56</f>
        <v>#DIV/0!</v>
      </c>
      <c r="AE24" s="277"/>
      <c r="AG24" s="81"/>
    </row>
    <row r="25" spans="1:34" ht="14.4" thickTop="1" thickBot="1">
      <c r="A25" s="88">
        <v>5</v>
      </c>
      <c r="B25" s="25">
        <f>Patrones!T31</f>
        <v>0</v>
      </c>
      <c r="C25" s="89">
        <f>Patrones!T31+Patrones!T32/1000</f>
        <v>0</v>
      </c>
      <c r="D25" s="230">
        <f>SQRT(SUMSQ(Patrones!T33:T34))</f>
        <v>0</v>
      </c>
      <c r="E25" s="353">
        <f>'NI-R01-MCIT-D-02'!B41</f>
        <v>0</v>
      </c>
      <c r="F25" s="353">
        <f>'NI-R01-MCIT-D-02'!C41</f>
        <v>0</v>
      </c>
      <c r="G25" s="353">
        <f>'NI-R01-MCIT-D-02'!D41</f>
        <v>0</v>
      </c>
      <c r="H25" s="353">
        <f>'NI-R01-MCIT-D-02'!E41</f>
        <v>0</v>
      </c>
      <c r="I25" s="353">
        <f>'NI-R01-MCIT-D-02'!F41</f>
        <v>0</v>
      </c>
      <c r="J25" s="353">
        <f>'NI-R01-MCIT-D-02'!G41</f>
        <v>0</v>
      </c>
      <c r="K25" s="353">
        <f>'NI-R01-MCIT-D-02'!H41</f>
        <v>0</v>
      </c>
      <c r="L25" s="353">
        <f>'NI-R01-MCIT-D-02'!I41</f>
        <v>0</v>
      </c>
      <c r="M25" s="353">
        <f>'NI-R01-MCIT-D-02'!J41</f>
        <v>0</v>
      </c>
      <c r="N25" s="353">
        <f>'NI-R01-MCIT-D-02'!K41</f>
        <v>0</v>
      </c>
      <c r="O25" s="26">
        <f t="shared" si="11"/>
        <v>0</v>
      </c>
      <c r="P25" s="26">
        <f t="shared" si="0"/>
        <v>0</v>
      </c>
      <c r="Q25" s="25">
        <f t="shared" si="1"/>
        <v>0</v>
      </c>
      <c r="R25" s="36">
        <f t="shared" si="10"/>
        <v>0</v>
      </c>
      <c r="S25" s="82"/>
      <c r="T25" s="103">
        <v>4</v>
      </c>
      <c r="U25" s="108">
        <f t="shared" si="3"/>
        <v>0</v>
      </c>
      <c r="V25" s="44">
        <f t="shared" si="4"/>
        <v>0</v>
      </c>
      <c r="W25" s="122">
        <f t="shared" si="5"/>
        <v>6.6395280956806967E-7</v>
      </c>
      <c r="X25" s="105">
        <f t="shared" si="6"/>
        <v>1.2956594202695915</v>
      </c>
      <c r="Y25" s="109">
        <f t="shared" si="7"/>
        <v>0</v>
      </c>
      <c r="Z25" s="233">
        <f t="shared" si="8"/>
        <v>6.6395280956806967E-7</v>
      </c>
      <c r="AA25" s="106">
        <f t="shared" si="9"/>
        <v>1.2956594202695915</v>
      </c>
      <c r="AB25" s="275">
        <f>IF($O$20="(mm)",(Identificaciones!$I$34)*1000,IF($O$20="(plg)",(Identificaciones!$I$34*25.4)*1000,"ERROR"))/SQRT(12)</f>
        <v>0.28867513459481292</v>
      </c>
      <c r="AC25" s="107">
        <f t="shared" si="2"/>
        <v>0.28867513459481292</v>
      </c>
      <c r="AD25" s="107" t="e">
        <f>AC25*'Grados de Libertad'!G71</f>
        <v>#DIV/0!</v>
      </c>
      <c r="AE25" s="277"/>
      <c r="AG25" s="81"/>
    </row>
    <row r="26" spans="1:34" ht="14.4" thickTop="1" thickBot="1">
      <c r="A26" s="88">
        <v>6</v>
      </c>
      <c r="B26" s="25">
        <f>Patrones!T37</f>
        <v>0</v>
      </c>
      <c r="C26" s="89">
        <f>Patrones!T37+Patrones!T38/1000</f>
        <v>0</v>
      </c>
      <c r="D26" s="230">
        <f>SQRT(SUMSQ(Patrones!T39:T40))</f>
        <v>0</v>
      </c>
      <c r="E26" s="353">
        <f>'NI-R01-MCIT-D-02'!B42</f>
        <v>0</v>
      </c>
      <c r="F26" s="353">
        <f>'NI-R01-MCIT-D-02'!C42</f>
        <v>0</v>
      </c>
      <c r="G26" s="353">
        <f>'NI-R01-MCIT-D-02'!D42</f>
        <v>0</v>
      </c>
      <c r="H26" s="353">
        <f>'NI-R01-MCIT-D-02'!E42</f>
        <v>0</v>
      </c>
      <c r="I26" s="353">
        <f>'NI-R01-MCIT-D-02'!F42</f>
        <v>0</v>
      </c>
      <c r="J26" s="353">
        <f>'NI-R01-MCIT-D-02'!G42</f>
        <v>0</v>
      </c>
      <c r="K26" s="353">
        <f>'NI-R01-MCIT-D-02'!H42</f>
        <v>0</v>
      </c>
      <c r="L26" s="353">
        <f>'NI-R01-MCIT-D-02'!I42</f>
        <v>0</v>
      </c>
      <c r="M26" s="353">
        <f>'NI-R01-MCIT-D-02'!J42</f>
        <v>0</v>
      </c>
      <c r="N26" s="353">
        <f>'NI-R01-MCIT-D-02'!K42</f>
        <v>0</v>
      </c>
      <c r="O26" s="26">
        <f t="shared" si="11"/>
        <v>0</v>
      </c>
      <c r="P26" s="26">
        <f t="shared" si="0"/>
        <v>0</v>
      </c>
      <c r="Q26" s="25">
        <f t="shared" si="1"/>
        <v>0</v>
      </c>
      <c r="R26" s="36">
        <f t="shared" si="10"/>
        <v>0</v>
      </c>
      <c r="S26" s="82"/>
      <c r="T26" s="103">
        <v>5</v>
      </c>
      <c r="U26" s="108">
        <f t="shared" si="3"/>
        <v>0</v>
      </c>
      <c r="V26" s="44">
        <f t="shared" si="4"/>
        <v>0</v>
      </c>
      <c r="W26" s="122">
        <f t="shared" si="5"/>
        <v>6.6395280956806967E-7</v>
      </c>
      <c r="X26" s="105">
        <f t="shared" si="6"/>
        <v>1.2956594202695915</v>
      </c>
      <c r="Y26" s="109">
        <f t="shared" si="7"/>
        <v>0</v>
      </c>
      <c r="Z26" s="233">
        <f t="shared" si="8"/>
        <v>6.6395280956806967E-7</v>
      </c>
      <c r="AA26" s="106">
        <f t="shared" si="9"/>
        <v>1.2956594202695915</v>
      </c>
      <c r="AB26" s="275">
        <f>IF($O$20="(mm)",(Identificaciones!$I$34)*1000,IF($O$20="(plg)",(Identificaciones!$I$34*25.4)*1000,"ERROR"))/SQRT(12)</f>
        <v>0.28867513459481292</v>
      </c>
      <c r="AC26" s="107">
        <f t="shared" si="2"/>
        <v>0.28867513459481292</v>
      </c>
      <c r="AD26" s="107" t="e">
        <f>AC26*'Grados de Libertad'!G86</f>
        <v>#DIV/0!</v>
      </c>
      <c r="AE26" s="277"/>
      <c r="AG26" s="81"/>
    </row>
    <row r="27" spans="1:34" ht="14.4" thickTop="1" thickBot="1">
      <c r="A27" s="88">
        <v>7</v>
      </c>
      <c r="B27" s="25">
        <f>Patrones!T43</f>
        <v>0</v>
      </c>
      <c r="C27" s="89">
        <f>Patrones!T43+Patrones!T44/1000</f>
        <v>0</v>
      </c>
      <c r="D27" s="230">
        <f>SQRT(SUMSQ(Patrones!T45:T46))</f>
        <v>0</v>
      </c>
      <c r="E27" s="353">
        <f>'NI-R01-MCIT-D-02'!B43</f>
        <v>0</v>
      </c>
      <c r="F27" s="353">
        <f>'NI-R01-MCIT-D-02'!C43</f>
        <v>0</v>
      </c>
      <c r="G27" s="353">
        <f>'NI-R01-MCIT-D-02'!D43</f>
        <v>0</v>
      </c>
      <c r="H27" s="353">
        <f>'NI-R01-MCIT-D-02'!E43</f>
        <v>0</v>
      </c>
      <c r="I27" s="353">
        <f>'NI-R01-MCIT-D-02'!F43</f>
        <v>0</v>
      </c>
      <c r="J27" s="353">
        <f>'NI-R01-MCIT-D-02'!G43</f>
        <v>0</v>
      </c>
      <c r="K27" s="353">
        <f>'NI-R01-MCIT-D-02'!H43</f>
        <v>0</v>
      </c>
      <c r="L27" s="353">
        <f>'NI-R01-MCIT-D-02'!I43</f>
        <v>0</v>
      </c>
      <c r="M27" s="353">
        <f>'NI-R01-MCIT-D-02'!J43</f>
        <v>0</v>
      </c>
      <c r="N27" s="353">
        <f>'NI-R01-MCIT-D-02'!K43</f>
        <v>0</v>
      </c>
      <c r="O27" s="26">
        <f t="shared" ref="O27:O30" si="12">AVERAGE(E27:N27)</f>
        <v>0</v>
      </c>
      <c r="P27" s="26">
        <f t="shared" ref="P27:P29" si="13">STDEV(E27:N27)</f>
        <v>0</v>
      </c>
      <c r="Q27" s="25">
        <f t="shared" ref="Q27:Q29" si="14">IF($O$20="(mm)",(O27-C27)*1000,IF($O$20="(plg)",(O27*25.4-C27)*1000,"ERROR"))</f>
        <v>0</v>
      </c>
      <c r="R27" s="36">
        <f t="shared" si="10"/>
        <v>0</v>
      </c>
      <c r="S27" s="82"/>
      <c r="T27" s="103">
        <v>6</v>
      </c>
      <c r="U27" s="108">
        <f t="shared" si="3"/>
        <v>0</v>
      </c>
      <c r="V27" s="44">
        <f t="shared" si="4"/>
        <v>0</v>
      </c>
      <c r="W27" s="122">
        <f t="shared" si="5"/>
        <v>6.6395280956806967E-7</v>
      </c>
      <c r="X27" s="105">
        <f t="shared" si="6"/>
        <v>1.2956594202695915</v>
      </c>
      <c r="Y27" s="109">
        <f t="shared" si="7"/>
        <v>0</v>
      </c>
      <c r="Z27" s="233">
        <f t="shared" si="8"/>
        <v>6.6395280956806967E-7</v>
      </c>
      <c r="AA27" s="106">
        <f t="shared" si="9"/>
        <v>1.2956594202695915</v>
      </c>
      <c r="AB27" s="275">
        <f>IF($O$20="(mm)",(Identificaciones!$I$34)*1000,IF($O$20="(plg)",(Identificaciones!$I$34*25.4)*1000,"ERROR"))/SQRT(12)</f>
        <v>0.28867513459481292</v>
      </c>
      <c r="AC27" s="107">
        <f t="shared" si="2"/>
        <v>0.28867513459481292</v>
      </c>
      <c r="AD27" s="107" t="e">
        <f>AC27*'Grados de Libertad'!G101</f>
        <v>#DIV/0!</v>
      </c>
      <c r="AE27" s="277"/>
      <c r="AG27" s="81"/>
    </row>
    <row r="28" spans="1:34" ht="14.4" thickTop="1" thickBot="1">
      <c r="A28" s="88">
        <v>8</v>
      </c>
      <c r="B28" s="25">
        <f>Patrones!T49</f>
        <v>0</v>
      </c>
      <c r="C28" s="89">
        <f>Patrones!T49+Patrones!T50/1000</f>
        <v>0</v>
      </c>
      <c r="D28" s="230">
        <f>SQRT(SUMSQ(Patrones!T51:T52))</f>
        <v>0</v>
      </c>
      <c r="E28" s="353">
        <f>'NI-R01-MCIT-D-02'!B44</f>
        <v>0</v>
      </c>
      <c r="F28" s="353">
        <f>'NI-R01-MCIT-D-02'!C44</f>
        <v>0</v>
      </c>
      <c r="G28" s="353">
        <f>'NI-R01-MCIT-D-02'!D44</f>
        <v>0</v>
      </c>
      <c r="H28" s="353">
        <f>'NI-R01-MCIT-D-02'!E44</f>
        <v>0</v>
      </c>
      <c r="I28" s="353">
        <f>'NI-R01-MCIT-D-02'!F44</f>
        <v>0</v>
      </c>
      <c r="J28" s="353">
        <f>'NI-R01-MCIT-D-02'!G44</f>
        <v>0</v>
      </c>
      <c r="K28" s="353">
        <f>'NI-R01-MCIT-D-02'!H44</f>
        <v>0</v>
      </c>
      <c r="L28" s="353">
        <f>'NI-R01-MCIT-D-02'!I44</f>
        <v>0</v>
      </c>
      <c r="M28" s="353">
        <f>'NI-R01-MCIT-D-02'!J44</f>
        <v>0</v>
      </c>
      <c r="N28" s="353">
        <f>'NI-R01-MCIT-D-02'!K44</f>
        <v>0</v>
      </c>
      <c r="O28" s="26">
        <f t="shared" si="12"/>
        <v>0</v>
      </c>
      <c r="P28" s="26">
        <f t="shared" si="13"/>
        <v>0</v>
      </c>
      <c r="Q28" s="25">
        <f t="shared" si="14"/>
        <v>0</v>
      </c>
      <c r="R28" s="36">
        <f t="shared" si="10"/>
        <v>0</v>
      </c>
      <c r="S28" s="82"/>
      <c r="T28" s="103">
        <v>7</v>
      </c>
      <c r="U28" s="108">
        <f t="shared" ref="U28:U31" si="15">B27</f>
        <v>0</v>
      </c>
      <c r="V28" s="44">
        <f t="shared" ref="V28:V31" si="16">R27</f>
        <v>0</v>
      </c>
      <c r="W28" s="122">
        <f t="shared" si="5"/>
        <v>6.6395280956806967E-7</v>
      </c>
      <c r="X28" s="105">
        <f t="shared" si="6"/>
        <v>1.2956594202695915</v>
      </c>
      <c r="Y28" s="109">
        <f t="shared" ref="Y28:Y31" si="17">D27</f>
        <v>0</v>
      </c>
      <c r="Z28" s="233">
        <f t="shared" ref="Z28:Z31" si="18">W28</f>
        <v>6.6395280956806967E-7</v>
      </c>
      <c r="AA28" s="106">
        <f t="shared" ref="AA28:AA31" si="19">X28</f>
        <v>1.2956594202695915</v>
      </c>
      <c r="AB28" s="275">
        <f>IF($O$20="(mm)",(Identificaciones!$I$34)*1000,IF($O$20="(plg)",(Identificaciones!$I$34*25.4)*1000,"ERROR"))/SQRT(12)</f>
        <v>0.28867513459481292</v>
      </c>
      <c r="AC28" s="107">
        <f>SQRT((V28*V52)^2+(W28*W52)^2+(X28*X52)^2+(Y28*Y52)^2+(Z28*Z52)^2+(AA28*AA52)^2+(AB28*AB52)^2)</f>
        <v>0.28867513459481292</v>
      </c>
      <c r="AD28" s="107" t="e">
        <f>AC28*'Grados de Libertad'!G116</f>
        <v>#DIV/0!</v>
      </c>
      <c r="AH28" s="81"/>
    </row>
    <row r="29" spans="1:34" ht="13.5" customHeight="1" thickTop="1" thickBot="1">
      <c r="A29" s="88">
        <v>9</v>
      </c>
      <c r="B29" s="25">
        <f>Patrones!T55</f>
        <v>0</v>
      </c>
      <c r="C29" s="89">
        <f>Patrones!T55+Patrones!T56/1000</f>
        <v>0</v>
      </c>
      <c r="D29" s="230">
        <f>SQRT(SUMSQ(Patrones!T57:T58))</f>
        <v>0</v>
      </c>
      <c r="E29" s="353">
        <f>'NI-R01-MCIT-D-02'!B45</f>
        <v>0</v>
      </c>
      <c r="F29" s="353">
        <f>'NI-R01-MCIT-D-02'!C45</f>
        <v>0</v>
      </c>
      <c r="G29" s="353">
        <f>'NI-R01-MCIT-D-02'!D45</f>
        <v>0</v>
      </c>
      <c r="H29" s="353">
        <f>'NI-R01-MCIT-D-02'!E45</f>
        <v>0</v>
      </c>
      <c r="I29" s="353">
        <f>'NI-R01-MCIT-D-02'!F45</f>
        <v>0</v>
      </c>
      <c r="J29" s="353">
        <f>'NI-R01-MCIT-D-02'!G45</f>
        <v>0</v>
      </c>
      <c r="K29" s="353">
        <f>'NI-R01-MCIT-D-02'!H45</f>
        <v>0</v>
      </c>
      <c r="L29" s="353">
        <f>'NI-R01-MCIT-D-02'!I45</f>
        <v>0</v>
      </c>
      <c r="M29" s="353">
        <f>'NI-R01-MCIT-D-02'!J45</f>
        <v>0</v>
      </c>
      <c r="N29" s="353">
        <f>'NI-R01-MCIT-D-02'!K45</f>
        <v>0</v>
      </c>
      <c r="O29" s="26">
        <f t="shared" si="12"/>
        <v>0</v>
      </c>
      <c r="P29" s="26">
        <f t="shared" si="13"/>
        <v>0</v>
      </c>
      <c r="Q29" s="25">
        <f t="shared" si="14"/>
        <v>0</v>
      </c>
      <c r="R29" s="36">
        <f t="shared" si="10"/>
        <v>0</v>
      </c>
      <c r="S29" s="82"/>
      <c r="T29" s="103">
        <v>8</v>
      </c>
      <c r="U29" s="108">
        <f t="shared" si="15"/>
        <v>0</v>
      </c>
      <c r="V29" s="44">
        <f t="shared" si="16"/>
        <v>0</v>
      </c>
      <c r="W29" s="122">
        <f t="shared" si="5"/>
        <v>6.6395280956806967E-7</v>
      </c>
      <c r="X29" s="105">
        <f t="shared" si="6"/>
        <v>1.2956594202695915</v>
      </c>
      <c r="Y29" s="109">
        <f t="shared" si="17"/>
        <v>0</v>
      </c>
      <c r="Z29" s="233">
        <f t="shared" si="18"/>
        <v>6.6395280956806967E-7</v>
      </c>
      <c r="AA29" s="106">
        <f t="shared" si="19"/>
        <v>1.2956594202695915</v>
      </c>
      <c r="AB29" s="275">
        <f>IF($O$20="(mm)",(Identificaciones!$I$34)*1000,IF($O$20="(plg)",(Identificaciones!$I$34*25.4)*1000,"ERROR"))/SQRT(12)</f>
        <v>0.28867513459481292</v>
      </c>
      <c r="AC29" s="107">
        <f>SQRT((V29*V53)^2+(W29*W53)^2+(X29*X53)^2+(Y29*Y53)^2+(Z29*Z53)^2+(AA29*AA53)^2+(AB29*AB53)^2)</f>
        <v>0.28867513459481292</v>
      </c>
      <c r="AD29" s="107" t="e">
        <f>AC29*'Grados de Libertad'!G134</f>
        <v>#DIV/0!</v>
      </c>
      <c r="AE29" s="276"/>
      <c r="AH29" s="81"/>
    </row>
    <row r="30" spans="1:34" ht="14.4" thickTop="1" thickBot="1">
      <c r="A30" s="88">
        <v>10</v>
      </c>
      <c r="B30" s="25">
        <f>Patrones!T61</f>
        <v>0</v>
      </c>
      <c r="C30" s="89">
        <f>Patrones!T61+Patrones!T62/1000</f>
        <v>0</v>
      </c>
      <c r="D30" s="230">
        <f>SQRT(SUMSQ(Patrones!T63:T64))</f>
        <v>0</v>
      </c>
      <c r="E30" s="353">
        <f>'NI-R01-MCIT-D-02'!B46</f>
        <v>0</v>
      </c>
      <c r="F30" s="353">
        <f>'NI-R01-MCIT-D-02'!C46</f>
        <v>0</v>
      </c>
      <c r="G30" s="353">
        <f>'NI-R01-MCIT-D-02'!D46</f>
        <v>0</v>
      </c>
      <c r="H30" s="353">
        <f>'NI-R01-MCIT-D-02'!E46</f>
        <v>0</v>
      </c>
      <c r="I30" s="353">
        <f>'NI-R01-MCIT-D-02'!F46</f>
        <v>0</v>
      </c>
      <c r="J30" s="353">
        <f>'NI-R01-MCIT-D-02'!G46</f>
        <v>0</v>
      </c>
      <c r="K30" s="353">
        <f>'NI-R01-MCIT-D-02'!H46</f>
        <v>0</v>
      </c>
      <c r="L30" s="353">
        <f>'NI-R01-MCIT-D-02'!I46</f>
        <v>0</v>
      </c>
      <c r="M30" s="353">
        <f>'NI-R01-MCIT-D-02'!J46</f>
        <v>0</v>
      </c>
      <c r="N30" s="353">
        <f>'NI-R01-MCIT-D-02'!K46</f>
        <v>0</v>
      </c>
      <c r="O30" s="26">
        <f t="shared" si="12"/>
        <v>0</v>
      </c>
      <c r="P30" s="26">
        <f>STDEV(E30:N30)</f>
        <v>0</v>
      </c>
      <c r="Q30" s="25">
        <f>IF($O$20="(mm)",(O30-C30)*1000,IF($O$20="(plg)",(O30*25.4-C30)*1000,"ERROR"))</f>
        <v>0</v>
      </c>
      <c r="R30" s="36">
        <f>IF($O$20="(mm)",(P30/SQRT(10))*1000,IF($O$20="(plg)",(P30/SQRT(10))*25.4*1000,"ERROR"))</f>
        <v>0</v>
      </c>
      <c r="S30" s="82"/>
      <c r="T30" s="103">
        <v>9</v>
      </c>
      <c r="U30" s="108">
        <f t="shared" si="15"/>
        <v>0</v>
      </c>
      <c r="V30" s="44">
        <f t="shared" si="16"/>
        <v>0</v>
      </c>
      <c r="W30" s="122">
        <f t="shared" si="5"/>
        <v>6.6395280956806967E-7</v>
      </c>
      <c r="X30" s="105">
        <f t="shared" si="6"/>
        <v>1.2956594202695915</v>
      </c>
      <c r="Y30" s="109">
        <f t="shared" si="17"/>
        <v>0</v>
      </c>
      <c r="Z30" s="233">
        <f t="shared" si="18"/>
        <v>6.6395280956806967E-7</v>
      </c>
      <c r="AA30" s="106">
        <f t="shared" si="19"/>
        <v>1.2956594202695915</v>
      </c>
      <c r="AB30" s="275">
        <f>IF($O$20="(mm)",(Identificaciones!$I$34)*1000,IF($O$20="(plg)",(Identificaciones!$I$34*25.4)*1000,"ERROR"))/SQRT(12)</f>
        <v>0.28867513459481292</v>
      </c>
      <c r="AC30" s="107">
        <f>SQRT((V30*V54)^2+(W30*W54)^2+(X30*X54)^2+(Y30*Y54)^2+(Z30*Z54)^2+(AA30*AA54)^2+(AB30*AB54)^2)</f>
        <v>0.28867513459481292</v>
      </c>
      <c r="AD30" s="107" t="e">
        <f>AC30*'Grados de Libertad'!G149</f>
        <v>#DIV/0!</v>
      </c>
      <c r="AE30" s="276"/>
      <c r="AH30" s="81"/>
    </row>
    <row r="31" spans="1:34" ht="14.25" customHeight="1" thickTop="1">
      <c r="A31" s="88">
        <v>11</v>
      </c>
      <c r="B31" s="25">
        <f>Patrones!T67</f>
        <v>0</v>
      </c>
      <c r="C31" s="89">
        <f>Patrones!T67+Patrones!T68/1000</f>
        <v>0</v>
      </c>
      <c r="D31" s="230">
        <f>SQRT(SUMSQ(Patrones!T69:T70))</f>
        <v>0</v>
      </c>
      <c r="E31" s="353">
        <f>'NI-R01-MCIT-D-02'!B47</f>
        <v>0</v>
      </c>
      <c r="F31" s="353">
        <f>'NI-R01-MCIT-D-02'!C47</f>
        <v>0</v>
      </c>
      <c r="G31" s="353">
        <f>'NI-R01-MCIT-D-02'!D47</f>
        <v>0</v>
      </c>
      <c r="H31" s="353">
        <f>'NI-R01-MCIT-D-02'!E47</f>
        <v>0</v>
      </c>
      <c r="I31" s="353">
        <f>'NI-R01-MCIT-D-02'!F47</f>
        <v>0</v>
      </c>
      <c r="J31" s="353">
        <f>'NI-R01-MCIT-D-02'!G47</f>
        <v>0</v>
      </c>
      <c r="K31" s="353">
        <f>'NI-R01-MCIT-D-02'!H47</f>
        <v>0</v>
      </c>
      <c r="L31" s="353">
        <f>'NI-R01-MCIT-D-02'!I47</f>
        <v>0</v>
      </c>
      <c r="M31" s="353">
        <f>'NI-R01-MCIT-D-02'!J47</f>
        <v>0</v>
      </c>
      <c r="N31" s="353">
        <f>'NI-R01-MCIT-D-02'!K47</f>
        <v>0</v>
      </c>
      <c r="O31" s="26">
        <f t="shared" ref="O31" si="20">AVERAGE(E31:N31)</f>
        <v>0</v>
      </c>
      <c r="P31" s="26">
        <f>STDEV(E31:N31)</f>
        <v>0</v>
      </c>
      <c r="Q31" s="25">
        <f>IF($O$20="(mm)",(O31-C31)*1000,IF($O$20="(plg)",(O31*25.4-C31)*1000,"ERROR"))</f>
        <v>0</v>
      </c>
      <c r="R31" s="36">
        <f>IF($O$20="(mm)",(P31/SQRT(10))*1000,IF($O$20="(plg)",(P31/SQRT(10))*25.4*1000,"ERROR"))</f>
        <v>0</v>
      </c>
      <c r="T31" s="103">
        <v>10</v>
      </c>
      <c r="U31" s="108">
        <f t="shared" si="15"/>
        <v>0</v>
      </c>
      <c r="V31" s="44">
        <f t="shared" si="16"/>
        <v>0</v>
      </c>
      <c r="W31" s="122">
        <f t="shared" si="5"/>
        <v>6.6395280956806967E-7</v>
      </c>
      <c r="X31" s="105">
        <f t="shared" si="6"/>
        <v>1.2956594202695915</v>
      </c>
      <c r="Y31" s="109">
        <f t="shared" si="17"/>
        <v>0</v>
      </c>
      <c r="Z31" s="233">
        <f t="shared" si="18"/>
        <v>6.6395280956806967E-7</v>
      </c>
      <c r="AA31" s="106">
        <f t="shared" si="19"/>
        <v>1.2956594202695915</v>
      </c>
      <c r="AB31" s="275">
        <f>IF($O$20="(mm)",(Identificaciones!$I$34)*1000,IF($O$20="(plg)",(Identificaciones!$I$34*25.4)*1000,"ERROR"))/SQRT(12)</f>
        <v>0.28867513459481292</v>
      </c>
      <c r="AC31" s="107">
        <f>SQRT((V31*V55)^2+(W31*W55)^2+(X31*X55)^2+(Y31*Y55)^2+(Z31*Z55)^2+(AA31*AA55)^2+(AB31*AB55)^2)</f>
        <v>0.28867513459481292</v>
      </c>
      <c r="AD31" s="107" t="e">
        <f>AC31*'Grados de Libertad'!G164</f>
        <v>#DIV/0!</v>
      </c>
      <c r="AE31" s="81"/>
    </row>
    <row r="32" spans="1:34">
      <c r="N32" s="55"/>
      <c r="T32" s="103">
        <v>11</v>
      </c>
      <c r="U32" s="108">
        <f>B31</f>
        <v>0</v>
      </c>
      <c r="V32" s="44">
        <f t="shared" ref="V32" si="21">R31</f>
        <v>0</v>
      </c>
      <c r="W32" s="122">
        <f t="shared" si="5"/>
        <v>6.6395280956806967E-7</v>
      </c>
      <c r="X32" s="105">
        <f t="shared" si="6"/>
        <v>1.2956594202695915</v>
      </c>
      <c r="Y32" s="109">
        <f t="shared" ref="Y32" si="22">D31</f>
        <v>0</v>
      </c>
      <c r="Z32" s="233">
        <f t="shared" ref="Z32" si="23">W32</f>
        <v>6.6395280956806967E-7</v>
      </c>
      <c r="AA32" s="106">
        <f t="shared" ref="AA32" si="24">X32</f>
        <v>1.2956594202695915</v>
      </c>
      <c r="AB32" s="275">
        <f>IF($O$20="(mm)",(Identificaciones!$I$34)*1000,IF($O$20="(plg)",(Identificaciones!$I$34*25.4)*1000,"ERROR"))/SQRT(12)</f>
        <v>0.28867513459481292</v>
      </c>
      <c r="AC32" s="107">
        <f>SQRT((V32*V56)^2+(W32*W56)^2+(X32*X56)^2+(Y32*Y56)^2+(Z32*Z56)^2+(AA32*AA56)^2+(AB32*AB56)^2)</f>
        <v>0.57735026918962584</v>
      </c>
      <c r="AD32" s="107" t="e">
        <f>AC32*'Grados de Libertad'!G164</f>
        <v>#DIV/0!</v>
      </c>
    </row>
    <row r="33" spans="1:28">
      <c r="A33" s="277"/>
      <c r="B33" s="277"/>
      <c r="C33" s="277">
        <v>1</v>
      </c>
      <c r="D33" s="277">
        <v>2</v>
      </c>
      <c r="E33" s="277">
        <v>3</v>
      </c>
      <c r="F33" s="277">
        <v>4</v>
      </c>
      <c r="G33" s="277">
        <v>5</v>
      </c>
      <c r="H33" s="277">
        <v>6</v>
      </c>
      <c r="I33" s="277">
        <v>7</v>
      </c>
      <c r="J33" s="277">
        <v>8</v>
      </c>
      <c r="K33" s="277">
        <v>9</v>
      </c>
      <c r="L33" s="277">
        <v>10</v>
      </c>
      <c r="M33" s="277">
        <v>11</v>
      </c>
    </row>
    <row r="34" spans="1:28" ht="26.4">
      <c r="A34" s="277"/>
      <c r="B34" s="285" t="s">
        <v>99</v>
      </c>
      <c r="C34" s="286">
        <f>B21</f>
        <v>0</v>
      </c>
      <c r="D34" s="286">
        <f>B22</f>
        <v>0</v>
      </c>
      <c r="E34" s="286">
        <f>B23</f>
        <v>0</v>
      </c>
      <c r="F34" s="286">
        <f>B24</f>
        <v>0</v>
      </c>
      <c r="G34" s="286">
        <f>B25</f>
        <v>0</v>
      </c>
      <c r="H34" s="286">
        <f>B26</f>
        <v>0</v>
      </c>
      <c r="I34" s="286">
        <f>B27</f>
        <v>0</v>
      </c>
      <c r="J34" s="286">
        <f>B28</f>
        <v>0</v>
      </c>
      <c r="K34" s="286">
        <f>B29</f>
        <v>0</v>
      </c>
      <c r="L34" s="286">
        <f>B30</f>
        <v>0</v>
      </c>
      <c r="M34" s="286">
        <f>B31</f>
        <v>0</v>
      </c>
    </row>
    <row r="35" spans="1:28" ht="18" customHeight="1">
      <c r="A35" s="277"/>
      <c r="B35" s="287">
        <v>1</v>
      </c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</row>
    <row r="36" spans="1:28" ht="18" customHeight="1">
      <c r="A36" s="277"/>
      <c r="B36" s="287">
        <v>2</v>
      </c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</row>
    <row r="37" spans="1:28" ht="18" customHeight="1">
      <c r="A37" s="277"/>
      <c r="B37" s="287">
        <v>3</v>
      </c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</row>
    <row r="38" spans="1:28" ht="18" customHeight="1">
      <c r="A38" s="277"/>
      <c r="B38" s="287">
        <v>4</v>
      </c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</row>
    <row r="39" spans="1:28" ht="18" customHeight="1">
      <c r="A39" s="277"/>
      <c r="B39" s="287">
        <v>5</v>
      </c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</row>
    <row r="40" spans="1:28" ht="18" customHeight="1" thickBot="1">
      <c r="A40" s="277"/>
      <c r="B40" s="287">
        <v>6</v>
      </c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</row>
    <row r="41" spans="1:28" ht="18" customHeight="1" thickTop="1">
      <c r="A41" s="277"/>
      <c r="B41" s="287">
        <v>7</v>
      </c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T41" s="515" t="s">
        <v>67</v>
      </c>
      <c r="U41" s="480" t="s">
        <v>113</v>
      </c>
      <c r="V41" s="485" t="s">
        <v>209</v>
      </c>
      <c r="W41" s="486"/>
      <c r="X41" s="486"/>
      <c r="Y41" s="486"/>
      <c r="Z41" s="486"/>
      <c r="AA41" s="486"/>
      <c r="AB41" s="487"/>
    </row>
    <row r="42" spans="1:28" ht="18" customHeight="1">
      <c r="A42" s="277"/>
      <c r="B42" s="287">
        <v>8</v>
      </c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T42" s="516"/>
      <c r="U42" s="481"/>
      <c r="V42" s="488"/>
      <c r="W42" s="489"/>
      <c r="X42" s="489"/>
      <c r="Y42" s="489"/>
      <c r="Z42" s="489"/>
      <c r="AA42" s="489"/>
      <c r="AB42" s="490"/>
    </row>
    <row r="43" spans="1:28" ht="13.8">
      <c r="A43" s="277"/>
      <c r="B43" s="277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T43" s="516"/>
      <c r="U43" s="481"/>
      <c r="V43" s="91" t="s">
        <v>217</v>
      </c>
      <c r="W43" s="92" t="s">
        <v>219</v>
      </c>
      <c r="X43" s="93" t="s">
        <v>218</v>
      </c>
      <c r="Y43" s="94" t="s">
        <v>11</v>
      </c>
      <c r="Z43" s="92" t="s">
        <v>204</v>
      </c>
      <c r="AA43" s="93" t="s">
        <v>205</v>
      </c>
      <c r="AB43" s="354" t="s">
        <v>86</v>
      </c>
    </row>
    <row r="44" spans="1:28" ht="16.2" thickBot="1">
      <c r="A44" s="277"/>
      <c r="B44" s="277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T44" s="517"/>
      <c r="U44" s="97" t="s">
        <v>84</v>
      </c>
      <c r="V44" s="98">
        <v>1</v>
      </c>
      <c r="W44" s="99" t="s">
        <v>210</v>
      </c>
      <c r="X44" s="99" t="s">
        <v>211</v>
      </c>
      <c r="Y44" s="100">
        <v>1</v>
      </c>
      <c r="Z44" s="99" t="s">
        <v>212</v>
      </c>
      <c r="AA44" s="99" t="s">
        <v>211</v>
      </c>
      <c r="AB44" s="110">
        <v>1</v>
      </c>
    </row>
    <row r="45" spans="1:28" ht="13.8" thickTop="1">
      <c r="T45" s="103">
        <v>0</v>
      </c>
      <c r="U45" s="104">
        <f>+B11</f>
        <v>0</v>
      </c>
      <c r="V45" s="44">
        <f>(1+(0.0000115*$AA$57))</f>
        <v>1.0000238050000001</v>
      </c>
      <c r="W45" s="105">
        <f>IF($O$20="(mm)",(O21)*1000,IF($O$20="(plg)",(O21*25.4)*1000,"ERROR"))*$AA$57</f>
        <v>0</v>
      </c>
      <c r="X45" s="105">
        <f>0.0000115*IF($O$20="(mm)",(L11)*1000,IF($O$20="(plg)",(L11*25.4)*1000,"ERROR"))</f>
        <v>0</v>
      </c>
      <c r="Y45" s="106">
        <f>-(1+(0.000001*$AA$57))</f>
        <v>-1.0000020700000001</v>
      </c>
      <c r="Z45" s="106">
        <f>-(IF($O$20="(mm)",(A11)*1000,IF($O$20="(plg)",(A11*25.4)*1000,"ERROR"))*$AA$57)</f>
        <v>0</v>
      </c>
      <c r="AA45" s="106">
        <f>-(IF($O$20="(mm)",(A11)*1000,IF($O$20="(plg)",(A11*25.4)*1000,"ERROR"))*0.0000115)</f>
        <v>0</v>
      </c>
      <c r="AB45" s="109">
        <v>1</v>
      </c>
    </row>
    <row r="46" spans="1:28">
      <c r="T46" s="103">
        <v>1</v>
      </c>
      <c r="U46" s="108">
        <f t="shared" ref="U46:U51" si="25">U22</f>
        <v>0</v>
      </c>
      <c r="V46" s="44">
        <f t="shared" ref="V46:V56" si="26">(1+(0.0000115*$AA$57))</f>
        <v>1.0000238050000001</v>
      </c>
      <c r="W46" s="105">
        <f t="shared" ref="W46:W51" si="27">IF($O$20="(mm)",(O21)*1000,IF($O$20="(plg)",(O21*25.4)*1000,"ERROR"))*$AA$57</f>
        <v>0</v>
      </c>
      <c r="X46" s="105">
        <f>0.0000115*IF($O$20="(mm)",(O21)*1000,IF($O$20="(plg)",(O21*25.4)*1000,"ERROR"))</f>
        <v>0</v>
      </c>
      <c r="Y46" s="106">
        <f t="shared" ref="Y46:Y56" si="28">-(1+(0.000001*$AA$57))</f>
        <v>-1.0000020700000001</v>
      </c>
      <c r="Z46" s="106">
        <f t="shared" ref="Z46:Z50" si="29">-(IF($O$20="(mm)",(C21)*1000,IF($O$20="(plg)",(C21*25.4)*1000,"ERROR"))*$AA$57)</f>
        <v>0</v>
      </c>
      <c r="AA46" s="106">
        <f t="shared" ref="AA46:AA51" si="30">-(IF($O$20="(mm)",(C21)*1000,IF($O$20="(plg)",(C21*25.4)*1000,"ERROR"))*0.0000115)</f>
        <v>0</v>
      </c>
      <c r="AB46" s="109">
        <v>1</v>
      </c>
    </row>
    <row r="47" spans="1:28">
      <c r="T47" s="103">
        <v>2</v>
      </c>
      <c r="U47" s="108">
        <f t="shared" si="25"/>
        <v>0</v>
      </c>
      <c r="V47" s="44">
        <f t="shared" si="26"/>
        <v>1.0000238050000001</v>
      </c>
      <c r="W47" s="105">
        <f t="shared" si="27"/>
        <v>0</v>
      </c>
      <c r="X47" s="105">
        <f>0.0000115*IF($O$20="(mm)",(O22)*1000,IF($O$20="(plg)",(O22*25.4)*1000,"ERROR"))</f>
        <v>0</v>
      </c>
      <c r="Y47" s="106">
        <f t="shared" si="28"/>
        <v>-1.0000020700000001</v>
      </c>
      <c r="Z47" s="106">
        <f t="shared" si="29"/>
        <v>0</v>
      </c>
      <c r="AA47" s="106">
        <f t="shared" si="30"/>
        <v>0</v>
      </c>
      <c r="AB47" s="109">
        <v>1</v>
      </c>
    </row>
    <row r="48" spans="1:28">
      <c r="T48" s="103">
        <v>3</v>
      </c>
      <c r="U48" s="108">
        <f t="shared" si="25"/>
        <v>0</v>
      </c>
      <c r="V48" s="44">
        <f t="shared" si="26"/>
        <v>1.0000238050000001</v>
      </c>
      <c r="W48" s="105">
        <f>IF($O$20="(mm)",(O23)*1000,IF($O$20="(plg)",(O23*25.4)*1000,"ERROR"))*$AA$57</f>
        <v>0</v>
      </c>
      <c r="X48" s="105">
        <f>0.0000115*IF($O$20="(mm)",(O23)*1000,IF($O$20="(plg)",(O23*25.4)*1000,"ERROR"))</f>
        <v>0</v>
      </c>
      <c r="Y48" s="106">
        <f t="shared" si="28"/>
        <v>-1.0000020700000001</v>
      </c>
      <c r="Z48" s="106">
        <f t="shared" si="29"/>
        <v>0</v>
      </c>
      <c r="AA48" s="106">
        <f t="shared" si="30"/>
        <v>0</v>
      </c>
      <c r="AB48" s="109">
        <v>1</v>
      </c>
    </row>
    <row r="49" spans="20:28">
      <c r="T49" s="103">
        <v>4</v>
      </c>
      <c r="U49" s="108">
        <f t="shared" si="25"/>
        <v>0</v>
      </c>
      <c r="V49" s="44">
        <f t="shared" si="26"/>
        <v>1.0000238050000001</v>
      </c>
      <c r="W49" s="105">
        <f t="shared" si="27"/>
        <v>0</v>
      </c>
      <c r="X49" s="105">
        <f>0.0000115*IF($O$20="(mm)",(O24)*1000,IF($O$20="(plg)",(O24*25.4)*1000,"ERROR"))</f>
        <v>0</v>
      </c>
      <c r="Y49" s="106">
        <f t="shared" si="28"/>
        <v>-1.0000020700000001</v>
      </c>
      <c r="Z49" s="106">
        <f t="shared" si="29"/>
        <v>0</v>
      </c>
      <c r="AA49" s="106">
        <f t="shared" si="30"/>
        <v>0</v>
      </c>
      <c r="AB49" s="109">
        <v>1</v>
      </c>
    </row>
    <row r="50" spans="20:28">
      <c r="T50" s="103">
        <v>5</v>
      </c>
      <c r="U50" s="108">
        <f t="shared" si="25"/>
        <v>0</v>
      </c>
      <c r="V50" s="44">
        <f t="shared" si="26"/>
        <v>1.0000238050000001</v>
      </c>
      <c r="W50" s="105">
        <f t="shared" si="27"/>
        <v>0</v>
      </c>
      <c r="X50" s="105">
        <f>0.0000115*IF($O$20="(mm)",(O25)*1000,IF($O$20="(plg)",(O25*25.4)*1000,"ERROR"))</f>
        <v>0</v>
      </c>
      <c r="Y50" s="106">
        <f t="shared" si="28"/>
        <v>-1.0000020700000001</v>
      </c>
      <c r="Z50" s="106">
        <f t="shared" si="29"/>
        <v>0</v>
      </c>
      <c r="AA50" s="106">
        <f t="shared" si="30"/>
        <v>0</v>
      </c>
      <c r="AB50" s="109">
        <v>1</v>
      </c>
    </row>
    <row r="51" spans="20:28">
      <c r="T51" s="103">
        <v>6</v>
      </c>
      <c r="U51" s="108">
        <f t="shared" si="25"/>
        <v>0</v>
      </c>
      <c r="V51" s="44">
        <f t="shared" si="26"/>
        <v>1.0000238050000001</v>
      </c>
      <c r="W51" s="105">
        <f t="shared" si="27"/>
        <v>0</v>
      </c>
      <c r="X51" s="105">
        <f>0.0000105*IF($O$20="(mm)",(O26)*1000,IF($O$20="(plg)",(O26*25.4)*1000,"ERROR"))</f>
        <v>0</v>
      </c>
      <c r="Y51" s="106">
        <f t="shared" si="28"/>
        <v>-1.0000020700000001</v>
      </c>
      <c r="Z51" s="106">
        <f>-(IF($O$20="(mm)",(C26)*1000,IF($O$20="(plg)",(C26*25.4)*1000,"ERROR"))*$AA$57)</f>
        <v>0</v>
      </c>
      <c r="AA51" s="106">
        <f t="shared" si="30"/>
        <v>0</v>
      </c>
      <c r="AB51" s="109">
        <v>1</v>
      </c>
    </row>
    <row r="52" spans="20:28">
      <c r="T52" s="103">
        <v>7</v>
      </c>
      <c r="U52" s="108">
        <f t="shared" ref="U52:U56" si="31">U28</f>
        <v>0</v>
      </c>
      <c r="V52" s="44">
        <f t="shared" si="26"/>
        <v>1.0000238050000001</v>
      </c>
      <c r="W52" s="105">
        <f t="shared" ref="W52:W55" si="32">IF($O$20="(mm)",(O27)*1000,IF($O$20="(plg)",(O27*25.4)*1000,"ERROR"))*$AA$57</f>
        <v>0</v>
      </c>
      <c r="X52" s="105">
        <f t="shared" ref="X52:X55" si="33">0.0000105*IF($O$20="(mm)",(O27)*1000,IF($O$20="(plg)",(O27*25.4)*1000,"ERROR"))</f>
        <v>0</v>
      </c>
      <c r="Y52" s="106">
        <f t="shared" si="28"/>
        <v>-1.0000020700000001</v>
      </c>
      <c r="Z52" s="106">
        <f t="shared" ref="Z52:Z55" si="34">-(IF($O$20="(mm)",(C27)*1000,IF($O$20="(plg)",(C27*25.4)*1000,"ERROR"))*$AA$57)</f>
        <v>0</v>
      </c>
      <c r="AA52" s="106">
        <f t="shared" ref="AA52:AA55" si="35">-(IF($O$20="(mm)",(C27)*1000,IF($O$20="(plg)",(C27*25.4)*1000,"ERROR"))*0.0000115)</f>
        <v>0</v>
      </c>
      <c r="AB52" s="109">
        <v>1</v>
      </c>
    </row>
    <row r="53" spans="20:28">
      <c r="T53" s="103">
        <v>8</v>
      </c>
      <c r="U53" s="108">
        <f t="shared" si="31"/>
        <v>0</v>
      </c>
      <c r="V53" s="44">
        <f t="shared" si="26"/>
        <v>1.0000238050000001</v>
      </c>
      <c r="W53" s="105">
        <f t="shared" si="32"/>
        <v>0</v>
      </c>
      <c r="X53" s="105">
        <f t="shared" si="33"/>
        <v>0</v>
      </c>
      <c r="Y53" s="106">
        <f t="shared" si="28"/>
        <v>-1.0000020700000001</v>
      </c>
      <c r="Z53" s="106">
        <f t="shared" si="34"/>
        <v>0</v>
      </c>
      <c r="AA53" s="106">
        <f t="shared" si="35"/>
        <v>0</v>
      </c>
      <c r="AB53" s="109">
        <v>1</v>
      </c>
    </row>
    <row r="54" spans="20:28">
      <c r="T54" s="103">
        <v>9</v>
      </c>
      <c r="U54" s="108">
        <f t="shared" si="31"/>
        <v>0</v>
      </c>
      <c r="V54" s="44">
        <f t="shared" si="26"/>
        <v>1.0000238050000001</v>
      </c>
      <c r="W54" s="105">
        <f t="shared" si="32"/>
        <v>0</v>
      </c>
      <c r="X54" s="105">
        <f t="shared" si="33"/>
        <v>0</v>
      </c>
      <c r="Y54" s="106">
        <f t="shared" si="28"/>
        <v>-1.0000020700000001</v>
      </c>
      <c r="Z54" s="106">
        <f t="shared" si="34"/>
        <v>0</v>
      </c>
      <c r="AA54" s="106">
        <f t="shared" si="35"/>
        <v>0</v>
      </c>
      <c r="AB54" s="109">
        <v>1</v>
      </c>
    </row>
    <row r="55" spans="20:28">
      <c r="T55" s="103">
        <v>10</v>
      </c>
      <c r="U55" s="108">
        <f t="shared" si="31"/>
        <v>0</v>
      </c>
      <c r="V55" s="44">
        <f t="shared" si="26"/>
        <v>1.0000238050000001</v>
      </c>
      <c r="W55" s="105">
        <f t="shared" si="32"/>
        <v>0</v>
      </c>
      <c r="X55" s="105">
        <f t="shared" si="33"/>
        <v>0</v>
      </c>
      <c r="Y55" s="106">
        <f t="shared" si="28"/>
        <v>-1.0000020700000001</v>
      </c>
      <c r="Z55" s="106">
        <f t="shared" si="34"/>
        <v>0</v>
      </c>
      <c r="AA55" s="106">
        <f t="shared" si="35"/>
        <v>0</v>
      </c>
      <c r="AB55" s="109">
        <v>1</v>
      </c>
    </row>
    <row r="56" spans="20:28">
      <c r="T56" s="103">
        <v>11</v>
      </c>
      <c r="U56" s="108">
        <f t="shared" si="31"/>
        <v>0</v>
      </c>
      <c r="V56" s="44">
        <f t="shared" si="26"/>
        <v>1.0000238050000001</v>
      </c>
      <c r="W56" s="105">
        <f t="shared" ref="W56" si="36">IF($O$20="(mm)",(O31)*1000,IF($O$20="(plg)",(O31*25.4)*1000,"ERROR"))*$AA$57</f>
        <v>0</v>
      </c>
      <c r="X56" s="105">
        <f t="shared" ref="X56" si="37">0.0000105*IF($O$20="(mm)",(O31)*1000,IF($O$20="(plg)",(O31*25.4)*1000,"ERROR"))</f>
        <v>0</v>
      </c>
      <c r="Y56" s="106">
        <f t="shared" si="28"/>
        <v>-1.0000020700000001</v>
      </c>
      <c r="Z56" s="106">
        <f t="shared" ref="Z56" si="38">-(IF($O$20="(mm)",(C31)*1000,IF($O$20="(plg)",(C31*25.4)*1000,"ERROR"))*$AA$57)</f>
        <v>0</v>
      </c>
      <c r="AA56" s="106">
        <f t="shared" ref="AA56" si="39">-(IF($O$20="(mm)",(C31)*1000,IF($O$20="(plg)",(C31*25.4)*1000,"ERROR"))*0.0000115)</f>
        <v>0</v>
      </c>
      <c r="AB56" s="109">
        <v>2</v>
      </c>
    </row>
    <row r="57" spans="20:28">
      <c r="Z57" s="57" t="s">
        <v>184</v>
      </c>
      <c r="AA57" s="3">
        <f>((IF(Z66=1,AB84+AC84,IF(Z66=2,AB102+AC102,IF(Z66=3,AB121+AC121," Error "))))-20)</f>
        <v>2.0700000000000003</v>
      </c>
      <c r="AB57" s="58" t="s">
        <v>185</v>
      </c>
    </row>
    <row r="58" spans="20:28">
      <c r="W58" s="59">
        <f>((IF(Z66=1,AB84+AC84,IF(Z66=2,AB102+AC102,IF(Z66=3,AB121+AC121," Error "))))-20)/SQRT(3)</f>
        <v>1.1951150572225255</v>
      </c>
      <c r="X58" s="58" t="s">
        <v>185</v>
      </c>
    </row>
    <row r="59" spans="20:28">
      <c r="V59"/>
    </row>
    <row r="61" spans="20:28">
      <c r="V61"/>
      <c r="W61" s="231">
        <f>((IF(Z66=1,MAX(AD83:AD85),IF(Z66=2,MAX(AD101:AD103),IF(Z66=3,MAX(AD120:AD122)," Error ")))))/2</f>
        <v>0.12</v>
      </c>
      <c r="X61" s="58" t="s">
        <v>185</v>
      </c>
    </row>
    <row r="63" spans="20:28">
      <c r="W63" s="226">
        <f>Identificaciones!G47/SQRT(12)</f>
        <v>2.8867513459481291E-2</v>
      </c>
      <c r="X63" s="3" t="s">
        <v>185</v>
      </c>
    </row>
    <row r="64" spans="20:28">
      <c r="V64"/>
    </row>
    <row r="65" spans="22:38">
      <c r="V65" s="60"/>
    </row>
    <row r="66" spans="22:38">
      <c r="W66" s="90">
        <f>IF(Z66=1,MAX(AK84:AK88),IF(Z66=2,MAX(AK102:AK106),IF(Z66=3,MAX(AK121:AK125),"Error")))/2*SQRT(3)</f>
        <v>0.48497422611928565</v>
      </c>
      <c r="X66" s="3" t="s">
        <v>185</v>
      </c>
      <c r="Y66"/>
      <c r="Z66" s="284">
        <v>3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22:38">
      <c r="Y67"/>
      <c r="Z67"/>
      <c r="AA67"/>
      <c r="AB67"/>
      <c r="AC67"/>
      <c r="AD67"/>
      <c r="AE67" s="482" t="s">
        <v>46</v>
      </c>
      <c r="AF67" s="483"/>
      <c r="AG67" s="482" t="s">
        <v>186</v>
      </c>
      <c r="AH67" s="483"/>
      <c r="AI67" s="476" t="s">
        <v>187</v>
      </c>
      <c r="AJ67" s="475" t="s">
        <v>188</v>
      </c>
      <c r="AK67" s="475"/>
      <c r="AL67" s="475"/>
    </row>
    <row r="68" spans="22:38" ht="29.4">
      <c r="W68" s="3">
        <f>SQRT(SUMSQ(W58,W61,W63,W66))</f>
        <v>1.2956594202695915</v>
      </c>
      <c r="X68" s="3" t="s">
        <v>185</v>
      </c>
      <c r="Y68" s="61" t="s">
        <v>189</v>
      </c>
      <c r="Z68" s="61" t="s">
        <v>190</v>
      </c>
      <c r="AA68" s="61" t="s">
        <v>42</v>
      </c>
      <c r="AB68" s="61" t="s">
        <v>191</v>
      </c>
      <c r="AC68" s="61" t="s">
        <v>192</v>
      </c>
      <c r="AD68" s="61" t="s">
        <v>193</v>
      </c>
      <c r="AE68" s="61" t="s">
        <v>194</v>
      </c>
      <c r="AF68" s="61" t="s">
        <v>195</v>
      </c>
      <c r="AG68" s="61" t="s">
        <v>196</v>
      </c>
      <c r="AH68" s="61" t="s">
        <v>197</v>
      </c>
      <c r="AI68" s="484"/>
      <c r="AJ68" s="476"/>
      <c r="AK68" s="476"/>
      <c r="AL68" s="476"/>
    </row>
    <row r="69" spans="22:38" ht="14.4">
      <c r="Y69" s="62">
        <v>1</v>
      </c>
      <c r="Z69" s="62" t="s">
        <v>199</v>
      </c>
      <c r="AA69" s="332" t="s">
        <v>200</v>
      </c>
      <c r="AB69" s="62">
        <v>50</v>
      </c>
      <c r="AC69" s="62">
        <v>0.1</v>
      </c>
      <c r="AD69" s="62">
        <v>0.1</v>
      </c>
      <c r="AE69" s="62">
        <v>0.5</v>
      </c>
      <c r="AF69" s="62">
        <v>3</v>
      </c>
      <c r="AG69" s="333">
        <v>0.4</v>
      </c>
      <c r="AH69" s="333">
        <v>1.3</v>
      </c>
      <c r="AI69" s="342">
        <v>44839</v>
      </c>
      <c r="AJ69" s="491" t="s">
        <v>1047</v>
      </c>
      <c r="AK69" s="492"/>
      <c r="AL69" s="493"/>
    </row>
    <row r="70" spans="22:38" ht="14.4">
      <c r="Y70" s="62">
        <v>2</v>
      </c>
      <c r="Z70" s="62" t="s">
        <v>323</v>
      </c>
      <c r="AA70" s="62" t="s">
        <v>198</v>
      </c>
      <c r="AB70" s="62">
        <v>60</v>
      </c>
      <c r="AC70" s="62">
        <v>0.1</v>
      </c>
      <c r="AD70" s="62">
        <v>0.1</v>
      </c>
      <c r="AE70" s="62">
        <v>0.5</v>
      </c>
      <c r="AF70" s="62">
        <v>2.5</v>
      </c>
      <c r="AG70" s="333">
        <v>0.4</v>
      </c>
      <c r="AH70" s="333">
        <v>2.2000000000000002</v>
      </c>
      <c r="AI70" s="342">
        <v>44839</v>
      </c>
      <c r="AJ70" s="491" t="s">
        <v>1048</v>
      </c>
      <c r="AK70" s="492"/>
      <c r="AL70" s="493"/>
    </row>
    <row r="71" spans="22:38" ht="14.4">
      <c r="Y71" s="62">
        <v>3</v>
      </c>
      <c r="Z71" s="62" t="s">
        <v>325</v>
      </c>
      <c r="AA71" s="332" t="s">
        <v>1054</v>
      </c>
      <c r="AB71" s="62">
        <v>50</v>
      </c>
      <c r="AC71" s="62">
        <v>0.1</v>
      </c>
      <c r="AD71" s="62">
        <v>0.1</v>
      </c>
      <c r="AE71" s="62">
        <v>0.8</v>
      </c>
      <c r="AF71" s="62">
        <v>2.8</v>
      </c>
      <c r="AG71" s="333">
        <v>0.4</v>
      </c>
      <c r="AH71" s="333">
        <v>1.6</v>
      </c>
      <c r="AI71" s="342">
        <v>44839</v>
      </c>
      <c r="AJ71" s="491" t="s">
        <v>1055</v>
      </c>
      <c r="AK71" s="492"/>
      <c r="AL71" s="493"/>
    </row>
    <row r="72" spans="22:38" ht="14.4">
      <c r="Y72" s="62">
        <v>4</v>
      </c>
      <c r="Z72" s="334" t="s">
        <v>323</v>
      </c>
      <c r="AA72" s="334" t="s">
        <v>198</v>
      </c>
      <c r="AB72" s="334">
        <v>60</v>
      </c>
      <c r="AC72" s="334">
        <v>0.1</v>
      </c>
      <c r="AD72" s="334">
        <v>0.1</v>
      </c>
      <c r="AE72" s="334">
        <v>0.5</v>
      </c>
      <c r="AF72" s="334">
        <v>2.5</v>
      </c>
      <c r="AG72" s="335">
        <v>0.5</v>
      </c>
      <c r="AH72" s="335">
        <v>3.8</v>
      </c>
      <c r="AI72" s="336">
        <v>43227</v>
      </c>
      <c r="AJ72" s="337" t="s">
        <v>324</v>
      </c>
      <c r="AK72" s="338"/>
      <c r="AL72" s="339"/>
    </row>
    <row r="73" spans="22:38" ht="14.4">
      <c r="Y73" s="62">
        <v>5</v>
      </c>
      <c r="Z73" s="340" t="s">
        <v>325</v>
      </c>
      <c r="AA73" s="340" t="s">
        <v>326</v>
      </c>
      <c r="AB73" s="340">
        <v>60</v>
      </c>
      <c r="AC73" s="340">
        <v>0.1</v>
      </c>
      <c r="AD73" s="340">
        <v>0.1</v>
      </c>
      <c r="AE73" s="340">
        <v>0.8</v>
      </c>
      <c r="AF73" s="340">
        <v>4.2</v>
      </c>
      <c r="AG73" s="340">
        <v>0.45</v>
      </c>
      <c r="AH73" s="340">
        <v>3.1</v>
      </c>
      <c r="AI73" s="336">
        <v>43228</v>
      </c>
      <c r="AJ73" s="337" t="s">
        <v>327</v>
      </c>
      <c r="AK73" s="341"/>
      <c r="AL73" s="341"/>
    </row>
    <row r="74" spans="22:38">
      <c r="Y74" s="62">
        <v>6</v>
      </c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22:38">
      <c r="Y75" s="62">
        <v>7</v>
      </c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</row>
    <row r="76" spans="22:38">
      <c r="Y76" s="62">
        <v>8</v>
      </c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</row>
    <row r="77" spans="22:38">
      <c r="V77" s="6"/>
      <c r="W77" s="473"/>
      <c r="X77" s="473"/>
      <c r="Y77" s="473"/>
      <c r="Z77" s="473"/>
      <c r="AA77" s="473"/>
      <c r="AB77" s="473"/>
      <c r="AC77" s="473"/>
      <c r="AD77" s="473"/>
      <c r="AE77" s="473"/>
      <c r="AF77" s="473"/>
      <c r="AG77" s="473"/>
      <c r="AH77" s="473"/>
    </row>
    <row r="78" spans="22:38"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22:38">
      <c r="V79" s="5"/>
      <c r="W79" s="5"/>
      <c r="X79" s="5"/>
      <c r="Y79" s="5"/>
      <c r="Z79" s="5"/>
      <c r="AA79" s="5"/>
      <c r="AB79" s="473">
        <v>2022</v>
      </c>
      <c r="AC79" s="473"/>
      <c r="AD79" s="5"/>
      <c r="AE79" s="5"/>
      <c r="AF79" s="5"/>
      <c r="AG79" s="5"/>
      <c r="AH79" s="5"/>
    </row>
    <row r="80" spans="22:38" ht="21">
      <c r="V80" s="5"/>
      <c r="W80" s="5"/>
      <c r="X80" s="5"/>
      <c r="Y80" s="5"/>
      <c r="Z80" s="477" t="s">
        <v>199</v>
      </c>
      <c r="AA80" s="477"/>
      <c r="AB80" s="477"/>
      <c r="AC80" s="477"/>
      <c r="AD80" s="477"/>
      <c r="AE80" s="5"/>
      <c r="AF80" s="5"/>
      <c r="AG80" s="5"/>
      <c r="AH80" s="5"/>
    </row>
    <row r="81" spans="21:38" ht="15.6">
      <c r="V81" s="5"/>
      <c r="W81" s="5"/>
      <c r="X81" s="5"/>
      <c r="Y81" s="15"/>
      <c r="Z81"/>
      <c r="AA81" s="520" t="s">
        <v>201</v>
      </c>
      <c r="AB81" s="520"/>
      <c r="AC81" s="520"/>
      <c r="AD81" s="520"/>
      <c r="AE81" s="5"/>
      <c r="AF81" s="64"/>
      <c r="AG81" s="5"/>
      <c r="AH81" s="5"/>
    </row>
    <row r="82" spans="21:38" ht="39.6">
      <c r="U82" s="38"/>
      <c r="V82" s="5"/>
      <c r="W82" s="33"/>
      <c r="X82" s="33"/>
      <c r="Y82" s="15"/>
      <c r="Z82"/>
      <c r="AA82" s="65" t="s">
        <v>202</v>
      </c>
      <c r="AB82" s="66" t="s">
        <v>38</v>
      </c>
      <c r="AC82" s="67" t="s">
        <v>203</v>
      </c>
      <c r="AD82" s="67" t="s">
        <v>278</v>
      </c>
      <c r="AE82" s="5"/>
      <c r="AF82" s="5"/>
      <c r="AG82" s="5"/>
      <c r="AH82" s="5"/>
      <c r="AI82" s="519" t="s">
        <v>1061</v>
      </c>
      <c r="AJ82" s="519"/>
      <c r="AK82" s="519"/>
      <c r="AL82" s="348"/>
    </row>
    <row r="83" spans="21:38">
      <c r="U83" s="16"/>
      <c r="V83" s="38"/>
      <c r="W83" s="27"/>
      <c r="X83" s="68"/>
      <c r="Y83" s="29"/>
      <c r="Z83"/>
      <c r="AA83" s="69">
        <f>VLOOKUP(AB83,AA89:AD95,4,FALSE)</f>
        <v>2</v>
      </c>
      <c r="AB83" s="70">
        <f>VLOOKUP(AB84,AA89:AC95,1,TRUE)</f>
        <v>19.98</v>
      </c>
      <c r="AC83" s="71">
        <f>VLOOKUP(AB83,AA89:AC95,2,FALSE)</f>
        <v>0.26</v>
      </c>
      <c r="AD83" s="71">
        <f>VLOOKUP(AB83,AA89:AC95,3,FALSE)</f>
        <v>0.24</v>
      </c>
      <c r="AE83" s="29"/>
      <c r="AF83" s="29"/>
      <c r="AG83" s="34"/>
      <c r="AH83" s="27"/>
      <c r="AI83" s="349" t="s">
        <v>1058</v>
      </c>
      <c r="AJ83" s="349" t="s">
        <v>1059</v>
      </c>
      <c r="AK83" s="349" t="s">
        <v>1060</v>
      </c>
      <c r="AL83" s="16"/>
    </row>
    <row r="84" spans="21:38">
      <c r="U84" s="16"/>
      <c r="V84" s="38"/>
      <c r="W84" s="27"/>
      <c r="X84" s="68"/>
      <c r="Y84" s="29"/>
      <c r="Z84"/>
      <c r="AA84" s="70"/>
      <c r="AB84" s="72">
        <f>AVERAGE(Identificaciones!B47:D47)</f>
        <v>21.85</v>
      </c>
      <c r="AC84" s="73">
        <f>(AC85-AC83)/(AB85-AB83)*(AB84-AB83)+AC83</f>
        <v>0.13283999999999993</v>
      </c>
      <c r="AD84" s="73">
        <f>(AD85-AD83)/(AB85-AB83)*(AB84-AB83)+AD83</f>
        <v>0.23626</v>
      </c>
      <c r="AE84" s="29"/>
      <c r="AF84" s="29"/>
      <c r="AG84" s="34"/>
      <c r="AH84" s="27"/>
      <c r="AI84" s="350">
        <v>-0.18</v>
      </c>
      <c r="AJ84" s="350">
        <v>-0.4</v>
      </c>
      <c r="AK84" s="351">
        <f>ABS(AJ84-AI84)</f>
        <v>0.22000000000000003</v>
      </c>
      <c r="AL84" s="16"/>
    </row>
    <row r="85" spans="21:38">
      <c r="U85" s="16"/>
      <c r="V85" s="38"/>
      <c r="W85" s="27"/>
      <c r="X85" s="68"/>
      <c r="Y85" s="29"/>
      <c r="Z85"/>
      <c r="AA85" s="69">
        <f>AA83+1</f>
        <v>3</v>
      </c>
      <c r="AB85" s="70">
        <f>VLOOKUP(AA83+1,Z89:AD95,2,FALSE)</f>
        <v>24.98</v>
      </c>
      <c r="AC85" s="71">
        <f>VLOOKUP(AB85,AA89:AD95,2,FALSE)</f>
        <v>-0.08</v>
      </c>
      <c r="AD85" s="71">
        <f>VLOOKUP(AB85,AA89:AD95,3,FALSE)</f>
        <v>0.23</v>
      </c>
      <c r="AE85" s="29"/>
      <c r="AF85" s="29"/>
      <c r="AG85" s="34"/>
      <c r="AH85" s="27"/>
      <c r="AI85" s="350">
        <v>0.1</v>
      </c>
      <c r="AJ85" s="350">
        <v>-0.26</v>
      </c>
      <c r="AK85" s="351">
        <f t="shared" ref="AK85:AK87" si="40">ABS(AJ85-AI85)</f>
        <v>0.36</v>
      </c>
      <c r="AL85" s="16"/>
    </row>
    <row r="86" spans="21:38">
      <c r="U86" s="16"/>
      <c r="V86" s="38"/>
      <c r="W86" s="27"/>
      <c r="X86" s="68"/>
      <c r="Y86" s="29"/>
      <c r="Z86"/>
      <c r="AA86" s="74"/>
      <c r="AB86" s="74"/>
      <c r="AC86" s="74"/>
      <c r="AD86" s="74"/>
      <c r="AE86" s="29"/>
      <c r="AF86" s="29"/>
      <c r="AG86" s="34"/>
      <c r="AH86" s="27"/>
      <c r="AI86" s="350">
        <v>0.12</v>
      </c>
      <c r="AJ86" s="350">
        <v>0.08</v>
      </c>
      <c r="AK86" s="351">
        <f t="shared" si="40"/>
        <v>3.9999999999999994E-2</v>
      </c>
      <c r="AL86" s="16"/>
    </row>
    <row r="87" spans="21:38" ht="15.6">
      <c r="U87" s="16"/>
      <c r="V87" s="38"/>
      <c r="W87" s="27"/>
      <c r="X87" s="68"/>
      <c r="Y87" s="29"/>
      <c r="Z87" s="498" t="s">
        <v>200</v>
      </c>
      <c r="AA87" s="498"/>
      <c r="AB87" s="498"/>
      <c r="AC87" s="498"/>
      <c r="AD87" s="498"/>
      <c r="AE87" s="29"/>
      <c r="AF87" s="29"/>
      <c r="AG87" s="34"/>
      <c r="AH87" s="27"/>
      <c r="AI87" s="350">
        <v>0.34</v>
      </c>
      <c r="AJ87" s="350">
        <v>0.14000000000000001</v>
      </c>
      <c r="AK87" s="351">
        <f t="shared" si="40"/>
        <v>0.2</v>
      </c>
      <c r="AL87" s="16"/>
    </row>
    <row r="88" spans="21:38" ht="26.4">
      <c r="U88" s="16"/>
      <c r="V88" s="38"/>
      <c r="W88" s="27"/>
      <c r="X88" s="68"/>
      <c r="Y88" s="29"/>
      <c r="Z88" s="75"/>
      <c r="AA88" s="67" t="s">
        <v>38</v>
      </c>
      <c r="AB88" s="67" t="s">
        <v>203</v>
      </c>
      <c r="AC88" s="67" t="s">
        <v>15</v>
      </c>
      <c r="AD88" s="75"/>
      <c r="AE88" s="29"/>
      <c r="AF88" s="29"/>
      <c r="AG88" s="34"/>
      <c r="AH88" s="27"/>
      <c r="AI88" s="350">
        <v>0.68</v>
      </c>
      <c r="AJ88" s="350">
        <v>0.2</v>
      </c>
      <c r="AK88" s="351">
        <f>ABS(AJ88-AI88)</f>
        <v>0.48000000000000004</v>
      </c>
      <c r="AL88" s="16"/>
    </row>
    <row r="89" spans="21:38">
      <c r="U89" s="16"/>
      <c r="V89" s="38"/>
      <c r="W89" s="27"/>
      <c r="X89" s="68"/>
      <c r="Y89" s="29"/>
      <c r="Z89" s="76">
        <v>1</v>
      </c>
      <c r="AA89" s="77">
        <v>15.1</v>
      </c>
      <c r="AB89" s="77">
        <v>0.4</v>
      </c>
      <c r="AC89" s="77">
        <v>0.23</v>
      </c>
      <c r="AD89" s="76">
        <v>1</v>
      </c>
      <c r="AE89" s="29"/>
      <c r="AF89" s="29"/>
      <c r="AG89" s="34"/>
      <c r="AH89" s="27"/>
    </row>
    <row r="90" spans="21:38">
      <c r="U90" s="16"/>
      <c r="V90" s="38"/>
      <c r="W90" s="27"/>
      <c r="X90" s="68"/>
      <c r="Y90" s="29"/>
      <c r="Z90" s="76">
        <v>2</v>
      </c>
      <c r="AA90" s="77">
        <v>19.98</v>
      </c>
      <c r="AB90" s="77">
        <v>0.26</v>
      </c>
      <c r="AC90" s="77">
        <v>0.24</v>
      </c>
      <c r="AD90" s="76">
        <v>2</v>
      </c>
      <c r="AE90" s="29"/>
      <c r="AF90" s="29"/>
      <c r="AG90" s="34"/>
      <c r="AH90" s="27"/>
    </row>
    <row r="91" spans="21:38">
      <c r="U91" s="16"/>
      <c r="V91" s="38"/>
      <c r="W91" s="27"/>
      <c r="X91" s="68"/>
      <c r="Y91" s="29"/>
      <c r="Z91" s="76">
        <v>3</v>
      </c>
      <c r="AA91" s="77">
        <v>24.98</v>
      </c>
      <c r="AB91" s="77">
        <v>-0.08</v>
      </c>
      <c r="AC91" s="77">
        <v>0.23</v>
      </c>
      <c r="AD91" s="76">
        <v>3</v>
      </c>
      <c r="AE91" s="29"/>
      <c r="AF91" s="29"/>
      <c r="AG91" s="34"/>
      <c r="AH91" s="27"/>
    </row>
    <row r="92" spans="21:38">
      <c r="U92" s="16"/>
      <c r="V92" s="38"/>
      <c r="W92" s="27"/>
      <c r="X92" s="68"/>
      <c r="Y92" s="29"/>
      <c r="Z92" s="76">
        <v>4</v>
      </c>
      <c r="AA92" s="77">
        <v>29.94</v>
      </c>
      <c r="AB92" s="77">
        <v>-0.14000000000000001</v>
      </c>
      <c r="AC92" s="77">
        <v>0.24</v>
      </c>
      <c r="AD92" s="76">
        <v>4</v>
      </c>
      <c r="AE92" s="29"/>
      <c r="AF92" s="29"/>
      <c r="AG92" s="34"/>
      <c r="AH92" s="27"/>
    </row>
    <row r="93" spans="21:38">
      <c r="W93" s="78"/>
      <c r="Z93" s="76">
        <v>5</v>
      </c>
      <c r="AA93" s="77">
        <v>35</v>
      </c>
      <c r="AB93" s="77">
        <v>-0.2</v>
      </c>
      <c r="AC93" s="77">
        <v>0.24</v>
      </c>
      <c r="AD93" s="76">
        <v>5</v>
      </c>
    </row>
    <row r="94" spans="21:38">
      <c r="W94" s="78"/>
      <c r="Z94" s="76">
        <v>6</v>
      </c>
      <c r="AA94" s="77"/>
      <c r="AB94" s="77"/>
      <c r="AC94" s="77"/>
      <c r="AD94" s="76">
        <v>6</v>
      </c>
    </row>
    <row r="95" spans="21:38">
      <c r="W95" s="78"/>
      <c r="Z95" s="76">
        <v>7</v>
      </c>
      <c r="AA95" s="77"/>
      <c r="AB95" s="77"/>
      <c r="AC95" s="77"/>
      <c r="AD95" s="76">
        <v>7</v>
      </c>
    </row>
    <row r="96" spans="21:38">
      <c r="Z96"/>
      <c r="AA96" s="74"/>
      <c r="AB96" s="74"/>
      <c r="AC96" s="74"/>
      <c r="AD96" s="74"/>
    </row>
    <row r="97" spans="22:37" ht="21">
      <c r="V97" s="56"/>
      <c r="Z97" s="477" t="s">
        <v>323</v>
      </c>
      <c r="AA97" s="477"/>
      <c r="AB97" s="477"/>
      <c r="AC97" s="477"/>
      <c r="AD97" s="477"/>
    </row>
    <row r="98" spans="22:37">
      <c r="V98" s="56"/>
      <c r="Z98" s="76"/>
      <c r="AA98" s="74"/>
      <c r="AB98" s="74"/>
      <c r="AC98" s="74"/>
      <c r="AD98" s="74"/>
    </row>
    <row r="99" spans="22:37" ht="15.6">
      <c r="V99" s="56"/>
      <c r="Z99" s="76"/>
      <c r="AA99" s="79" t="s">
        <v>201</v>
      </c>
      <c r="AB99" s="79"/>
      <c r="AC99" s="79"/>
      <c r="AD99" s="79"/>
    </row>
    <row r="100" spans="22:37" ht="39.6">
      <c r="Z100" s="76"/>
      <c r="AA100" s="65" t="s">
        <v>202</v>
      </c>
      <c r="AB100" s="66" t="s">
        <v>38</v>
      </c>
      <c r="AC100" s="67" t="s">
        <v>203</v>
      </c>
      <c r="AD100" s="67" t="s">
        <v>278</v>
      </c>
      <c r="AI100" s="519" t="s">
        <v>1062</v>
      </c>
      <c r="AJ100" s="519"/>
      <c r="AK100" s="519"/>
    </row>
    <row r="101" spans="22:37">
      <c r="Z101" s="76"/>
      <c r="AA101" s="69">
        <f>VLOOKUP(AB101,AA107:AD113,4,FALSE)</f>
        <v>2</v>
      </c>
      <c r="AB101" s="70">
        <f>VLOOKUP(AB102,AA107:AC113,1,TRUE)</f>
        <v>19.98</v>
      </c>
      <c r="AC101" s="71">
        <f>VLOOKUP(AB101,AA107:AC113,2,FALSE)</f>
        <v>0.16</v>
      </c>
      <c r="AD101" s="71">
        <f>VLOOKUP(AB101,AA107:AC113,3,FALSE)</f>
        <v>0.24</v>
      </c>
      <c r="AI101" s="349" t="s">
        <v>1058</v>
      </c>
      <c r="AJ101" s="349" t="s">
        <v>1059</v>
      </c>
      <c r="AK101" s="349" t="s">
        <v>1060</v>
      </c>
    </row>
    <row r="102" spans="22:37">
      <c r="Z102" s="76"/>
      <c r="AA102" s="70"/>
      <c r="AB102" s="72">
        <f>AB84</f>
        <v>21.85</v>
      </c>
      <c r="AC102" s="343">
        <f>(AC103-AC101)/(AB103-AB101)*(AB102-AB101)+AC101</f>
        <v>0.12259999999999999</v>
      </c>
      <c r="AD102" s="73">
        <f>(AD103-AD101)/(AB103-AB101)*(AB102-AB101)+AD101</f>
        <v>0.23626</v>
      </c>
      <c r="AF102" s="78">
        <f>AB102+AC102</f>
        <v>21.9726</v>
      </c>
      <c r="AG102" s="78">
        <f>AF102-20</f>
        <v>1.9725999999999999</v>
      </c>
      <c r="AI102" s="350">
        <v>-0.38</v>
      </c>
      <c r="AJ102" s="350">
        <v>-0.1</v>
      </c>
      <c r="AK102" s="351">
        <f>ABS(AJ102-AI102)</f>
        <v>0.28000000000000003</v>
      </c>
    </row>
    <row r="103" spans="22:37">
      <c r="Z103" s="76"/>
      <c r="AA103" s="69">
        <f>AA101+1</f>
        <v>3</v>
      </c>
      <c r="AB103" s="70">
        <f>VLOOKUP(AA101+1,Z107:AD113,2,FALSE)</f>
        <v>24.98</v>
      </c>
      <c r="AC103" s="71">
        <f>VLOOKUP(AB103,AA107:AD113,2,FALSE)</f>
        <v>0.06</v>
      </c>
      <c r="AD103" s="71">
        <f>VLOOKUP(AB103,AA107:AD113,3,FALSE)</f>
        <v>0.23</v>
      </c>
      <c r="AI103" s="350">
        <v>-0.32</v>
      </c>
      <c r="AJ103" s="350">
        <v>-0.16</v>
      </c>
      <c r="AK103" s="351">
        <f t="shared" ref="AK103:AK106" si="41">ABS(AJ103-AI103)</f>
        <v>0.16</v>
      </c>
    </row>
    <row r="104" spans="22:37">
      <c r="Z104" s="76"/>
      <c r="AA104" s="74"/>
      <c r="AB104" s="74"/>
      <c r="AC104" s="74"/>
      <c r="AD104" s="74"/>
      <c r="AI104" s="350">
        <v>-0.3</v>
      </c>
      <c r="AJ104" s="350">
        <v>-0.06</v>
      </c>
      <c r="AK104" s="351">
        <f t="shared" si="41"/>
        <v>0.24</v>
      </c>
    </row>
    <row r="105" spans="22:37" ht="15.6">
      <c r="Z105"/>
      <c r="AA105" s="79" t="s">
        <v>198</v>
      </c>
      <c r="AB105" s="79"/>
      <c r="AC105" s="79"/>
      <c r="AD105" s="80"/>
      <c r="AI105" s="350">
        <v>-0.3</v>
      </c>
      <c r="AJ105" s="350">
        <v>-0.06</v>
      </c>
      <c r="AK105" s="351">
        <f t="shared" si="41"/>
        <v>0.24</v>
      </c>
    </row>
    <row r="106" spans="22:37" ht="26.4">
      <c r="Z106"/>
      <c r="AA106" s="67" t="s">
        <v>38</v>
      </c>
      <c r="AB106" s="67" t="s">
        <v>203</v>
      </c>
      <c r="AC106" s="67" t="s">
        <v>15</v>
      </c>
      <c r="AD106" s="75"/>
      <c r="AI106" s="350">
        <v>-0.3</v>
      </c>
      <c r="AJ106" s="350">
        <v>0</v>
      </c>
      <c r="AK106" s="351">
        <f t="shared" si="41"/>
        <v>0.3</v>
      </c>
    </row>
    <row r="107" spans="22:37">
      <c r="Z107" s="76">
        <v>1</v>
      </c>
      <c r="AA107" s="77">
        <v>15.1</v>
      </c>
      <c r="AB107" s="77">
        <v>0.1</v>
      </c>
      <c r="AC107" s="77">
        <v>0.23</v>
      </c>
      <c r="AD107" s="76">
        <v>1</v>
      </c>
    </row>
    <row r="108" spans="22:37">
      <c r="Z108" s="76">
        <v>2</v>
      </c>
      <c r="AA108" s="77">
        <v>19.98</v>
      </c>
      <c r="AB108" s="77">
        <v>0.16</v>
      </c>
      <c r="AC108" s="77">
        <v>0.24</v>
      </c>
      <c r="AD108" s="76">
        <v>2</v>
      </c>
    </row>
    <row r="109" spans="22:37">
      <c r="Z109" s="76">
        <v>3</v>
      </c>
      <c r="AA109" s="77">
        <v>24.98</v>
      </c>
      <c r="AB109" s="77">
        <v>0.06</v>
      </c>
      <c r="AC109" s="77">
        <v>0.23</v>
      </c>
      <c r="AD109" s="76">
        <v>3</v>
      </c>
    </row>
    <row r="110" spans="22:37">
      <c r="Z110" s="76">
        <v>4</v>
      </c>
      <c r="AA110" s="77">
        <v>29.94</v>
      </c>
      <c r="AB110" s="77">
        <v>0.06</v>
      </c>
      <c r="AC110" s="77">
        <v>0.24</v>
      </c>
      <c r="AD110" s="76">
        <v>4</v>
      </c>
    </row>
    <row r="111" spans="22:37">
      <c r="Z111" s="76">
        <v>5</v>
      </c>
      <c r="AA111" s="77">
        <v>35</v>
      </c>
      <c r="AB111" s="77">
        <v>0</v>
      </c>
      <c r="AC111" s="77">
        <v>0.24</v>
      </c>
      <c r="AD111" s="76">
        <v>5</v>
      </c>
    </row>
    <row r="112" spans="22:37">
      <c r="Z112" s="76">
        <v>6</v>
      </c>
      <c r="AA112" s="77"/>
      <c r="AB112" s="77"/>
      <c r="AC112" s="77"/>
      <c r="AD112" s="76">
        <v>6</v>
      </c>
    </row>
    <row r="113" spans="26:37">
      <c r="Z113" s="76">
        <v>7</v>
      </c>
      <c r="AA113" s="77"/>
      <c r="AB113" s="77"/>
      <c r="AC113" s="77"/>
      <c r="AD113" s="76">
        <v>7</v>
      </c>
    </row>
    <row r="114" spans="26:37">
      <c r="Z114"/>
      <c r="AA114" s="74"/>
      <c r="AB114" s="74"/>
      <c r="AC114" s="74"/>
      <c r="AD114" s="74"/>
    </row>
    <row r="116" spans="26:37" ht="21">
      <c r="Z116" s="477" t="s">
        <v>325</v>
      </c>
      <c r="AA116" s="477"/>
      <c r="AB116" s="477"/>
      <c r="AC116" s="477"/>
      <c r="AD116" s="477"/>
    </row>
    <row r="117" spans="26:37">
      <c r="Z117" s="76"/>
      <c r="AA117" s="74"/>
      <c r="AB117" s="74"/>
      <c r="AC117" s="74"/>
      <c r="AD117" s="74"/>
    </row>
    <row r="118" spans="26:37" ht="15.6">
      <c r="Z118" s="76"/>
      <c r="AA118" s="79" t="s">
        <v>201</v>
      </c>
      <c r="AB118" s="79"/>
      <c r="AC118" s="79"/>
      <c r="AD118" s="79"/>
    </row>
    <row r="119" spans="26:37" ht="39.6">
      <c r="Z119" s="76"/>
      <c r="AA119" s="65" t="s">
        <v>202</v>
      </c>
      <c r="AB119" s="66" t="s">
        <v>38</v>
      </c>
      <c r="AC119" s="67" t="s">
        <v>203</v>
      </c>
      <c r="AD119" s="67" t="s">
        <v>278</v>
      </c>
      <c r="AI119" s="519" t="s">
        <v>1063</v>
      </c>
      <c r="AJ119" s="519"/>
      <c r="AK119" s="519"/>
    </row>
    <row r="120" spans="26:37">
      <c r="Z120" s="76"/>
      <c r="AA120" s="69">
        <f>VLOOKUP(AB120,AA126:AD132,4,FALSE)</f>
        <v>2</v>
      </c>
      <c r="AB120" s="70">
        <f>VLOOKUP(AB121,AA126:AC132,1,TRUE)</f>
        <v>19.98</v>
      </c>
      <c r="AC120" s="71">
        <f>VLOOKUP(AB120,AA126:AC132,2,FALSE)</f>
        <v>0.22</v>
      </c>
      <c r="AD120" s="71">
        <f>VLOOKUP(AB120,AA126:AC132,3,FALSE)</f>
        <v>0.24</v>
      </c>
      <c r="AI120" s="349" t="s">
        <v>1058</v>
      </c>
      <c r="AJ120" s="349" t="s">
        <v>1059</v>
      </c>
      <c r="AK120" s="349" t="s">
        <v>1060</v>
      </c>
    </row>
    <row r="121" spans="26:37">
      <c r="Z121" s="76"/>
      <c r="AA121" s="70"/>
      <c r="AB121" s="72">
        <f>AB102</f>
        <v>21.85</v>
      </c>
      <c r="AC121" s="73">
        <f>(AC122-AC120)/(AB122-AB120)*(AB121-AB120)+AC120</f>
        <v>0.22</v>
      </c>
      <c r="AD121" s="73">
        <f>(AD122-AD120)/(AB122-AB120)*(AB121-AB120)+AD120</f>
        <v>0.23626</v>
      </c>
      <c r="AI121" s="350">
        <v>0.1</v>
      </c>
      <c r="AJ121" s="350">
        <v>-0.2</v>
      </c>
      <c r="AK121" s="351">
        <f t="shared" ref="AK121:AK124" si="42">ABS(AJ121-AI121)</f>
        <v>0.30000000000000004</v>
      </c>
    </row>
    <row r="122" spans="26:37">
      <c r="Z122" s="76"/>
      <c r="AA122" s="69">
        <f>AA120+1</f>
        <v>3</v>
      </c>
      <c r="AB122" s="70">
        <f>VLOOKUP(AA120+1,Z126:AD132,2,FALSE)</f>
        <v>24.98</v>
      </c>
      <c r="AC122" s="71">
        <f>VLOOKUP(AB122,AA126:AD132,2,FALSE)</f>
        <v>0.22</v>
      </c>
      <c r="AD122" s="71">
        <f>VLOOKUP(AB122,AA126:AD132,3,FALSE)</f>
        <v>0.23</v>
      </c>
      <c r="AI122" s="350">
        <v>0.08</v>
      </c>
      <c r="AJ122" s="350">
        <v>-0.22</v>
      </c>
      <c r="AK122" s="351">
        <f t="shared" si="42"/>
        <v>0.3</v>
      </c>
    </row>
    <row r="123" spans="26:37">
      <c r="Z123" s="76"/>
      <c r="AA123" s="74"/>
      <c r="AB123" s="74"/>
      <c r="AC123" s="74"/>
      <c r="AD123" s="74"/>
      <c r="AI123" s="350">
        <v>0.34</v>
      </c>
      <c r="AJ123" s="350">
        <v>-0.22</v>
      </c>
      <c r="AK123" s="351">
        <f t="shared" si="42"/>
        <v>0.56000000000000005</v>
      </c>
    </row>
    <row r="124" spans="26:37" ht="15.6">
      <c r="Z124"/>
      <c r="AA124" s="79" t="s">
        <v>1057</v>
      </c>
      <c r="AB124" s="79"/>
      <c r="AC124" s="79"/>
      <c r="AD124" s="80"/>
      <c r="AI124" s="350">
        <v>0.3</v>
      </c>
      <c r="AJ124" s="350">
        <v>-0.26</v>
      </c>
      <c r="AK124" s="351">
        <f t="shared" si="42"/>
        <v>0.56000000000000005</v>
      </c>
    </row>
    <row r="125" spans="26:37" ht="26.4">
      <c r="Z125"/>
      <c r="AA125" s="67" t="s">
        <v>38</v>
      </c>
      <c r="AB125" s="67" t="s">
        <v>203</v>
      </c>
      <c r="AC125" s="67" t="s">
        <v>15</v>
      </c>
      <c r="AD125" s="75"/>
      <c r="AI125" s="350"/>
      <c r="AJ125" s="350"/>
      <c r="AK125" s="351"/>
    </row>
    <row r="126" spans="26:37">
      <c r="Z126" s="76">
        <v>1</v>
      </c>
      <c r="AA126" s="77">
        <v>15.1</v>
      </c>
      <c r="AB126" s="345">
        <v>0.2</v>
      </c>
      <c r="AC126" s="345">
        <v>0.23</v>
      </c>
      <c r="AD126" s="76">
        <v>1</v>
      </c>
    </row>
    <row r="127" spans="26:37">
      <c r="Z127" s="76">
        <v>2</v>
      </c>
      <c r="AA127" s="77">
        <v>19.98</v>
      </c>
      <c r="AB127" s="345">
        <v>0.22</v>
      </c>
      <c r="AC127" s="345">
        <v>0.24</v>
      </c>
      <c r="AD127" s="76">
        <v>2</v>
      </c>
    </row>
    <row r="128" spans="26:37">
      <c r="Z128" s="76">
        <v>3</v>
      </c>
      <c r="AA128" s="77">
        <v>24.98</v>
      </c>
      <c r="AB128" s="345">
        <v>0.22</v>
      </c>
      <c r="AC128" s="345">
        <v>0.23</v>
      </c>
      <c r="AD128" s="76">
        <v>3</v>
      </c>
    </row>
    <row r="129" spans="26:30">
      <c r="Z129" s="76">
        <v>4</v>
      </c>
      <c r="AA129" s="77">
        <v>29.94</v>
      </c>
      <c r="AB129" s="345">
        <v>0.26</v>
      </c>
      <c r="AC129" s="345">
        <v>0.24</v>
      </c>
      <c r="AD129" s="76">
        <v>4</v>
      </c>
    </row>
    <row r="130" spans="26:30">
      <c r="Z130" s="76">
        <v>5</v>
      </c>
      <c r="AA130" s="77">
        <v>35</v>
      </c>
      <c r="AB130" s="345">
        <v>0.26</v>
      </c>
      <c r="AC130" s="345">
        <v>0.24</v>
      </c>
      <c r="AD130" s="76">
        <v>5</v>
      </c>
    </row>
    <row r="131" spans="26:30">
      <c r="Z131" s="76">
        <v>6</v>
      </c>
      <c r="AA131" s="77"/>
      <c r="AB131" s="77"/>
      <c r="AC131" s="77"/>
      <c r="AD131" s="76">
        <v>6</v>
      </c>
    </row>
    <row r="132" spans="26:30">
      <c r="Z132" s="76">
        <v>7</v>
      </c>
      <c r="AA132" s="77"/>
      <c r="AB132" s="77"/>
      <c r="AC132" s="77"/>
      <c r="AD132" s="76">
        <v>7</v>
      </c>
    </row>
  </sheetData>
  <sheetProtection formatCells="0" formatColumns="0"/>
  <mergeCells count="40">
    <mergeCell ref="AI100:AK100"/>
    <mergeCell ref="AI119:AK119"/>
    <mergeCell ref="AI82:AK82"/>
    <mergeCell ref="Z116:AD116"/>
    <mergeCell ref="AA81:AD81"/>
    <mergeCell ref="Z97:AD97"/>
    <mergeCell ref="A15:R15"/>
    <mergeCell ref="A17:A20"/>
    <mergeCell ref="Z87:AD87"/>
    <mergeCell ref="A8:A9"/>
    <mergeCell ref="N8:O9"/>
    <mergeCell ref="Q17:R17"/>
    <mergeCell ref="E18:N18"/>
    <mergeCell ref="B17:D18"/>
    <mergeCell ref="T15:AE15"/>
    <mergeCell ref="T41:T44"/>
    <mergeCell ref="E17:P17"/>
    <mergeCell ref="T17:T20"/>
    <mergeCell ref="AJ67:AL68"/>
    <mergeCell ref="W77:AH77"/>
    <mergeCell ref="Z80:AD80"/>
    <mergeCell ref="AD17:AD18"/>
    <mergeCell ref="U17:U19"/>
    <mergeCell ref="AG67:AH67"/>
    <mergeCell ref="AI67:AI68"/>
    <mergeCell ref="AE67:AF67"/>
    <mergeCell ref="V41:AB42"/>
    <mergeCell ref="AJ69:AL69"/>
    <mergeCell ref="AJ70:AL70"/>
    <mergeCell ref="AJ71:AL71"/>
    <mergeCell ref="AB79:AC79"/>
    <mergeCell ref="U41:U43"/>
    <mergeCell ref="V17:AC18"/>
    <mergeCell ref="A1:Q1"/>
    <mergeCell ref="A2:Q2"/>
    <mergeCell ref="A3:Q3"/>
    <mergeCell ref="N11:O11"/>
    <mergeCell ref="N10:O10"/>
    <mergeCell ref="A6:O6"/>
    <mergeCell ref="B8:K8"/>
  </mergeCells>
  <phoneticPr fontId="24" type="noConversion"/>
  <pageMargins left="0.75" right="0.75" top="1" bottom="1" header="0" footer="0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8914" r:id="rId4" name="Drop Down 98">
              <controlPr defaultSize="0" autoLine="0" autoPict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2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5" r:id="rId5" name="Drop Down 99">
              <controlPr defaultSize="0" autoLine="0" autoPict="0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2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6" r:id="rId6" name="Drop Down 100">
              <controlPr defaultSize="0" autoLine="0" autoPict="0">
                <anchor moveWithCells="1">
                  <from>
                    <xdr:col>2</xdr:col>
                    <xdr:colOff>0</xdr:colOff>
                    <xdr:row>36</xdr:row>
                    <xdr:rowOff>0</xdr:rowOff>
                  </from>
                  <to>
                    <xdr:col>2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7" r:id="rId7" name="Drop Down 101">
              <controlPr defaultSize="0" autoLine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2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8" r:id="rId8" name="Drop Down 102">
              <controlPr defaultSize="0" autoLine="0" autoPict="0">
                <anchor moveWithCells="1">
                  <from>
                    <xdr:col>3</xdr:col>
                    <xdr:colOff>0</xdr:colOff>
                    <xdr:row>34</xdr:row>
                    <xdr:rowOff>0</xdr:rowOff>
                  </from>
                  <to>
                    <xdr:col>3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9" r:id="rId9" name="Drop Down 103">
              <controlPr defaultSize="0" autoLine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4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0" r:id="rId10" name="Drop Down 104">
              <controlPr defaultSize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5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1" r:id="rId11" name="Drop Down 105">
              <controlPr defaultSize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6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2" r:id="rId12" name="Drop Down 106">
              <controlPr defaultSize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7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3" r:id="rId13" name="Drop Down 107">
              <controlPr defaultSize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8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4" r:id="rId14" name="Drop Down 108">
              <controlPr defaultSize="0" autoLine="0" autoPict="0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3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5" r:id="rId15" name="Drop Down 109">
              <controlPr defaultSize="0" autoLine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4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6" r:id="rId16" name="Drop Down 110">
              <controlPr defaultSize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5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7" r:id="rId17" name="Drop Down 111">
              <controlPr defaultSize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6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8" r:id="rId18" name="Drop Down 112">
              <controlPr defaultSize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7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9" r:id="rId19" name="Drop Down 113">
              <controlPr defaultSize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0" r:id="rId20" name="Drop Down 114">
              <controlPr defaultSize="0" autoLine="0" autoPict="0">
                <anchor moveWithCells="1">
                  <from>
                    <xdr:col>3</xdr:col>
                    <xdr:colOff>0</xdr:colOff>
                    <xdr:row>36</xdr:row>
                    <xdr:rowOff>0</xdr:rowOff>
                  </from>
                  <to>
                    <xdr:col>3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1" r:id="rId21" name="Drop Down 115">
              <controlPr defaultSize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2" r:id="rId22" name="Drop Down 116">
              <controlPr defaultSize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5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3" r:id="rId23" name="Drop Down 117">
              <controlPr defaultSize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6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4" r:id="rId24" name="Drop Down 118">
              <controlPr defaultSize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7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5" r:id="rId25" name="Drop Down 119">
              <controlPr defaultSize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6" r:id="rId26" name="Drop Down 120">
              <controlPr defaultSize="0" autoLine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3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7" r:id="rId27" name="Drop Down 121">
              <controlPr defaultSize="0" autoLine="0" autoPict="0">
                <anchor moveWithCells="1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4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8" r:id="rId28" name="Drop Down 122">
              <controlPr defaultSize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5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9" r:id="rId29" name="Drop Down 123">
              <controlPr defaultSize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6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0" r:id="rId30" name="Drop Down 124">
              <controlPr defaultSize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7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1" r:id="rId31" name="Drop Down 125">
              <controlPr defaultSize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2" r:id="rId32" name="Drop Down 126">
              <controlPr defaultSize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2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3" r:id="rId33" name="Drop Down 127">
              <controlPr defaultSize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2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4" r:id="rId34" name="Drop Down 128">
              <controlPr defaultSize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3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5" r:id="rId35" name="Drop Down 129">
              <controlPr defaultSize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3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6" r:id="rId36" name="Drop Down 130">
              <controlPr defaultSize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4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7" r:id="rId37" name="Drop Down 131">
              <controlPr defaultSize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4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8" r:id="rId38" name="Drop Down 132">
              <controlPr defaultSize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5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9" r:id="rId39" name="Drop Down 133">
              <controlPr defaultSize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5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0" r:id="rId40" name="Drop Down 134">
              <controlPr defaultSize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6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1" r:id="rId41" name="Drop Down 135">
              <controlPr defaultSize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6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2" r:id="rId42" name="Drop Down 136">
              <controlPr defaultSize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7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3" r:id="rId43" name="Drop Down 137">
              <controlPr defaultSize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7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4" r:id="rId44" name="Drop Down 138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5" r:id="rId45" name="Drop Down 139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6" r:id="rId46" name="Drop Down 140">
              <controlPr defaultSize="0" autoLine="0" autoPict="0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2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7" r:id="rId47" name="Drop Down 141">
              <controlPr defaultSize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2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8" r:id="rId48" name="Drop Down 142">
              <controlPr defaultSize="0" autoLine="0" autoPict="0">
                <anchor moveWithCells="1">
                  <from>
                    <xdr:col>3</xdr:col>
                    <xdr:colOff>0</xdr:colOff>
                    <xdr:row>40</xdr:row>
                    <xdr:rowOff>0</xdr:rowOff>
                  </from>
                  <to>
                    <xdr:col>3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9" r:id="rId49" name="Drop Down 143">
              <controlPr defaultSize="0" autoLine="0" autoPict="0">
                <anchor moveWithCells="1">
                  <from>
                    <xdr:col>3</xdr:col>
                    <xdr:colOff>0</xdr:colOff>
                    <xdr:row>41</xdr:row>
                    <xdr:rowOff>0</xdr:rowOff>
                  </from>
                  <to>
                    <xdr:col>3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0" r:id="rId50" name="Drop Down 144">
              <controlPr defaultSize="0" autoLine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4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1" r:id="rId51" name="Drop Down 145">
              <controlPr defaultSize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2" r:id="rId52" name="Drop Down 146">
              <controlPr defaultSize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5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3" r:id="rId53" name="Drop Down 147">
              <controlPr defaultSize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5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4" r:id="rId54" name="Drop Down 148">
              <controlPr defaultSize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6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5" r:id="rId55" name="Drop Down 149">
              <controlPr defaultSize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6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6" r:id="rId56" name="Drop Down 150">
              <controlPr defaultSize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7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7" r:id="rId57" name="Drop Down 151">
              <controlPr defaultSize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7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8" r:id="rId58" name="Drop Down 152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9" r:id="rId59" name="Drop Down 153">
              <controlPr defaultSize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0" r:id="rId60" name="Drop Down 154">
              <controlPr defaultSize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9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1" r:id="rId61" name="Drop Down 155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2" r:id="rId62" name="Drop Down 156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3" r:id="rId63" name="Drop Down 157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4" r:id="rId64" name="Drop Down 158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5" r:id="rId65" name="Drop Down 159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6" r:id="rId66" name="Drop Down 160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7" r:id="rId67" name="Drop Down 161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8" r:id="rId68" name="Drop Down 162">
              <controlPr defaultSize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10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9" r:id="rId69" name="Drop Down 163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0" r:id="rId70" name="Drop Down 164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1" r:id="rId71" name="Drop Down 165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2" r:id="rId72" name="Drop Down 166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3" r:id="rId73" name="Drop Down 167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4" r:id="rId74" name="Drop Down 168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5" r:id="rId75" name="Drop Down 169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6" r:id="rId76" name="Drop Down 170">
              <controlPr defaultSize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11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7" r:id="rId77" name="Drop Down 171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8" r:id="rId78" name="Drop Down 172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9" r:id="rId79" name="Drop Down 173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0" r:id="rId80" name="Drop Down 174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1" r:id="rId81" name="Drop Down 175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2" r:id="rId82" name="Drop Down 176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3" r:id="rId83" name="Drop Down 177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38" r:id="rId84" name="Drop Down 322">
              <controlPr defaultSize="0" autoLine="0" autoPict="0">
                <anchor moveWithCells="1">
                  <from>
                    <xdr:col>24</xdr:col>
                    <xdr:colOff>419100</xdr:colOff>
                    <xdr:row>63</xdr:row>
                    <xdr:rowOff>30480</xdr:rowOff>
                  </from>
                  <to>
                    <xdr:col>26</xdr:col>
                    <xdr:colOff>685800</xdr:colOff>
                    <xdr:row>64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77" r:id="rId85" name="Drop Down 1489">
              <controlPr defaultSize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12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78" r:id="rId86" name="Drop Down 1490">
              <controlPr defaultSize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12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79" r:id="rId87" name="Drop Down 1491">
              <controlPr defaultSize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12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0" r:id="rId88" name="Drop Down 1492">
              <controlPr defaultSize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12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1" r:id="rId89" name="Drop Down 1493">
              <controlPr defaultSize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12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2" r:id="rId90" name="Drop Down 1494">
              <controlPr defaultSize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12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3" r:id="rId91" name="Drop Down 1495">
              <controlPr defaultSize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12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4" r:id="rId92" name="Drop Down 1496">
              <controlPr defaultSize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12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97" r:id="rId93" name="Drop Down 1609">
              <controlPr defaultSize="0" autoLine="0" autoPict="0" macro="[0]!L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8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98" r:id="rId94" name="Drop Down 1610">
              <controlPr defaultSize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99" r:id="rId95" name="Drop Down 1611">
              <controlPr defaultSize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0" r:id="rId96" name="Drop Down 1612">
              <controlPr defaultSize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1" r:id="rId97" name="Drop Down 1613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2" r:id="rId98" name="Drop Down 1614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3" r:id="rId99" name="Drop Down 1615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4" r:id="rId100" name="Drop Down 1616">
              <controlPr defaultSize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5" r:id="rId101" name="Drop Down 1617">
              <controlPr defaultSize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9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6" r:id="rId102" name="Drop Down 1618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7" r:id="rId103" name="Drop Down 1619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8" r:id="rId104" name="Drop Down 1620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9" r:id="rId105" name="Drop Down 1621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0" r:id="rId106" name="Drop Down 1622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1" r:id="rId107" name="Drop Down 1623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2" r:id="rId108" name="Drop Down 1624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3" r:id="rId109" name="Drop Down 1625">
              <controlPr defaultSize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10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4" r:id="rId110" name="Drop Down 1626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5" r:id="rId111" name="Drop Down 1627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6" r:id="rId112" name="Drop Down 1628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7" r:id="rId113" name="Drop Down 1629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8" r:id="rId114" name="Drop Down 1630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9" r:id="rId115" name="Drop Down 1631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0" r:id="rId116" name="Drop Down 1632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1" r:id="rId117" name="Drop Down 1633">
              <controlPr defaultSize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11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2" r:id="rId118" name="Drop Down 1634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3" r:id="rId119" name="Drop Down 1635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4" r:id="rId120" name="Drop Down 1636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5" r:id="rId121" name="Drop Down 1637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6" r:id="rId122" name="Drop Down 1638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7" r:id="rId123" name="Drop Down 1639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8" r:id="rId124" name="Drop Down 1640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37" r:id="rId125" name="Drop Down 1649">
              <controlPr defaultSize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38" r:id="rId126" name="Drop Down 1650">
              <controlPr defaultSize="0" autoLine="0" autoPict="0" macro="[0]!L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39" r:id="rId127" name="Drop Down 1651">
              <controlPr defaultSize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0" r:id="rId128" name="Drop Down 1652">
              <controlPr defaultSize="0" autoLine="0" autoPict="0" macro="[0]!L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1" r:id="rId129" name="Drop Down 1653">
              <controlPr defaultSize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2" r:id="rId130" name="Drop Down 1654">
              <controlPr defaultSize="0" autoLine="0" autoPict="0" macro="[0]!L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3" r:id="rId131" name="Drop Down 1655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4" r:id="rId132" name="Drop Down 1656">
              <controlPr defaultSize="0" autoLine="0" autoPict="0" macro="[0]!L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5" r:id="rId133" name="Drop Down 1657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6" r:id="rId134" name="Drop Down 1658">
              <controlPr defaultSize="0" autoLine="0" autoPict="0" macro="[0]!L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7" r:id="rId135" name="Drop Down 1659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8" r:id="rId136" name="Drop Down 1660">
              <controlPr defaultSize="0" autoLine="0" autoPict="0" macro="[0]!L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9" r:id="rId137" name="Drop Down 1661">
              <controlPr defaultSize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50" r:id="rId138" name="Drop Down 1662">
              <controlPr defaultSize="0" autoLine="0" autoPict="0" macro="[0]!L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67" r:id="rId139" name="Drop Down 1679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68" r:id="rId140" name="Drop Down 1680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69" r:id="rId141" name="Drop Down 1681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0" r:id="rId142" name="Drop Down 1682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1" r:id="rId143" name="Drop Down 1683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2" r:id="rId144" name="Drop Down 1684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3" r:id="rId145" name="Drop Down 1685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4" r:id="rId146" name="Drop Down 1686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5" r:id="rId147" name="Drop Down 1687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6" r:id="rId148" name="Drop Down 1688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7" r:id="rId149" name="Drop Down 1689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8" r:id="rId150" name="Drop Down 1690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9" r:id="rId151" name="Drop Down 1691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0" r:id="rId152" name="Drop Down 1692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1" r:id="rId153" name="Drop Down 1693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2" r:id="rId154" name="Drop Down 1694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3" r:id="rId155" name="Drop Down 1695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4" r:id="rId156" name="Drop Down 1696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5" r:id="rId157" name="Drop Down 1697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6" r:id="rId158" name="Drop Down 1698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7" r:id="rId159" name="Drop Down 1699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8" r:id="rId160" name="Drop Down 1700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9" r:id="rId161" name="Drop Down 1701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0" r:id="rId162" name="Drop Down 1702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1" r:id="rId163" name="Drop Down 1703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2" r:id="rId164" name="Drop Down 1704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3" r:id="rId165" name="Drop Down 1705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4" r:id="rId166" name="Drop Down 1706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5" r:id="rId167" name="Drop Down 1707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6" r:id="rId168" name="Drop Down 1708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7" r:id="rId169" name="Drop Down 1709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8" r:id="rId170" name="Drop Down 1710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9" r:id="rId171" name="Drop Down 1711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0" r:id="rId172" name="Drop Down 1712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1" r:id="rId173" name="Drop Down 1713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2" r:id="rId174" name="Drop Down 1714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3" r:id="rId175" name="Drop Down 1715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4" r:id="rId176" name="Drop Down 1716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5" r:id="rId177" name="Drop Down 1717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6" r:id="rId178" name="Drop Down 1718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7" r:id="rId179" name="Drop Down 1719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8" r:id="rId180" name="Drop Down 1720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:P75"/>
  <sheetViews>
    <sheetView showZeros="0" zoomScale="70" zoomScaleNormal="70" workbookViewId="0">
      <selection activeCell="B6" sqref="B6"/>
    </sheetView>
  </sheetViews>
  <sheetFormatPr baseColWidth="10" defaultColWidth="9.109375" defaultRowHeight="13.2"/>
  <cols>
    <col min="1" max="1" width="3.88671875" style="3" bestFit="1" customWidth="1"/>
    <col min="2" max="2" width="20.44140625" style="3" bestFit="1" customWidth="1"/>
    <col min="3" max="3" width="26.33203125" style="3" customWidth="1"/>
    <col min="4" max="4" width="9.109375" style="3" customWidth="1"/>
    <col min="5" max="5" width="24.33203125" style="3" customWidth="1"/>
    <col min="6" max="6" width="19.44140625" style="3" bestFit="1" customWidth="1"/>
    <col min="7" max="7" width="19.109375" style="3" customWidth="1"/>
    <col min="8" max="8" width="6.6640625" style="3" customWidth="1"/>
    <col min="9" max="9" width="9.109375" style="3" customWidth="1"/>
    <col min="10" max="10" width="20" style="3" customWidth="1"/>
    <col min="11" max="11" width="15.33203125" style="3" customWidth="1"/>
    <col min="12" max="12" width="15.88671875" style="3" bestFit="1" customWidth="1"/>
    <col min="13" max="16384" width="9.109375" style="3"/>
  </cols>
  <sheetData>
    <row r="1" spans="1:12">
      <c r="A1" s="3" t="s">
        <v>10</v>
      </c>
      <c r="B1" s="3">
        <v>1</v>
      </c>
      <c r="C1" s="3">
        <v>2</v>
      </c>
      <c r="F1" s="3">
        <v>1</v>
      </c>
      <c r="G1" s="3">
        <v>1</v>
      </c>
      <c r="J1" s="3">
        <v>1</v>
      </c>
      <c r="L1" s="3">
        <v>1</v>
      </c>
    </row>
    <row r="2" spans="1:12" ht="26.4">
      <c r="B2" s="305" t="s">
        <v>75</v>
      </c>
      <c r="C2" s="305" t="s">
        <v>76</v>
      </c>
      <c r="D2" s="305" t="s">
        <v>77</v>
      </c>
      <c r="E2" s="277"/>
      <c r="F2" s="521" t="s">
        <v>25</v>
      </c>
      <c r="G2" s="521"/>
      <c r="H2" s="277"/>
      <c r="I2" s="277"/>
      <c r="J2" s="306" t="s">
        <v>24</v>
      </c>
      <c r="K2" s="277"/>
      <c r="L2" s="305" t="s">
        <v>30</v>
      </c>
    </row>
    <row r="3" spans="1:12">
      <c r="A3" s="16">
        <v>1</v>
      </c>
      <c r="B3" s="344" t="s">
        <v>1053</v>
      </c>
      <c r="C3" s="278" t="s">
        <v>270</v>
      </c>
      <c r="D3" s="277" t="s">
        <v>262</v>
      </c>
      <c r="E3" s="277"/>
      <c r="F3" s="277" t="s">
        <v>50</v>
      </c>
      <c r="G3" s="277" t="s">
        <v>50</v>
      </c>
      <c r="H3" s="277"/>
      <c r="I3" s="277"/>
      <c r="J3" s="277" t="s">
        <v>50</v>
      </c>
      <c r="K3" s="277"/>
      <c r="L3" s="277" t="s">
        <v>41</v>
      </c>
    </row>
    <row r="4" spans="1:12">
      <c r="A4" s="16">
        <v>2</v>
      </c>
      <c r="B4" s="278" t="s">
        <v>261</v>
      </c>
      <c r="C4" s="278"/>
      <c r="D4" s="277"/>
      <c r="E4" s="277"/>
      <c r="F4" s="277" t="s">
        <v>51</v>
      </c>
      <c r="G4" s="278" t="s">
        <v>51</v>
      </c>
      <c r="H4" s="277"/>
      <c r="I4" s="277"/>
      <c r="J4" s="277" t="s">
        <v>51</v>
      </c>
      <c r="K4" s="277"/>
      <c r="L4" s="277"/>
    </row>
    <row r="5" spans="1:12">
      <c r="A5" s="16">
        <v>3</v>
      </c>
      <c r="B5" s="278" t="s">
        <v>270</v>
      </c>
      <c r="C5" s="278"/>
      <c r="D5" s="277"/>
      <c r="E5" s="277"/>
      <c r="F5" s="277"/>
      <c r="G5" s="277"/>
      <c r="H5" s="277"/>
      <c r="I5" s="277"/>
      <c r="J5" s="277"/>
      <c r="K5" s="277"/>
      <c r="L5" s="277"/>
    </row>
    <row r="6" spans="1:12">
      <c r="A6" s="16">
        <v>4</v>
      </c>
      <c r="B6" s="278"/>
      <c r="C6" s="278"/>
      <c r="D6" s="277"/>
      <c r="E6" s="277"/>
      <c r="F6" s="277"/>
      <c r="G6" s="277"/>
      <c r="H6" s="277"/>
      <c r="I6" s="277"/>
      <c r="J6" s="277"/>
      <c r="K6" s="277"/>
      <c r="L6" s="277"/>
    </row>
    <row r="7" spans="1:12">
      <c r="A7" s="16">
        <v>5</v>
      </c>
      <c r="B7" s="278"/>
      <c r="C7" s="278"/>
      <c r="D7" s="277"/>
      <c r="E7" s="277"/>
      <c r="F7" s="277"/>
      <c r="G7" s="277"/>
      <c r="H7" s="277"/>
      <c r="I7" s="277"/>
      <c r="J7" s="277"/>
      <c r="K7" s="277"/>
      <c r="L7" s="277"/>
    </row>
    <row r="8" spans="1:12">
      <c r="B8" s="278"/>
      <c r="C8" s="278"/>
      <c r="D8" s="277"/>
      <c r="E8" s="277"/>
      <c r="F8" s="277"/>
      <c r="G8" s="277"/>
      <c r="H8" s="277"/>
      <c r="I8" s="277"/>
      <c r="J8" s="277"/>
      <c r="K8" s="277"/>
      <c r="L8" s="277"/>
    </row>
    <row r="9" spans="1:12">
      <c r="A9" s="6">
        <v>2</v>
      </c>
      <c r="B9" s="6">
        <f>A9-1</f>
        <v>1</v>
      </c>
      <c r="C9" s="6">
        <v>1</v>
      </c>
      <c r="D9" s="6">
        <f>C9-1</f>
        <v>0</v>
      </c>
      <c r="E9" s="6"/>
      <c r="F9" s="6"/>
      <c r="G9" s="6"/>
      <c r="H9" s="6"/>
      <c r="I9" s="6"/>
      <c r="J9" s="6"/>
    </row>
    <row r="10" spans="1:12">
      <c r="A10" s="522" t="s">
        <v>2</v>
      </c>
      <c r="B10" s="522"/>
      <c r="C10" s="522"/>
      <c r="D10" s="522"/>
      <c r="E10" s="522"/>
      <c r="F10" s="522"/>
      <c r="G10" s="522"/>
      <c r="H10" s="522"/>
      <c r="I10" s="522"/>
      <c r="J10" s="522"/>
      <c r="K10" s="522"/>
    </row>
    <row r="11" spans="1:12">
      <c r="A11" s="4" t="s">
        <v>67</v>
      </c>
      <c r="B11" s="4" t="s">
        <v>45</v>
      </c>
      <c r="C11" s="4" t="s">
        <v>78</v>
      </c>
      <c r="D11" s="4" t="s">
        <v>79</v>
      </c>
      <c r="E11" s="4" t="s">
        <v>263</v>
      </c>
      <c r="F11" s="4" t="s">
        <v>264</v>
      </c>
      <c r="G11" s="4" t="s">
        <v>60</v>
      </c>
      <c r="H11" s="4" t="s">
        <v>80</v>
      </c>
      <c r="I11" s="4" t="s">
        <v>81</v>
      </c>
      <c r="J11" s="4" t="s">
        <v>82</v>
      </c>
      <c r="K11" s="4" t="s">
        <v>83</v>
      </c>
    </row>
    <row r="12" spans="1:12">
      <c r="A12" s="4"/>
      <c r="B12" s="4" t="s">
        <v>4</v>
      </c>
      <c r="C12" s="4" t="s">
        <v>4</v>
      </c>
      <c r="D12" s="4" t="s">
        <v>4</v>
      </c>
      <c r="E12" s="163"/>
      <c r="F12" s="163"/>
      <c r="G12" s="163" t="s">
        <v>4</v>
      </c>
      <c r="H12" s="163"/>
      <c r="I12" s="163"/>
      <c r="J12" s="163"/>
      <c r="K12" s="163"/>
    </row>
    <row r="13" spans="1:12">
      <c r="A13" s="4">
        <v>1</v>
      </c>
      <c r="B13" s="4"/>
      <c r="C13" s="166" t="s">
        <v>265</v>
      </c>
      <c r="D13" s="163" t="s">
        <v>267</v>
      </c>
      <c r="E13" s="166" t="s">
        <v>512</v>
      </c>
      <c r="F13" s="163" t="s">
        <v>266</v>
      </c>
      <c r="G13" s="163" t="str">
        <f>IF(D13="",C13,C13&amp;"       --------       "&amp;D13)</f>
        <v>Metrología Consultores de Nicaragua S.A.       --------       METROCAL</v>
      </c>
      <c r="H13" s="163"/>
      <c r="I13" s="163"/>
      <c r="J13" s="163"/>
      <c r="K13" s="163"/>
    </row>
    <row r="14" spans="1:12">
      <c r="A14" s="4">
        <v>2</v>
      </c>
      <c r="B14" s="4"/>
      <c r="C14" s="163"/>
      <c r="D14" s="163"/>
      <c r="E14" s="163"/>
      <c r="F14" s="163"/>
      <c r="G14" s="163"/>
      <c r="H14" s="163"/>
      <c r="I14" s="163"/>
      <c r="J14" s="163"/>
      <c r="K14" s="163"/>
    </row>
    <row r="15" spans="1:12">
      <c r="A15" s="4">
        <v>3</v>
      </c>
      <c r="B15" s="4"/>
      <c r="C15" s="163"/>
      <c r="D15" s="163"/>
      <c r="E15" s="163"/>
      <c r="F15" s="163"/>
      <c r="G15" s="163"/>
      <c r="H15" s="163"/>
      <c r="I15" s="163"/>
      <c r="J15" s="163"/>
      <c r="K15" s="163"/>
    </row>
    <row r="16" spans="1:12">
      <c r="A16" s="4">
        <v>4</v>
      </c>
      <c r="B16" s="4"/>
      <c r="C16" s="163"/>
      <c r="D16" s="163"/>
      <c r="E16" s="163"/>
      <c r="F16" s="163"/>
      <c r="G16" s="163"/>
      <c r="H16" s="163"/>
      <c r="I16" s="163"/>
      <c r="J16" s="163"/>
      <c r="K16" s="163"/>
    </row>
    <row r="17" spans="1:11">
      <c r="A17" s="4">
        <v>5</v>
      </c>
      <c r="B17" s="4"/>
      <c r="C17" s="163"/>
      <c r="D17" s="163"/>
      <c r="E17" s="163"/>
      <c r="F17" s="163"/>
      <c r="G17" s="163"/>
      <c r="H17" s="163"/>
      <c r="I17" s="163"/>
      <c r="J17" s="163"/>
      <c r="K17" s="163"/>
    </row>
    <row r="18" spans="1:11">
      <c r="A18" s="4">
        <v>6</v>
      </c>
      <c r="B18" s="4"/>
      <c r="C18" s="163"/>
      <c r="D18" s="163"/>
      <c r="E18" s="163"/>
      <c r="F18" s="163"/>
      <c r="G18" s="163"/>
      <c r="H18" s="163"/>
      <c r="I18" s="163"/>
      <c r="J18" s="163"/>
      <c r="K18" s="163"/>
    </row>
    <row r="19" spans="1:11">
      <c r="A19" s="4">
        <v>7</v>
      </c>
      <c r="B19" s="4"/>
      <c r="C19" s="163"/>
      <c r="D19" s="163"/>
      <c r="E19" s="163"/>
      <c r="F19" s="163"/>
      <c r="G19" s="163"/>
      <c r="H19" s="163"/>
      <c r="I19" s="163"/>
      <c r="J19" s="163"/>
      <c r="K19" s="163"/>
    </row>
    <row r="20" spans="1:11">
      <c r="A20" s="4">
        <v>8</v>
      </c>
      <c r="B20" s="4"/>
      <c r="C20" s="163"/>
      <c r="D20" s="163"/>
      <c r="E20" s="163"/>
      <c r="F20" s="163"/>
      <c r="G20" s="163"/>
      <c r="H20" s="163"/>
      <c r="I20" s="163"/>
      <c r="J20" s="163"/>
      <c r="K20" s="163"/>
    </row>
    <row r="21" spans="1:11">
      <c r="A21" s="4">
        <v>9</v>
      </c>
      <c r="B21" s="4"/>
      <c r="C21" s="163"/>
      <c r="D21" s="163"/>
      <c r="E21" s="163"/>
      <c r="F21" s="163"/>
      <c r="G21" s="163"/>
      <c r="H21" s="163"/>
      <c r="I21" s="163"/>
      <c r="J21" s="163"/>
      <c r="K21" s="163"/>
    </row>
    <row r="22" spans="1:11">
      <c r="A22" s="4">
        <v>10</v>
      </c>
      <c r="B22" s="4"/>
      <c r="C22" s="163"/>
      <c r="D22" s="163"/>
      <c r="E22" s="164"/>
      <c r="F22" s="164"/>
      <c r="G22" s="164"/>
      <c r="H22" s="164"/>
      <c r="I22" s="164"/>
      <c r="J22" s="164"/>
      <c r="K22" s="164"/>
    </row>
    <row r="23" spans="1:11">
      <c r="A23" s="4">
        <v>11</v>
      </c>
      <c r="B23" s="7"/>
      <c r="C23" s="164"/>
      <c r="D23" s="164"/>
      <c r="E23" s="164"/>
      <c r="F23" s="164"/>
      <c r="G23" s="164">
        <f>IF(D23="",C23,C23&amp;"       --------       "&amp;D23)</f>
        <v>0</v>
      </c>
      <c r="H23" s="164"/>
      <c r="I23" s="164"/>
      <c r="J23" s="164"/>
      <c r="K23" s="164"/>
    </row>
    <row r="24" spans="1:11">
      <c r="A24" s="4">
        <v>12</v>
      </c>
      <c r="B24" s="7"/>
      <c r="C24" s="164"/>
      <c r="D24" s="164"/>
      <c r="E24" s="164"/>
      <c r="F24" s="164"/>
      <c r="G24" s="164">
        <f t="shared" ref="G24:G32" si="0">IF(D24="",C24,C24&amp;"       --------       "&amp;D24)</f>
        <v>0</v>
      </c>
      <c r="H24" s="164"/>
      <c r="I24" s="164"/>
      <c r="J24" s="164"/>
      <c r="K24" s="164"/>
    </row>
    <row r="25" spans="1:11">
      <c r="A25" s="4">
        <v>13</v>
      </c>
      <c r="B25" s="7"/>
      <c r="C25" s="164"/>
      <c r="D25" s="164"/>
      <c r="E25" s="165"/>
      <c r="F25" s="165"/>
      <c r="G25" s="165">
        <f t="shared" si="0"/>
        <v>0</v>
      </c>
      <c r="H25" s="165"/>
      <c r="I25" s="165"/>
      <c r="J25" s="165"/>
      <c r="K25" s="165"/>
    </row>
    <row r="26" spans="1:11">
      <c r="A26" s="4">
        <v>14</v>
      </c>
      <c r="B26" s="8"/>
      <c r="C26" s="165"/>
      <c r="D26" s="165"/>
      <c r="E26" s="163"/>
      <c r="F26" s="163"/>
      <c r="G26" s="163">
        <f t="shared" si="0"/>
        <v>0</v>
      </c>
      <c r="H26" s="163"/>
      <c r="I26" s="163"/>
      <c r="J26" s="163"/>
      <c r="K26" s="163"/>
    </row>
    <row r="27" spans="1:11">
      <c r="A27" s="4">
        <v>15</v>
      </c>
      <c r="B27" s="8"/>
      <c r="C27" s="165"/>
      <c r="D27" s="32"/>
      <c r="E27" s="163"/>
      <c r="F27" s="163"/>
      <c r="G27" s="163">
        <f t="shared" si="0"/>
        <v>0</v>
      </c>
      <c r="H27" s="163"/>
      <c r="I27" s="163"/>
      <c r="J27" s="163"/>
      <c r="K27" s="163"/>
    </row>
    <row r="28" spans="1:11" ht="12.75" customHeight="1">
      <c r="A28" s="4">
        <v>16</v>
      </c>
      <c r="B28" s="8"/>
      <c r="C28" s="165"/>
      <c r="D28" s="163"/>
      <c r="E28" s="163"/>
      <c r="F28" s="163"/>
      <c r="G28" s="163">
        <f t="shared" si="0"/>
        <v>0</v>
      </c>
      <c r="H28" s="163"/>
      <c r="I28" s="163"/>
      <c r="J28" s="163"/>
      <c r="K28" s="163"/>
    </row>
    <row r="29" spans="1:11">
      <c r="A29" s="4">
        <v>17</v>
      </c>
      <c r="B29" s="8"/>
      <c r="C29" s="165"/>
      <c r="D29" s="163"/>
      <c r="E29" s="163"/>
      <c r="F29" s="163"/>
      <c r="G29" s="163">
        <f t="shared" si="0"/>
        <v>0</v>
      </c>
      <c r="H29" s="163"/>
      <c r="I29" s="163"/>
      <c r="J29" s="163"/>
      <c r="K29" s="163"/>
    </row>
    <row r="30" spans="1:11">
      <c r="A30" s="4">
        <v>18</v>
      </c>
      <c r="B30" s="8"/>
      <c r="C30" s="165"/>
      <c r="D30" s="163"/>
      <c r="E30" s="163"/>
      <c r="F30" s="163"/>
      <c r="G30" s="163">
        <f t="shared" si="0"/>
        <v>0</v>
      </c>
      <c r="H30" s="163"/>
      <c r="I30" s="163"/>
      <c r="J30" s="163"/>
      <c r="K30" s="163"/>
    </row>
    <row r="31" spans="1:11">
      <c r="A31" s="4">
        <v>19</v>
      </c>
      <c r="B31" s="8"/>
      <c r="C31" s="165"/>
      <c r="D31" s="163"/>
      <c r="E31" s="163"/>
      <c r="F31" s="163"/>
      <c r="G31" s="163">
        <f t="shared" si="0"/>
        <v>0</v>
      </c>
      <c r="H31" s="163"/>
      <c r="I31" s="163"/>
      <c r="J31" s="163"/>
      <c r="K31" s="163"/>
    </row>
    <row r="32" spans="1:11">
      <c r="A32" s="4">
        <v>20</v>
      </c>
      <c r="B32" s="8"/>
      <c r="C32" s="165"/>
      <c r="D32" s="163"/>
      <c r="E32" s="163"/>
      <c r="F32" s="163"/>
      <c r="G32" s="163">
        <f t="shared" si="0"/>
        <v>0</v>
      </c>
      <c r="H32" s="163"/>
      <c r="I32" s="163"/>
      <c r="J32" s="163"/>
      <c r="K32" s="163"/>
    </row>
    <row r="35" spans="1:16">
      <c r="A35" s="6">
        <v>4</v>
      </c>
      <c r="B35" s="2">
        <f>A35-1</f>
        <v>3</v>
      </c>
      <c r="C35" s="12"/>
      <c r="D35" s="12"/>
      <c r="E35" s="12"/>
      <c r="F35" s="12"/>
      <c r="G35" s="12"/>
      <c r="H35" s="12"/>
      <c r="I35" s="12"/>
      <c r="J35" s="12"/>
    </row>
    <row r="36" spans="1:16">
      <c r="A36" s="473" t="s">
        <v>44</v>
      </c>
      <c r="B36" s="473"/>
      <c r="C36" s="473"/>
      <c r="D36" s="473"/>
      <c r="E36" s="473"/>
      <c r="F36" s="5"/>
      <c r="G36" s="5"/>
      <c r="H36" s="5"/>
      <c r="I36" s="5"/>
      <c r="J36" s="5"/>
    </row>
    <row r="37" spans="1:16">
      <c r="A37" s="523" t="s">
        <v>67</v>
      </c>
      <c r="B37" s="4" t="s">
        <v>46</v>
      </c>
      <c r="C37" s="4" t="s">
        <v>79</v>
      </c>
      <c r="D37" s="523" t="s">
        <v>3</v>
      </c>
      <c r="E37" s="4" t="s">
        <v>61</v>
      </c>
      <c r="F37" s="6"/>
      <c r="I37" s="1" t="s">
        <v>88</v>
      </c>
      <c r="J37" s="1"/>
      <c r="K37" s="1" t="s">
        <v>43</v>
      </c>
      <c r="L37" s="1"/>
      <c r="M37" s="1" t="s">
        <v>119</v>
      </c>
      <c r="P37" s="3" t="s">
        <v>120</v>
      </c>
    </row>
    <row r="38" spans="1:16">
      <c r="A38" s="523"/>
      <c r="B38" s="4" t="s">
        <v>4</v>
      </c>
      <c r="C38" s="4" t="s">
        <v>4</v>
      </c>
      <c r="D38" s="523"/>
      <c r="E38" s="4" t="s">
        <v>4</v>
      </c>
      <c r="F38" s="6"/>
      <c r="I38" s="1" t="s">
        <v>117</v>
      </c>
      <c r="J38" s="1"/>
      <c r="K38" s="1" t="s">
        <v>118</v>
      </c>
      <c r="L38" s="1"/>
    </row>
    <row r="39" spans="1:16" ht="19.2">
      <c r="A39" s="8">
        <v>1</v>
      </c>
      <c r="B39" s="9" t="s">
        <v>58</v>
      </c>
      <c r="C39" s="9" t="s">
        <v>47</v>
      </c>
      <c r="D39" s="10" t="s">
        <v>59</v>
      </c>
      <c r="E39" s="11" t="str">
        <f>C39&amp; IF(B39=C39,"","          -         "&amp; B39)</f>
        <v>NO DISPONIBLE</v>
      </c>
      <c r="F39" s="6"/>
      <c r="I39" s="1" t="s">
        <v>0</v>
      </c>
      <c r="J39" s="1"/>
      <c r="K39" s="1" t="s">
        <v>1</v>
      </c>
      <c r="L39" s="1"/>
    </row>
    <row r="40" spans="1:16">
      <c r="A40" s="8">
        <v>2</v>
      </c>
      <c r="B40" s="9" t="s">
        <v>37</v>
      </c>
      <c r="C40" s="9" t="s">
        <v>37</v>
      </c>
      <c r="D40" s="10"/>
      <c r="E40" s="11" t="str">
        <f>B40&amp; IF(B40=C40,"","          -         "&amp; C40)</f>
        <v>Mitutoyo</v>
      </c>
      <c r="F40" s="6"/>
      <c r="I40" s="1" t="s">
        <v>26</v>
      </c>
      <c r="J40" s="1"/>
      <c r="K40" s="1" t="s">
        <v>27</v>
      </c>
      <c r="L40" s="1"/>
    </row>
    <row r="41" spans="1:16">
      <c r="A41" s="8">
        <v>3</v>
      </c>
      <c r="B41" s="9" t="s">
        <v>89</v>
      </c>
      <c r="C41" s="9" t="s">
        <v>89</v>
      </c>
      <c r="D41" s="10"/>
      <c r="E41" s="11" t="str">
        <f>B41&amp; IF(B41=C41,"","          -         "&amp; C41)</f>
        <v>Fisher Scientific</v>
      </c>
      <c r="F41" s="6"/>
      <c r="I41" s="1" t="s">
        <v>62</v>
      </c>
      <c r="J41" s="1"/>
      <c r="K41" s="1" t="s">
        <v>63</v>
      </c>
      <c r="L41" s="1"/>
    </row>
    <row r="42" spans="1:16">
      <c r="A42" s="8">
        <v>4</v>
      </c>
      <c r="B42" s="9" t="s">
        <v>123</v>
      </c>
      <c r="C42" s="9" t="s">
        <v>123</v>
      </c>
      <c r="D42" s="10"/>
      <c r="E42" s="11" t="str">
        <f>B42&amp; IF(B42=C42,"","          -         "&amp; C42)</f>
        <v>Starrett</v>
      </c>
      <c r="F42" s="6"/>
      <c r="I42" s="1" t="s">
        <v>28</v>
      </c>
      <c r="J42" s="1"/>
      <c r="K42" s="1" t="s">
        <v>29</v>
      </c>
      <c r="L42" s="1"/>
    </row>
    <row r="43" spans="1:16">
      <c r="A43" s="8">
        <v>5</v>
      </c>
      <c r="B43" s="9" t="s">
        <v>124</v>
      </c>
      <c r="C43" s="9"/>
      <c r="D43" s="10"/>
      <c r="E43" s="11" t="str">
        <f t="shared" ref="E43:E48" si="1">B43&amp; IF(B43=C43,"","          -         "&amp; C43)</f>
        <v xml:space="preserve">Fowler          -         </v>
      </c>
      <c r="F43" s="6"/>
      <c r="I43" s="1" t="s">
        <v>75</v>
      </c>
      <c r="J43" s="1"/>
      <c r="K43" s="1" t="s">
        <v>33</v>
      </c>
      <c r="L43" s="1"/>
    </row>
    <row r="44" spans="1:16">
      <c r="A44" s="8">
        <v>6</v>
      </c>
      <c r="B44" s="9"/>
      <c r="C44" s="9"/>
      <c r="D44" s="10"/>
      <c r="E44" s="11" t="str">
        <f t="shared" si="1"/>
        <v/>
      </c>
      <c r="F44" s="6"/>
      <c r="I44" s="1" t="s">
        <v>31</v>
      </c>
      <c r="J44" s="1"/>
      <c r="K44" s="1" t="s">
        <v>32</v>
      </c>
      <c r="L44" s="1"/>
    </row>
    <row r="45" spans="1:16">
      <c r="A45" s="8">
        <v>7</v>
      </c>
      <c r="B45" s="9"/>
      <c r="C45" s="9"/>
      <c r="D45" s="10"/>
      <c r="E45" s="11" t="str">
        <f t="shared" si="1"/>
        <v/>
      </c>
      <c r="F45" s="6"/>
      <c r="G45" s="6"/>
      <c r="H45" s="6"/>
      <c r="I45" s="6"/>
      <c r="J45" s="6"/>
    </row>
    <row r="46" spans="1:16">
      <c r="A46" s="8">
        <v>8</v>
      </c>
      <c r="B46" s="9"/>
      <c r="C46" s="9"/>
      <c r="D46" s="10"/>
      <c r="E46" s="11" t="str">
        <f t="shared" si="1"/>
        <v/>
      </c>
      <c r="F46" s="6"/>
      <c r="G46" s="6"/>
      <c r="H46" s="6"/>
      <c r="I46" s="6"/>
      <c r="J46" s="6"/>
    </row>
    <row r="47" spans="1:16">
      <c r="A47" s="8">
        <v>9</v>
      </c>
      <c r="B47" s="9"/>
      <c r="C47" s="9"/>
      <c r="D47" s="10"/>
      <c r="E47" s="11" t="str">
        <f t="shared" si="1"/>
        <v/>
      </c>
      <c r="F47" s="6"/>
      <c r="G47" s="6"/>
      <c r="H47" s="6"/>
      <c r="I47" s="6"/>
      <c r="J47" s="6"/>
    </row>
    <row r="48" spans="1:16">
      <c r="A48" s="8">
        <v>10</v>
      </c>
      <c r="B48" s="9"/>
      <c r="C48" s="9"/>
      <c r="D48" s="10"/>
      <c r="E48" s="11" t="str">
        <f t="shared" si="1"/>
        <v/>
      </c>
      <c r="F48" s="6"/>
      <c r="G48" s="6"/>
      <c r="H48" s="6"/>
      <c r="I48" s="6"/>
      <c r="J48" s="6"/>
    </row>
    <row r="60" spans="1:4">
      <c r="A60" s="33"/>
      <c r="B60" s="5"/>
      <c r="C60" s="5"/>
      <c r="D60" s="5"/>
    </row>
    <row r="61" spans="1:4">
      <c r="A61" s="34"/>
      <c r="B61" s="29"/>
      <c r="C61" s="29"/>
      <c r="D61" s="27"/>
    </row>
    <row r="62" spans="1:4">
      <c r="A62" s="34"/>
      <c r="B62" s="29"/>
      <c r="C62" s="29"/>
      <c r="D62" s="27"/>
    </row>
    <row r="63" spans="1:4">
      <c r="A63" s="34"/>
      <c r="B63" s="29"/>
      <c r="C63" s="29"/>
      <c r="D63" s="27"/>
    </row>
    <row r="64" spans="1:4">
      <c r="A64" s="34"/>
      <c r="B64" s="29"/>
      <c r="C64" s="29"/>
      <c r="D64" s="27"/>
    </row>
    <row r="65" spans="1:4">
      <c r="A65" s="34"/>
      <c r="B65" s="29"/>
      <c r="C65" s="29"/>
      <c r="D65" s="27"/>
    </row>
    <row r="66" spans="1:4">
      <c r="A66" s="34"/>
      <c r="B66" s="29"/>
      <c r="C66" s="29"/>
      <c r="D66" s="27"/>
    </row>
    <row r="67" spans="1:4">
      <c r="A67" s="34"/>
      <c r="B67" s="29"/>
      <c r="C67" s="29"/>
      <c r="D67" s="27"/>
    </row>
    <row r="68" spans="1:4">
      <c r="A68" s="34"/>
      <c r="B68" s="29"/>
      <c r="C68" s="29"/>
      <c r="D68" s="27"/>
    </row>
    <row r="69" spans="1:4">
      <c r="A69" s="34"/>
      <c r="B69" s="29"/>
      <c r="C69" s="29"/>
      <c r="D69" s="27"/>
    </row>
    <row r="70" spans="1:4">
      <c r="A70" s="34"/>
      <c r="B70" s="29"/>
      <c r="C70" s="29"/>
      <c r="D70" s="27"/>
    </row>
    <row r="71" spans="1:4">
      <c r="A71" s="34"/>
      <c r="B71" s="29"/>
      <c r="C71" s="29"/>
      <c r="D71" s="27"/>
    </row>
    <row r="72" spans="1:4">
      <c r="A72" s="34"/>
      <c r="B72" s="29"/>
      <c r="C72" s="29"/>
      <c r="D72" s="27"/>
    </row>
    <row r="73" spans="1:4">
      <c r="A73" s="34"/>
      <c r="B73" s="29"/>
      <c r="C73" s="29"/>
      <c r="D73" s="27"/>
    </row>
    <row r="74" spans="1:4">
      <c r="A74" s="34"/>
      <c r="B74" s="29"/>
      <c r="C74" s="29"/>
      <c r="D74" s="27"/>
    </row>
    <row r="75" spans="1:4">
      <c r="A75" s="34"/>
      <c r="B75" s="29"/>
      <c r="C75" s="29"/>
      <c r="D75" s="27"/>
    </row>
  </sheetData>
  <sheetProtection algorithmName="SHA-512" hashValue="/H3ANtTkZXN3SrJ1N2EWh0katUBB1iwe7U60xBxlvzkdtQ5tpUbjT44BM1RyJhE1G5TyogM8peiZiWXlNLX7nw==" saltValue="QE8sxQXgLjr5BpsjyOfHsQ==" spinCount="100000" sheet="1" objects="1" scenarios="1"/>
  <mergeCells count="5">
    <mergeCell ref="F2:G2"/>
    <mergeCell ref="A36:E36"/>
    <mergeCell ref="A10:K10"/>
    <mergeCell ref="A37:A38"/>
    <mergeCell ref="D37:D38"/>
  </mergeCells>
  <phoneticPr fontId="24" type="noConversion"/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3:T93"/>
  <sheetViews>
    <sheetView topLeftCell="A31" zoomScale="85" zoomScaleNormal="85" workbookViewId="0">
      <selection activeCell="N66" sqref="L66:N66"/>
    </sheetView>
  </sheetViews>
  <sheetFormatPr baseColWidth="10" defaultColWidth="9.109375" defaultRowHeight="13.2"/>
  <cols>
    <col min="1" max="1" width="4.5546875" style="3" customWidth="1"/>
    <col min="2" max="2" width="9.88671875" style="3" bestFit="1" customWidth="1"/>
    <col min="3" max="3" width="9" style="3" customWidth="1"/>
    <col min="4" max="4" width="13.44140625" style="3" customWidth="1"/>
    <col min="5" max="5" width="12" style="3" customWidth="1"/>
    <col min="6" max="6" width="13.6640625" style="3" bestFit="1" customWidth="1"/>
    <col min="7" max="8" width="12.109375" style="3" customWidth="1"/>
    <col min="9" max="9" width="13.6640625" style="3" bestFit="1" customWidth="1"/>
    <col min="10" max="10" width="9.109375" style="3" customWidth="1"/>
    <col min="11" max="11" width="18" style="3" bestFit="1" customWidth="1"/>
    <col min="12" max="16384" width="9.109375" style="3"/>
  </cols>
  <sheetData>
    <row r="3" spans="1:20">
      <c r="K3" s="473" t="s">
        <v>107</v>
      </c>
      <c r="L3" s="473"/>
      <c r="M3" s="473"/>
      <c r="N3" s="473"/>
      <c r="O3" s="473"/>
      <c r="P3" s="473"/>
      <c r="Q3" s="473"/>
      <c r="R3" s="473"/>
      <c r="S3" s="473"/>
      <c r="T3" s="473"/>
    </row>
    <row r="5" spans="1:20" ht="26.4">
      <c r="A5" s="473" t="s">
        <v>67</v>
      </c>
      <c r="B5" s="5"/>
      <c r="C5" s="15" t="s">
        <v>92</v>
      </c>
      <c r="D5" s="524" t="s">
        <v>93</v>
      </c>
      <c r="E5" s="15" t="s">
        <v>1046</v>
      </c>
      <c r="F5" s="15" t="s">
        <v>68</v>
      </c>
      <c r="G5" s="15" t="s">
        <v>516</v>
      </c>
      <c r="H5" s="5" t="s">
        <v>213</v>
      </c>
      <c r="I5" s="15" t="s">
        <v>214</v>
      </c>
      <c r="K5" s="288"/>
      <c r="L5" s="289" t="str">
        <f t="shared" ref="L5:S5" si="0">IF(L6&lt;0,"N/A",IF(L6&lt;49,"BP - "&amp;VLOOKUP(L6,$A$7:$E$91,3,FALSE),IF(OR(L6=49,L6=51,L6=53),"L1 - "&amp;VLOOKUP(L6,$A$7:$E$91,3,FALSE),IF(OR(L6=50,L6=52,L6=54),"L2 - "&amp;VLOOKUP(L6,$A$7:$E$91,3,FALSE)))))</f>
        <v>BP - 0</v>
      </c>
      <c r="M5" s="289" t="str">
        <f t="shared" si="0"/>
        <v>BP - 0</v>
      </c>
      <c r="N5" s="289" t="str">
        <f t="shared" si="0"/>
        <v>BP - 0</v>
      </c>
      <c r="O5" s="289" t="str">
        <f t="shared" si="0"/>
        <v>BP - 0</v>
      </c>
      <c r="P5" s="289" t="str">
        <f t="shared" si="0"/>
        <v>BP - 0</v>
      </c>
      <c r="Q5" s="289" t="str">
        <f t="shared" si="0"/>
        <v>BP - 0</v>
      </c>
      <c r="R5" s="289" t="str">
        <f t="shared" si="0"/>
        <v>BP - 0</v>
      </c>
      <c r="S5" s="289" t="str">
        <f t="shared" si="0"/>
        <v>BP - 0</v>
      </c>
      <c r="T5" s="290" t="s">
        <v>102</v>
      </c>
    </row>
    <row r="6" spans="1:20" ht="13.8">
      <c r="A6" s="473"/>
      <c r="B6" s="5"/>
      <c r="C6" s="5" t="s">
        <v>50</v>
      </c>
      <c r="D6" s="524"/>
      <c r="E6" s="274" t="s">
        <v>181</v>
      </c>
      <c r="F6" s="5" t="s">
        <v>181</v>
      </c>
      <c r="G6" s="5" t="s">
        <v>181</v>
      </c>
      <c r="H6" s="5" t="s">
        <v>181</v>
      </c>
      <c r="I6" s="5" t="s">
        <v>181</v>
      </c>
      <c r="K6" s="355">
        <v>1</v>
      </c>
      <c r="L6" s="277">
        <v>30</v>
      </c>
      <c r="M6" s="277">
        <v>30</v>
      </c>
      <c r="N6" s="277">
        <v>30</v>
      </c>
      <c r="O6" s="277">
        <v>30</v>
      </c>
      <c r="P6" s="277">
        <v>30</v>
      </c>
      <c r="Q6" s="277">
        <v>30</v>
      </c>
      <c r="R6" s="277">
        <v>30</v>
      </c>
      <c r="S6" s="277">
        <v>30</v>
      </c>
      <c r="T6" s="292"/>
    </row>
    <row r="7" spans="1:20">
      <c r="A7" s="38">
        <v>1</v>
      </c>
      <c r="B7" s="307" t="s">
        <v>517</v>
      </c>
      <c r="C7" s="38">
        <v>0.5</v>
      </c>
      <c r="D7" s="16">
        <v>80565</v>
      </c>
      <c r="E7" s="346">
        <v>-0.01</v>
      </c>
      <c r="F7" s="16">
        <v>8.5999999999999993E-2</v>
      </c>
      <c r="G7" s="16">
        <v>-0.03</v>
      </c>
      <c r="H7" s="38">
        <f>ABS(E7-G7)</f>
        <v>1.9999999999999997E-2</v>
      </c>
      <c r="I7" s="29">
        <f>H7/SQRT(3)</f>
        <v>1.1547005383792514E-2</v>
      </c>
      <c r="K7" s="291" t="s">
        <v>100</v>
      </c>
      <c r="L7" s="277">
        <f t="shared" ref="L7:S7" si="1">IF(L6&lt;0,"N/A",VLOOKUP(L6,$A$7:$E$91,3,FALSE))</f>
        <v>0</v>
      </c>
      <c r="M7" s="277">
        <f t="shared" si="1"/>
        <v>0</v>
      </c>
      <c r="N7" s="277">
        <f t="shared" si="1"/>
        <v>0</v>
      </c>
      <c r="O7" s="277">
        <f t="shared" si="1"/>
        <v>0</v>
      </c>
      <c r="P7" s="277">
        <f t="shared" si="1"/>
        <v>0</v>
      </c>
      <c r="Q7" s="277">
        <f t="shared" si="1"/>
        <v>0</v>
      </c>
      <c r="R7" s="277">
        <f t="shared" si="1"/>
        <v>0</v>
      </c>
      <c r="S7" s="277">
        <f t="shared" si="1"/>
        <v>0</v>
      </c>
      <c r="T7" s="292">
        <f>SUM(L7:S7)</f>
        <v>0</v>
      </c>
    </row>
    <row r="8" spans="1:20">
      <c r="A8" s="16">
        <v>2</v>
      </c>
      <c r="B8" s="38" t="s">
        <v>125</v>
      </c>
      <c r="C8" s="16">
        <v>1</v>
      </c>
      <c r="D8" s="16" t="s">
        <v>153</v>
      </c>
      <c r="E8" s="347">
        <v>4.0000000000000001E-3</v>
      </c>
      <c r="F8" s="16">
        <v>8.5999999999999993E-2</v>
      </c>
      <c r="G8" s="56">
        <v>-7.0000000000000007E-2</v>
      </c>
      <c r="H8" s="38">
        <f t="shared" ref="H8:H35" si="2">ABS(E8-G8)</f>
        <v>7.400000000000001E-2</v>
      </c>
      <c r="I8" s="29">
        <f>H8/SQRT(3)</f>
        <v>4.2723919920032313E-2</v>
      </c>
      <c r="K8" s="293" t="s">
        <v>182</v>
      </c>
      <c r="L8" s="294">
        <f t="shared" ref="L8:S8" si="3">IF(L6&lt;0,"N/A",VLOOKUP(L6,$A$7:$E$91,5,FALSE))</f>
        <v>0</v>
      </c>
      <c r="M8" s="294">
        <f t="shared" si="3"/>
        <v>0</v>
      </c>
      <c r="N8" s="294">
        <f t="shared" si="3"/>
        <v>0</v>
      </c>
      <c r="O8" s="294">
        <f t="shared" si="3"/>
        <v>0</v>
      </c>
      <c r="P8" s="294">
        <f t="shared" si="3"/>
        <v>0</v>
      </c>
      <c r="Q8" s="294">
        <f t="shared" si="3"/>
        <v>0</v>
      </c>
      <c r="R8" s="294">
        <f t="shared" si="3"/>
        <v>0</v>
      </c>
      <c r="S8" s="294">
        <f t="shared" si="3"/>
        <v>0</v>
      </c>
      <c r="T8" s="295">
        <f>SUM(L8:S8)</f>
        <v>0</v>
      </c>
    </row>
    <row r="9" spans="1:20">
      <c r="A9" s="38">
        <v>3</v>
      </c>
      <c r="B9" s="38" t="s">
        <v>126</v>
      </c>
      <c r="C9" s="16">
        <v>1.5</v>
      </c>
      <c r="D9" s="16" t="s">
        <v>154</v>
      </c>
      <c r="E9" s="347">
        <v>3.5999999999999997E-2</v>
      </c>
      <c r="F9" s="16">
        <v>8.5999999999999993E-2</v>
      </c>
      <c r="G9" s="16">
        <v>0.01</v>
      </c>
      <c r="H9" s="38">
        <f t="shared" si="2"/>
        <v>2.5999999999999995E-2</v>
      </c>
      <c r="I9" s="29">
        <f t="shared" ref="I9:I36" si="4">H9/SQRT(3)</f>
        <v>1.5011106998930268E-2</v>
      </c>
      <c r="K9" s="296" t="s">
        <v>215</v>
      </c>
      <c r="L9" s="294">
        <f t="shared" ref="L9:S9" si="5">IF(L6&lt;0,"N/A",VLOOKUP(L6,$A$7:$I$91,6,FALSE))</f>
        <v>0</v>
      </c>
      <c r="M9" s="294">
        <f t="shared" si="5"/>
        <v>0</v>
      </c>
      <c r="N9" s="294">
        <f t="shared" si="5"/>
        <v>0</v>
      </c>
      <c r="O9" s="294">
        <f t="shared" si="5"/>
        <v>0</v>
      </c>
      <c r="P9" s="294">
        <f t="shared" si="5"/>
        <v>0</v>
      </c>
      <c r="Q9" s="294">
        <f t="shared" si="5"/>
        <v>0</v>
      </c>
      <c r="R9" s="294">
        <f t="shared" si="5"/>
        <v>0</v>
      </c>
      <c r="S9" s="294">
        <f t="shared" si="5"/>
        <v>0</v>
      </c>
      <c r="T9" s="295">
        <f>SUM(L9:S9)/2</f>
        <v>0</v>
      </c>
    </row>
    <row r="10" spans="1:20" ht="26.4">
      <c r="A10" s="16">
        <v>4</v>
      </c>
      <c r="B10" s="38" t="s">
        <v>127</v>
      </c>
      <c r="C10" s="16">
        <v>2</v>
      </c>
      <c r="D10" s="16" t="s">
        <v>155</v>
      </c>
      <c r="E10" s="347">
        <v>2.1000000000000001E-2</v>
      </c>
      <c r="F10" s="16">
        <v>8.6999999999999994E-2</v>
      </c>
      <c r="G10" s="16">
        <v>-0.02</v>
      </c>
      <c r="H10" s="38">
        <f t="shared" si="2"/>
        <v>4.1000000000000002E-2</v>
      </c>
      <c r="I10" s="29">
        <f t="shared" si="4"/>
        <v>2.3671361036774658E-2</v>
      </c>
      <c r="K10" s="297" t="s">
        <v>216</v>
      </c>
      <c r="L10" s="298">
        <f>IF(L6&lt;0,"N/A",VLOOKUP(L6,$A$7:$I$36,9,FALSE))</f>
        <v>0</v>
      </c>
      <c r="M10" s="298">
        <f t="shared" ref="M10:S10" si="6">IF(M6&lt;0,"N/A",VLOOKUP(M6,$A$7:$I$91,9,FALSE))</f>
        <v>0</v>
      </c>
      <c r="N10" s="298">
        <f t="shared" si="6"/>
        <v>0</v>
      </c>
      <c r="O10" s="298">
        <f t="shared" si="6"/>
        <v>0</v>
      </c>
      <c r="P10" s="298">
        <f t="shared" si="6"/>
        <v>0</v>
      </c>
      <c r="Q10" s="298">
        <f t="shared" si="6"/>
        <v>0</v>
      </c>
      <c r="R10" s="298">
        <f t="shared" si="6"/>
        <v>0</v>
      </c>
      <c r="S10" s="298">
        <f t="shared" si="6"/>
        <v>0</v>
      </c>
      <c r="T10" s="295">
        <f>SUM(L10:S10)</f>
        <v>0</v>
      </c>
    </row>
    <row r="11" spans="1:20">
      <c r="A11" s="38">
        <v>5</v>
      </c>
      <c r="B11" s="38" t="s">
        <v>128</v>
      </c>
      <c r="C11" s="16">
        <v>2.5</v>
      </c>
      <c r="D11" s="16" t="s">
        <v>156</v>
      </c>
      <c r="E11" s="347">
        <v>-0.02</v>
      </c>
      <c r="F11" s="16">
        <v>8.5999999999999993E-2</v>
      </c>
      <c r="G11" s="16">
        <v>-0.05</v>
      </c>
      <c r="H11" s="38">
        <f t="shared" si="2"/>
        <v>3.0000000000000002E-2</v>
      </c>
      <c r="I11" s="29">
        <f t="shared" si="4"/>
        <v>1.7320508075688777E-2</v>
      </c>
      <c r="K11" s="288"/>
      <c r="L11" s="289" t="str">
        <f t="shared" ref="L11:S11" si="7">IF(L12&lt;0,"N/A",IF(L12&lt;49,"BP - "&amp;VLOOKUP(L12,$A$7:$E$91,3,FALSE),IF(OR(L12=49,L12=51,L12=53),"L1 - "&amp;VLOOKUP(L12,$A$7:$E$91,3,FALSE),IF(OR(L12=50,L12=52,L12=54),"L2 - "&amp;VLOOKUP(L12,$A$7:$E$91,3,FALSE)))))</f>
        <v>BP - 0</v>
      </c>
      <c r="M11" s="289" t="str">
        <f t="shared" si="7"/>
        <v>BP - 0</v>
      </c>
      <c r="N11" s="289" t="str">
        <f t="shared" si="7"/>
        <v>BP - 0</v>
      </c>
      <c r="O11" s="289" t="str">
        <f t="shared" si="7"/>
        <v>BP - 0</v>
      </c>
      <c r="P11" s="289" t="str">
        <f t="shared" si="7"/>
        <v>BP - 0</v>
      </c>
      <c r="Q11" s="289" t="str">
        <f t="shared" si="7"/>
        <v>BP - 0</v>
      </c>
      <c r="R11" s="289" t="str">
        <f t="shared" si="7"/>
        <v>BP - 0</v>
      </c>
      <c r="S11" s="289" t="str">
        <f t="shared" si="7"/>
        <v>BP - 0</v>
      </c>
      <c r="T11" s="290" t="s">
        <v>102</v>
      </c>
    </row>
    <row r="12" spans="1:20">
      <c r="A12" s="16">
        <v>6</v>
      </c>
      <c r="B12" s="38" t="s">
        <v>129</v>
      </c>
      <c r="C12" s="16">
        <v>3</v>
      </c>
      <c r="D12" s="16" t="s">
        <v>157</v>
      </c>
      <c r="E12" s="347">
        <v>0</v>
      </c>
      <c r="F12" s="16">
        <v>8.5999999999999993E-2</v>
      </c>
      <c r="G12" s="16">
        <v>-0.03</v>
      </c>
      <c r="H12" s="38">
        <f t="shared" si="2"/>
        <v>0.03</v>
      </c>
      <c r="I12" s="29">
        <f t="shared" si="4"/>
        <v>1.7320508075688773E-2</v>
      </c>
      <c r="K12" s="355">
        <v>2</v>
      </c>
      <c r="L12" s="277">
        <v>30</v>
      </c>
      <c r="M12" s="277">
        <v>30</v>
      </c>
      <c r="N12" s="277">
        <v>30</v>
      </c>
      <c r="O12" s="277">
        <v>30</v>
      </c>
      <c r="P12" s="277">
        <v>30</v>
      </c>
      <c r="Q12" s="277">
        <v>30</v>
      </c>
      <c r="R12" s="277">
        <v>30</v>
      </c>
      <c r="S12" s="277">
        <v>30</v>
      </c>
      <c r="T12" s="292"/>
    </row>
    <row r="13" spans="1:20">
      <c r="A13" s="38">
        <v>7</v>
      </c>
      <c r="B13" s="38" t="s">
        <v>130</v>
      </c>
      <c r="C13" s="16">
        <v>3.5</v>
      </c>
      <c r="D13" s="16" t="s">
        <v>158</v>
      </c>
      <c r="E13" s="347">
        <v>-3.5999999999999997E-2</v>
      </c>
      <c r="F13" s="16">
        <v>8.5999999999999993E-2</v>
      </c>
      <c r="G13" s="16">
        <v>-0.05</v>
      </c>
      <c r="H13" s="38">
        <f t="shared" si="2"/>
        <v>1.4000000000000005E-2</v>
      </c>
      <c r="I13" s="29">
        <f t="shared" si="4"/>
        <v>8.0829037686547638E-3</v>
      </c>
      <c r="K13" s="291" t="s">
        <v>100</v>
      </c>
      <c r="L13" s="277">
        <f t="shared" ref="L13:S13" si="8">IF(L12&lt;0,"N/A",VLOOKUP(L12,$A$7:$E$91,3,FALSE))</f>
        <v>0</v>
      </c>
      <c r="M13" s="277">
        <f t="shared" si="8"/>
        <v>0</v>
      </c>
      <c r="N13" s="277">
        <f t="shared" si="8"/>
        <v>0</v>
      </c>
      <c r="O13" s="277">
        <f t="shared" si="8"/>
        <v>0</v>
      </c>
      <c r="P13" s="277">
        <f t="shared" si="8"/>
        <v>0</v>
      </c>
      <c r="Q13" s="277">
        <f t="shared" si="8"/>
        <v>0</v>
      </c>
      <c r="R13" s="277">
        <f t="shared" si="8"/>
        <v>0</v>
      </c>
      <c r="S13" s="277">
        <f t="shared" si="8"/>
        <v>0</v>
      </c>
      <c r="T13" s="292">
        <f>SUM(L13:S13)</f>
        <v>0</v>
      </c>
    </row>
    <row r="14" spans="1:20">
      <c r="A14" s="16">
        <v>8</v>
      </c>
      <c r="B14" s="38" t="s">
        <v>131</v>
      </c>
      <c r="C14" s="16">
        <v>4</v>
      </c>
      <c r="D14" s="16" t="s">
        <v>159</v>
      </c>
      <c r="E14" s="347">
        <v>5.0000000000000001E-3</v>
      </c>
      <c r="F14" s="16">
        <v>8.6999999999999994E-2</v>
      </c>
      <c r="G14" s="16">
        <v>0.01</v>
      </c>
      <c r="H14" s="38">
        <f t="shared" si="2"/>
        <v>5.0000000000000001E-3</v>
      </c>
      <c r="I14" s="29">
        <f t="shared" si="4"/>
        <v>2.886751345948129E-3</v>
      </c>
      <c r="K14" s="293" t="s">
        <v>182</v>
      </c>
      <c r="L14" s="299">
        <f t="shared" ref="L14:S14" si="9">IF(L12&lt;0,"N/A",VLOOKUP(L12,$A$7:$E$91,5,FALSE))</f>
        <v>0</v>
      </c>
      <c r="M14" s="299">
        <f t="shared" si="9"/>
        <v>0</v>
      </c>
      <c r="N14" s="299">
        <f t="shared" si="9"/>
        <v>0</v>
      </c>
      <c r="O14" s="299">
        <f t="shared" si="9"/>
        <v>0</v>
      </c>
      <c r="P14" s="299">
        <f t="shared" si="9"/>
        <v>0</v>
      </c>
      <c r="Q14" s="299">
        <f t="shared" si="9"/>
        <v>0</v>
      </c>
      <c r="R14" s="299">
        <f t="shared" si="9"/>
        <v>0</v>
      </c>
      <c r="S14" s="299">
        <f t="shared" si="9"/>
        <v>0</v>
      </c>
      <c r="T14" s="295">
        <f>SUM(L14:S14)</f>
        <v>0</v>
      </c>
    </row>
    <row r="15" spans="1:20">
      <c r="A15" s="38">
        <v>9</v>
      </c>
      <c r="B15" s="38" t="s">
        <v>132</v>
      </c>
      <c r="C15" s="16">
        <v>4.5</v>
      </c>
      <c r="D15" s="16" t="s">
        <v>160</v>
      </c>
      <c r="E15" s="347">
        <v>0.05</v>
      </c>
      <c r="F15" s="16">
        <v>8.5999999999999993E-2</v>
      </c>
      <c r="G15" s="16">
        <v>0.03</v>
      </c>
      <c r="H15" s="38">
        <f t="shared" si="2"/>
        <v>2.0000000000000004E-2</v>
      </c>
      <c r="I15" s="29">
        <f t="shared" si="4"/>
        <v>1.1547005383792518E-2</v>
      </c>
      <c r="K15" s="296" t="s">
        <v>215</v>
      </c>
      <c r="L15" s="300">
        <f t="shared" ref="L15:S15" si="10">IF(L12&lt;0,"N/A",VLOOKUP(L12,$A$7:$I$91,6,FALSE))</f>
        <v>0</v>
      </c>
      <c r="M15" s="300">
        <f t="shared" si="10"/>
        <v>0</v>
      </c>
      <c r="N15" s="300">
        <f t="shared" si="10"/>
        <v>0</v>
      </c>
      <c r="O15" s="300">
        <f t="shared" si="10"/>
        <v>0</v>
      </c>
      <c r="P15" s="300">
        <f t="shared" si="10"/>
        <v>0</v>
      </c>
      <c r="Q15" s="300">
        <f t="shared" si="10"/>
        <v>0</v>
      </c>
      <c r="R15" s="300">
        <f t="shared" si="10"/>
        <v>0</v>
      </c>
      <c r="S15" s="300">
        <f t="shared" si="10"/>
        <v>0</v>
      </c>
      <c r="T15" s="295">
        <f>SUM(L15:S15)/2</f>
        <v>0</v>
      </c>
    </row>
    <row r="16" spans="1:20" ht="26.4">
      <c r="A16" s="16">
        <v>10</v>
      </c>
      <c r="B16" s="38" t="s">
        <v>133</v>
      </c>
      <c r="C16" s="16">
        <v>5</v>
      </c>
      <c r="D16" s="16" t="s">
        <v>161</v>
      </c>
      <c r="E16" s="347">
        <v>4.8000000000000001E-2</v>
      </c>
      <c r="F16" s="16">
        <v>8.5999999999999993E-2</v>
      </c>
      <c r="G16" s="56">
        <v>-0.04</v>
      </c>
      <c r="H16" s="38">
        <f t="shared" si="2"/>
        <v>8.7999999999999995E-2</v>
      </c>
      <c r="I16" s="29">
        <f t="shared" si="4"/>
        <v>5.0806823688687067E-2</v>
      </c>
      <c r="K16" s="297" t="s">
        <v>216</v>
      </c>
      <c r="L16" s="298">
        <f t="shared" ref="L16:S16" si="11">IF(L12&lt;0,"N/A",VLOOKUP(L12,$A$7:$I$91,9,FALSE))</f>
        <v>0</v>
      </c>
      <c r="M16" s="298">
        <f t="shared" si="11"/>
        <v>0</v>
      </c>
      <c r="N16" s="298">
        <f t="shared" si="11"/>
        <v>0</v>
      </c>
      <c r="O16" s="298">
        <f t="shared" si="11"/>
        <v>0</v>
      </c>
      <c r="P16" s="298">
        <f t="shared" si="11"/>
        <v>0</v>
      </c>
      <c r="Q16" s="298">
        <f t="shared" si="11"/>
        <v>0</v>
      </c>
      <c r="R16" s="298">
        <f t="shared" si="11"/>
        <v>0</v>
      </c>
      <c r="S16" s="298">
        <f t="shared" si="11"/>
        <v>0</v>
      </c>
      <c r="T16" s="295">
        <f>SUM(L16:S16)</f>
        <v>0</v>
      </c>
    </row>
    <row r="17" spans="1:20">
      <c r="A17" s="38">
        <v>11</v>
      </c>
      <c r="B17" s="38" t="s">
        <v>134</v>
      </c>
      <c r="C17" s="16">
        <v>5.5</v>
      </c>
      <c r="D17" s="16" t="s">
        <v>162</v>
      </c>
      <c r="E17" s="347">
        <v>0.02</v>
      </c>
      <c r="F17" s="16">
        <v>8.5999999999999993E-2</v>
      </c>
      <c r="G17" s="56">
        <v>-0.02</v>
      </c>
      <c r="H17" s="38">
        <f t="shared" si="2"/>
        <v>0.04</v>
      </c>
      <c r="I17" s="29">
        <f t="shared" si="4"/>
        <v>2.3094010767585032E-2</v>
      </c>
      <c r="K17" s="356"/>
      <c r="L17" s="289" t="str">
        <f t="shared" ref="L17:S17" si="12">IF(L18&lt;0,"N/A",IF(L18&lt;49,"BP - "&amp;VLOOKUP(L18,$A$7:$E$91,3,FALSE),IF(OR(L18=49,L18=51,L18=53),"L1 - "&amp;VLOOKUP(L18,$A$7:$E$91,3,FALSE),IF(OR(L18=50,L18=52,L18=54),"L2 - "&amp;VLOOKUP(L18,$A$7:$E$91,3,FALSE)))))</f>
        <v>BP - 0</v>
      </c>
      <c r="M17" s="289" t="str">
        <f t="shared" si="12"/>
        <v>BP - 0</v>
      </c>
      <c r="N17" s="289" t="str">
        <f t="shared" si="12"/>
        <v>BP - 0</v>
      </c>
      <c r="O17" s="289" t="str">
        <f t="shared" si="12"/>
        <v>BP - 0</v>
      </c>
      <c r="P17" s="289" t="str">
        <f t="shared" si="12"/>
        <v>BP - 0</v>
      </c>
      <c r="Q17" s="289" t="str">
        <f t="shared" si="12"/>
        <v>BP - 0</v>
      </c>
      <c r="R17" s="289" t="str">
        <f t="shared" si="12"/>
        <v>BP - 0</v>
      </c>
      <c r="S17" s="289" t="str">
        <f t="shared" si="12"/>
        <v>BP - 0</v>
      </c>
      <c r="T17" s="290" t="s">
        <v>102</v>
      </c>
    </row>
    <row r="18" spans="1:20">
      <c r="A18" s="16">
        <v>12</v>
      </c>
      <c r="B18" s="38" t="s">
        <v>135</v>
      </c>
      <c r="C18" s="16">
        <v>6</v>
      </c>
      <c r="D18" s="16" t="s">
        <v>163</v>
      </c>
      <c r="E18" s="347">
        <v>0</v>
      </c>
      <c r="F18" s="16">
        <v>8.5999999999999993E-2</v>
      </c>
      <c r="G18" s="16">
        <v>0.11</v>
      </c>
      <c r="H18" s="38">
        <f t="shared" si="2"/>
        <v>0.11</v>
      </c>
      <c r="I18" s="29">
        <f t="shared" si="4"/>
        <v>6.3508529610858844E-2</v>
      </c>
      <c r="K18" s="355">
        <v>3</v>
      </c>
      <c r="L18" s="277">
        <v>30</v>
      </c>
      <c r="M18" s="277">
        <v>30</v>
      </c>
      <c r="N18" s="277">
        <v>30</v>
      </c>
      <c r="O18" s="277">
        <v>30</v>
      </c>
      <c r="P18" s="277">
        <v>30</v>
      </c>
      <c r="Q18" s="277">
        <v>30</v>
      </c>
      <c r="R18" s="277">
        <v>30</v>
      </c>
      <c r="S18" s="277">
        <v>30</v>
      </c>
      <c r="T18" s="292"/>
    </row>
    <row r="19" spans="1:20">
      <c r="A19" s="38">
        <v>13</v>
      </c>
      <c r="B19" s="38" t="s">
        <v>136</v>
      </c>
      <c r="C19" s="16">
        <v>6.5</v>
      </c>
      <c r="D19" s="16" t="s">
        <v>164</v>
      </c>
      <c r="E19" s="347">
        <v>1.7999999999999999E-2</v>
      </c>
      <c r="F19" s="16">
        <v>8.5999999999999993E-2</v>
      </c>
      <c r="G19" s="16">
        <v>0.04</v>
      </c>
      <c r="H19" s="38">
        <f t="shared" si="2"/>
        <v>2.2000000000000002E-2</v>
      </c>
      <c r="I19" s="29">
        <f t="shared" si="4"/>
        <v>1.2701705922171768E-2</v>
      </c>
      <c r="K19" s="291" t="s">
        <v>100</v>
      </c>
      <c r="L19" s="277">
        <f t="shared" ref="L19:S19" si="13">IF(L18&lt;0,"N/A",VLOOKUP(L18,$A$7:$E$91,3,FALSE))</f>
        <v>0</v>
      </c>
      <c r="M19" s="277">
        <f t="shared" si="13"/>
        <v>0</v>
      </c>
      <c r="N19" s="277">
        <f t="shared" si="13"/>
        <v>0</v>
      </c>
      <c r="O19" s="277">
        <f t="shared" si="13"/>
        <v>0</v>
      </c>
      <c r="P19" s="277">
        <f t="shared" si="13"/>
        <v>0</v>
      </c>
      <c r="Q19" s="277">
        <f t="shared" si="13"/>
        <v>0</v>
      </c>
      <c r="R19" s="277">
        <f t="shared" si="13"/>
        <v>0</v>
      </c>
      <c r="S19" s="277">
        <f t="shared" si="13"/>
        <v>0</v>
      </c>
      <c r="T19" s="292">
        <f>SUM(L19:S19)</f>
        <v>0</v>
      </c>
    </row>
    <row r="20" spans="1:20">
      <c r="A20" s="16">
        <v>14</v>
      </c>
      <c r="B20" s="38" t="s">
        <v>137</v>
      </c>
      <c r="C20" s="16">
        <v>7</v>
      </c>
      <c r="D20" s="16" t="s">
        <v>165</v>
      </c>
      <c r="E20" s="347">
        <v>6.0000000000000001E-3</v>
      </c>
      <c r="F20" s="16">
        <v>8.6999999999999994E-2</v>
      </c>
      <c r="G20" s="16">
        <v>0.01</v>
      </c>
      <c r="H20" s="38">
        <f t="shared" si="2"/>
        <v>4.0000000000000001E-3</v>
      </c>
      <c r="I20" s="29">
        <f t="shared" si="4"/>
        <v>2.3094010767585032E-3</v>
      </c>
      <c r="K20" s="293" t="s">
        <v>182</v>
      </c>
      <c r="L20" s="299">
        <f t="shared" ref="L20:S20" si="14">IF(L18&lt;0,"N/A",VLOOKUP(L18,$A$7:$E$91,5,FALSE))</f>
        <v>0</v>
      </c>
      <c r="M20" s="299">
        <f t="shared" si="14"/>
        <v>0</v>
      </c>
      <c r="N20" s="299">
        <f t="shared" si="14"/>
        <v>0</v>
      </c>
      <c r="O20" s="299">
        <f t="shared" si="14"/>
        <v>0</v>
      </c>
      <c r="P20" s="299">
        <f t="shared" si="14"/>
        <v>0</v>
      </c>
      <c r="Q20" s="299">
        <f t="shared" si="14"/>
        <v>0</v>
      </c>
      <c r="R20" s="299">
        <f t="shared" si="14"/>
        <v>0</v>
      </c>
      <c r="S20" s="299">
        <f t="shared" si="14"/>
        <v>0</v>
      </c>
      <c r="T20" s="295">
        <f>SUM(L20:S20)</f>
        <v>0</v>
      </c>
    </row>
    <row r="21" spans="1:20">
      <c r="A21" s="38">
        <v>15</v>
      </c>
      <c r="B21" s="38" t="s">
        <v>138</v>
      </c>
      <c r="C21" s="16">
        <v>7.5</v>
      </c>
      <c r="D21" s="16" t="s">
        <v>166</v>
      </c>
      <c r="E21" s="347">
        <v>-4.0000000000000001E-3</v>
      </c>
      <c r="F21" s="16">
        <v>8.5999999999999993E-2</v>
      </c>
      <c r="G21" s="16">
        <v>0.03</v>
      </c>
      <c r="H21" s="38">
        <f t="shared" si="2"/>
        <v>3.4000000000000002E-2</v>
      </c>
      <c r="I21" s="29">
        <f t="shared" si="4"/>
        <v>1.9629909152447278E-2</v>
      </c>
      <c r="K21" s="296" t="s">
        <v>215</v>
      </c>
      <c r="L21" s="300">
        <f t="shared" ref="L21:S21" si="15">IF(L18&lt;0,"N/A",VLOOKUP(L18,$A$7:$I$91,6,FALSE))</f>
        <v>0</v>
      </c>
      <c r="M21" s="300">
        <f t="shared" si="15"/>
        <v>0</v>
      </c>
      <c r="N21" s="300">
        <f t="shared" si="15"/>
        <v>0</v>
      </c>
      <c r="O21" s="300">
        <f t="shared" si="15"/>
        <v>0</v>
      </c>
      <c r="P21" s="300">
        <f t="shared" si="15"/>
        <v>0</v>
      </c>
      <c r="Q21" s="300">
        <f t="shared" si="15"/>
        <v>0</v>
      </c>
      <c r="R21" s="300">
        <f t="shared" si="15"/>
        <v>0</v>
      </c>
      <c r="S21" s="300">
        <f t="shared" si="15"/>
        <v>0</v>
      </c>
      <c r="T21" s="295">
        <f>SUM(L21:S21)/2</f>
        <v>0</v>
      </c>
    </row>
    <row r="22" spans="1:20" ht="26.4">
      <c r="A22" s="16">
        <v>16</v>
      </c>
      <c r="B22" s="38" t="s">
        <v>139</v>
      </c>
      <c r="C22" s="16">
        <v>8</v>
      </c>
      <c r="D22" s="16" t="s">
        <v>167</v>
      </c>
      <c r="E22" s="347">
        <v>-2.4E-2</v>
      </c>
      <c r="F22" s="16">
        <v>8.6999999999999994E-2</v>
      </c>
      <c r="G22" s="16">
        <v>0.02</v>
      </c>
      <c r="H22" s="38">
        <f t="shared" si="2"/>
        <v>4.3999999999999997E-2</v>
      </c>
      <c r="I22" s="29">
        <f t="shared" si="4"/>
        <v>2.5403411844343533E-2</v>
      </c>
      <c r="K22" s="297" t="s">
        <v>216</v>
      </c>
      <c r="L22" s="298">
        <f t="shared" ref="L22:S22" si="16">IF(L18&lt;0,"N/A",VLOOKUP(L18,$A$7:$I$91,9,FALSE))</f>
        <v>0</v>
      </c>
      <c r="M22" s="298">
        <f t="shared" si="16"/>
        <v>0</v>
      </c>
      <c r="N22" s="298">
        <f t="shared" si="16"/>
        <v>0</v>
      </c>
      <c r="O22" s="298">
        <f t="shared" si="16"/>
        <v>0</v>
      </c>
      <c r="P22" s="298">
        <f t="shared" si="16"/>
        <v>0</v>
      </c>
      <c r="Q22" s="298">
        <f t="shared" si="16"/>
        <v>0</v>
      </c>
      <c r="R22" s="298">
        <f t="shared" si="16"/>
        <v>0</v>
      </c>
      <c r="S22" s="298">
        <f t="shared" si="16"/>
        <v>0</v>
      </c>
      <c r="T22" s="295">
        <f>SUM(L22:S22)</f>
        <v>0</v>
      </c>
    </row>
    <row r="23" spans="1:20">
      <c r="A23" s="38">
        <v>17</v>
      </c>
      <c r="B23" s="38" t="s">
        <v>140</v>
      </c>
      <c r="C23" s="16">
        <v>8.5</v>
      </c>
      <c r="D23" s="16" t="s">
        <v>168</v>
      </c>
      <c r="E23" s="347">
        <v>2.4E-2</v>
      </c>
      <c r="F23" s="16">
        <v>8.6999999999999994E-2</v>
      </c>
      <c r="G23" s="16">
        <v>0.04</v>
      </c>
      <c r="H23" s="38">
        <f t="shared" si="2"/>
        <v>1.6E-2</v>
      </c>
      <c r="I23" s="29">
        <f t="shared" si="4"/>
        <v>9.2376043070340128E-3</v>
      </c>
      <c r="K23" s="288"/>
      <c r="L23" s="289" t="str">
        <f t="shared" ref="L23:S23" si="17">IF(L24&lt;0,"N/A",IF(L24&lt;49,"BP - "&amp;VLOOKUP(L24,$A$7:$E$91,3,FALSE),IF(OR(L24=49,L24=51,L24=53),"L1 - "&amp;VLOOKUP(L24,$A$7:$E$91,3,FALSE),IF(OR(L24=50,L24=52,L24=54),"L2 - "&amp;VLOOKUP(L24,$A$7:$E$91,3,FALSE)))))</f>
        <v>BP - 0</v>
      </c>
      <c r="M23" s="289" t="str">
        <f t="shared" si="17"/>
        <v>BP - 0</v>
      </c>
      <c r="N23" s="289" t="str">
        <f t="shared" si="17"/>
        <v>BP - 0</v>
      </c>
      <c r="O23" s="289" t="str">
        <f t="shared" si="17"/>
        <v>BP - 0</v>
      </c>
      <c r="P23" s="289" t="str">
        <f t="shared" si="17"/>
        <v>BP - 0</v>
      </c>
      <c r="Q23" s="289" t="str">
        <f t="shared" si="17"/>
        <v>BP - 0</v>
      </c>
      <c r="R23" s="289" t="str">
        <f t="shared" si="17"/>
        <v>BP - 0</v>
      </c>
      <c r="S23" s="289" t="str">
        <f t="shared" si="17"/>
        <v>BP - 0</v>
      </c>
      <c r="T23" s="290" t="s">
        <v>102</v>
      </c>
    </row>
    <row r="24" spans="1:20">
      <c r="A24" s="16">
        <v>18</v>
      </c>
      <c r="B24" s="38" t="s">
        <v>141</v>
      </c>
      <c r="C24" s="16">
        <v>9</v>
      </c>
      <c r="D24" s="16" t="s">
        <v>169</v>
      </c>
      <c r="E24" s="347">
        <v>4.3999999999999997E-2</v>
      </c>
      <c r="F24" s="16">
        <v>8.6999999999999994E-2</v>
      </c>
      <c r="G24" s="16">
        <v>0</v>
      </c>
      <c r="H24" s="38">
        <f t="shared" si="2"/>
        <v>4.3999999999999997E-2</v>
      </c>
      <c r="I24" s="29">
        <f t="shared" si="4"/>
        <v>2.5403411844343533E-2</v>
      </c>
      <c r="K24" s="355">
        <v>4</v>
      </c>
      <c r="L24" s="277">
        <v>30</v>
      </c>
      <c r="M24" s="277">
        <v>30</v>
      </c>
      <c r="N24" s="277">
        <v>30</v>
      </c>
      <c r="O24" s="277">
        <v>30</v>
      </c>
      <c r="P24" s="277">
        <v>30</v>
      </c>
      <c r="Q24" s="277">
        <v>30</v>
      </c>
      <c r="R24" s="277">
        <v>30</v>
      </c>
      <c r="S24" s="277">
        <v>30</v>
      </c>
      <c r="T24" s="292"/>
    </row>
    <row r="25" spans="1:20">
      <c r="A25" s="38">
        <v>19</v>
      </c>
      <c r="B25" s="38" t="s">
        <v>142</v>
      </c>
      <c r="C25" s="16">
        <v>9.5</v>
      </c>
      <c r="D25" s="16" t="s">
        <v>170</v>
      </c>
      <c r="E25" s="347">
        <v>3.5999999999999997E-2</v>
      </c>
      <c r="F25" s="16">
        <v>8.6999999999999994E-2</v>
      </c>
      <c r="G25" s="16">
        <v>0.06</v>
      </c>
      <c r="H25" s="38">
        <f t="shared" si="2"/>
        <v>2.4E-2</v>
      </c>
      <c r="I25" s="29">
        <f t="shared" si="4"/>
        <v>1.3856406460551019E-2</v>
      </c>
      <c r="K25" s="291" t="s">
        <v>100</v>
      </c>
      <c r="L25" s="277">
        <f t="shared" ref="L25:S25" si="18">IF(L24&lt;0,"N/A",VLOOKUP(L24,$A$7:$E$91,3,FALSE))</f>
        <v>0</v>
      </c>
      <c r="M25" s="277">
        <f t="shared" si="18"/>
        <v>0</v>
      </c>
      <c r="N25" s="277">
        <f t="shared" si="18"/>
        <v>0</v>
      </c>
      <c r="O25" s="277">
        <f t="shared" si="18"/>
        <v>0</v>
      </c>
      <c r="P25" s="277">
        <f t="shared" si="18"/>
        <v>0</v>
      </c>
      <c r="Q25" s="277">
        <f t="shared" si="18"/>
        <v>0</v>
      </c>
      <c r="R25" s="277">
        <f t="shared" si="18"/>
        <v>0</v>
      </c>
      <c r="S25" s="277">
        <f t="shared" si="18"/>
        <v>0</v>
      </c>
      <c r="T25" s="292">
        <f>SUM(L25:S25)</f>
        <v>0</v>
      </c>
    </row>
    <row r="26" spans="1:20">
      <c r="A26" s="16">
        <v>20</v>
      </c>
      <c r="B26" s="38" t="s">
        <v>143</v>
      </c>
      <c r="C26" s="16">
        <v>10</v>
      </c>
      <c r="D26" s="16" t="s">
        <v>171</v>
      </c>
      <c r="E26" s="347">
        <v>7.1999999999999995E-2</v>
      </c>
      <c r="F26" s="16">
        <v>8.6999999999999994E-2</v>
      </c>
      <c r="G26" s="16">
        <v>0.05</v>
      </c>
      <c r="H26" s="38">
        <f t="shared" si="2"/>
        <v>2.1999999999999992E-2</v>
      </c>
      <c r="I26" s="29">
        <f t="shared" si="4"/>
        <v>1.2701705922171763E-2</v>
      </c>
      <c r="K26" s="293" t="s">
        <v>182</v>
      </c>
      <c r="L26" s="299">
        <f t="shared" ref="L26:S26" si="19">IF(L24&lt;0,"N/A",VLOOKUP(L24,$A$7:$E$91,5,FALSE))</f>
        <v>0</v>
      </c>
      <c r="M26" s="299">
        <f t="shared" si="19"/>
        <v>0</v>
      </c>
      <c r="N26" s="299">
        <f t="shared" si="19"/>
        <v>0</v>
      </c>
      <c r="O26" s="299">
        <f t="shared" si="19"/>
        <v>0</v>
      </c>
      <c r="P26" s="299">
        <f t="shared" si="19"/>
        <v>0</v>
      </c>
      <c r="Q26" s="299">
        <f t="shared" si="19"/>
        <v>0</v>
      </c>
      <c r="R26" s="299">
        <f t="shared" si="19"/>
        <v>0</v>
      </c>
      <c r="S26" s="299">
        <f t="shared" si="19"/>
        <v>0</v>
      </c>
      <c r="T26" s="295">
        <f>SUM(L26:S26)</f>
        <v>0</v>
      </c>
    </row>
    <row r="27" spans="1:20">
      <c r="A27" s="38">
        <v>21</v>
      </c>
      <c r="B27" s="38" t="s">
        <v>144</v>
      </c>
      <c r="C27" s="16">
        <v>20</v>
      </c>
      <c r="D27" s="16" t="s">
        <v>172</v>
      </c>
      <c r="E27" s="347">
        <v>-1.2E-2</v>
      </c>
      <c r="F27" s="16">
        <v>9.4E-2</v>
      </c>
      <c r="G27" s="16">
        <v>0</v>
      </c>
      <c r="H27" s="38">
        <f t="shared" si="2"/>
        <v>1.2E-2</v>
      </c>
      <c r="I27" s="29">
        <f t="shared" si="4"/>
        <v>6.9282032302755096E-3</v>
      </c>
      <c r="K27" s="296" t="s">
        <v>215</v>
      </c>
      <c r="L27" s="300">
        <f t="shared" ref="L27:S27" si="20">IF(L24&lt;0,"N/A",VLOOKUP(L24,$A$7:$I$91,6,FALSE))</f>
        <v>0</v>
      </c>
      <c r="M27" s="300">
        <f t="shared" si="20"/>
        <v>0</v>
      </c>
      <c r="N27" s="300">
        <f t="shared" si="20"/>
        <v>0</v>
      </c>
      <c r="O27" s="300">
        <f t="shared" si="20"/>
        <v>0</v>
      </c>
      <c r="P27" s="300">
        <f t="shared" si="20"/>
        <v>0</v>
      </c>
      <c r="Q27" s="300">
        <f t="shared" si="20"/>
        <v>0</v>
      </c>
      <c r="R27" s="300">
        <f t="shared" si="20"/>
        <v>0</v>
      </c>
      <c r="S27" s="300">
        <f t="shared" si="20"/>
        <v>0</v>
      </c>
      <c r="T27" s="295">
        <f>SUM(L27:S27)/2</f>
        <v>0</v>
      </c>
    </row>
    <row r="28" spans="1:20" ht="26.4">
      <c r="A28" s="16">
        <v>22</v>
      </c>
      <c r="B28" s="38" t="s">
        <v>145</v>
      </c>
      <c r="C28" s="16">
        <v>30</v>
      </c>
      <c r="D28" s="16" t="s">
        <v>173</v>
      </c>
      <c r="E28" s="347">
        <v>0.09</v>
      </c>
      <c r="F28" s="16">
        <v>0.12</v>
      </c>
      <c r="G28" s="16">
        <v>0.13</v>
      </c>
      <c r="H28" s="38">
        <f t="shared" si="2"/>
        <v>4.0000000000000008E-2</v>
      </c>
      <c r="I28" s="29">
        <f t="shared" si="4"/>
        <v>2.3094010767585035E-2</v>
      </c>
      <c r="K28" s="297" t="s">
        <v>216</v>
      </c>
      <c r="L28" s="298">
        <f t="shared" ref="L28:S28" si="21">IF(L24&lt;0,"N/A",VLOOKUP(L24,$A$7:$I$91,9,FALSE))</f>
        <v>0</v>
      </c>
      <c r="M28" s="298">
        <f t="shared" si="21"/>
        <v>0</v>
      </c>
      <c r="N28" s="298">
        <f t="shared" si="21"/>
        <v>0</v>
      </c>
      <c r="O28" s="298">
        <f t="shared" si="21"/>
        <v>0</v>
      </c>
      <c r="P28" s="298">
        <f t="shared" si="21"/>
        <v>0</v>
      </c>
      <c r="Q28" s="298">
        <f t="shared" si="21"/>
        <v>0</v>
      </c>
      <c r="R28" s="298">
        <f t="shared" si="21"/>
        <v>0</v>
      </c>
      <c r="S28" s="298">
        <f t="shared" si="21"/>
        <v>0</v>
      </c>
      <c r="T28" s="295">
        <f>SUM(L28:S28)</f>
        <v>0</v>
      </c>
    </row>
    <row r="29" spans="1:20">
      <c r="A29" s="38">
        <v>23</v>
      </c>
      <c r="B29" s="38" t="s">
        <v>146</v>
      </c>
      <c r="C29" s="16">
        <v>40</v>
      </c>
      <c r="D29" s="16" t="s">
        <v>174</v>
      </c>
      <c r="E29" s="347">
        <v>0.25</v>
      </c>
      <c r="F29" s="16">
        <v>0.13</v>
      </c>
      <c r="G29" s="16">
        <v>0.15</v>
      </c>
      <c r="H29" s="38">
        <f t="shared" si="2"/>
        <v>0.1</v>
      </c>
      <c r="I29" s="29">
        <f t="shared" si="4"/>
        <v>5.7735026918962581E-2</v>
      </c>
      <c r="K29" s="288"/>
      <c r="L29" s="289" t="str">
        <f t="shared" ref="L29:S29" si="22">IF(L30&lt;0,"N/A",IF(L30&lt;49,"BP - "&amp;VLOOKUP(L30,$A$7:$E$91,3,FALSE),IF(OR(L30=49,L30=51,L30=53),"L1 - "&amp;VLOOKUP(L30,$A$7:$E$91,3,FALSE),IF(OR(L30=50,L30=52,L30=54),"L2 - "&amp;VLOOKUP(L30,$A$7:$E$91,3,FALSE)))))</f>
        <v>BP - 0</v>
      </c>
      <c r="M29" s="289" t="str">
        <f t="shared" si="22"/>
        <v>BP - 0</v>
      </c>
      <c r="N29" s="289" t="str">
        <f t="shared" si="22"/>
        <v>BP - 0</v>
      </c>
      <c r="O29" s="289" t="str">
        <f t="shared" si="22"/>
        <v>BP - 0</v>
      </c>
      <c r="P29" s="289" t="str">
        <f t="shared" si="22"/>
        <v>BP - 0</v>
      </c>
      <c r="Q29" s="289" t="str">
        <f t="shared" si="22"/>
        <v>BP - 0</v>
      </c>
      <c r="R29" s="289" t="str">
        <f t="shared" si="22"/>
        <v>BP - 0</v>
      </c>
      <c r="S29" s="289" t="str">
        <f t="shared" si="22"/>
        <v>BP - 0</v>
      </c>
      <c r="T29" s="290" t="s">
        <v>102</v>
      </c>
    </row>
    <row r="30" spans="1:20">
      <c r="A30" s="16">
        <v>24</v>
      </c>
      <c r="B30" s="38" t="s">
        <v>147</v>
      </c>
      <c r="C30" s="16">
        <v>50</v>
      </c>
      <c r="D30" s="16" t="s">
        <v>175</v>
      </c>
      <c r="E30" s="347">
        <v>0.12</v>
      </c>
      <c r="F30" s="16">
        <v>0.15</v>
      </c>
      <c r="G30" s="16">
        <v>0.22</v>
      </c>
      <c r="H30" s="38">
        <f t="shared" si="2"/>
        <v>0.1</v>
      </c>
      <c r="I30" s="29">
        <f t="shared" si="4"/>
        <v>5.7735026918962581E-2</v>
      </c>
      <c r="K30" s="355">
        <v>5</v>
      </c>
      <c r="L30" s="277">
        <v>30</v>
      </c>
      <c r="M30" s="277">
        <v>30</v>
      </c>
      <c r="N30" s="277">
        <v>30</v>
      </c>
      <c r="O30" s="277">
        <v>30</v>
      </c>
      <c r="P30" s="277">
        <v>30</v>
      </c>
      <c r="Q30" s="277">
        <v>30</v>
      </c>
      <c r="R30" s="277">
        <v>30</v>
      </c>
      <c r="S30" s="277">
        <v>30</v>
      </c>
      <c r="T30" s="292"/>
    </row>
    <row r="31" spans="1:20">
      <c r="A31" s="38">
        <v>25</v>
      </c>
      <c r="B31" s="38" t="s">
        <v>148</v>
      </c>
      <c r="C31" s="16">
        <v>60</v>
      </c>
      <c r="D31" s="16" t="s">
        <v>176</v>
      </c>
      <c r="E31" s="347">
        <v>0.23</v>
      </c>
      <c r="F31" s="16">
        <v>0.16</v>
      </c>
      <c r="G31" s="16">
        <v>7.0000000000000007E-2</v>
      </c>
      <c r="H31" s="38">
        <f t="shared" si="2"/>
        <v>0.16</v>
      </c>
      <c r="I31" s="29">
        <f t="shared" si="4"/>
        <v>9.2376043070340128E-2</v>
      </c>
      <c r="K31" s="291" t="s">
        <v>183</v>
      </c>
      <c r="L31" s="277">
        <f t="shared" ref="L31:S31" si="23">IF(L30&lt;0,"N/A",VLOOKUP(L30,$A$7:$E$91,3,FALSE))</f>
        <v>0</v>
      </c>
      <c r="M31" s="277">
        <f t="shared" si="23"/>
        <v>0</v>
      </c>
      <c r="N31" s="277">
        <f t="shared" si="23"/>
        <v>0</v>
      </c>
      <c r="O31" s="277">
        <f t="shared" si="23"/>
        <v>0</v>
      </c>
      <c r="P31" s="277">
        <f t="shared" si="23"/>
        <v>0</v>
      </c>
      <c r="Q31" s="277">
        <f t="shared" si="23"/>
        <v>0</v>
      </c>
      <c r="R31" s="277">
        <f t="shared" si="23"/>
        <v>0</v>
      </c>
      <c r="S31" s="277">
        <f t="shared" si="23"/>
        <v>0</v>
      </c>
      <c r="T31" s="292">
        <f>SUM(L31:S31)</f>
        <v>0</v>
      </c>
    </row>
    <row r="32" spans="1:20">
      <c r="A32" s="16">
        <v>26</v>
      </c>
      <c r="B32" s="38" t="s">
        <v>149</v>
      </c>
      <c r="C32" s="16">
        <v>70</v>
      </c>
      <c r="D32" s="16" t="s">
        <v>177</v>
      </c>
      <c r="E32" s="347">
        <v>0.02</v>
      </c>
      <c r="F32" s="16">
        <v>0.17</v>
      </c>
      <c r="G32" s="16">
        <v>-0.06</v>
      </c>
      <c r="H32" s="38">
        <f t="shared" si="2"/>
        <v>0.08</v>
      </c>
      <c r="I32" s="29">
        <f t="shared" si="4"/>
        <v>4.6188021535170064E-2</v>
      </c>
      <c r="K32" s="293" t="s">
        <v>101</v>
      </c>
      <c r="L32" s="299">
        <f t="shared" ref="L32:S32" si="24">IF(L30&lt;0,"N/A",VLOOKUP(L30,$A$7:$E$91,5,FALSE))</f>
        <v>0</v>
      </c>
      <c r="M32" s="299">
        <f t="shared" si="24"/>
        <v>0</v>
      </c>
      <c r="N32" s="299">
        <f t="shared" si="24"/>
        <v>0</v>
      </c>
      <c r="O32" s="299">
        <f t="shared" si="24"/>
        <v>0</v>
      </c>
      <c r="P32" s="299">
        <f t="shared" si="24"/>
        <v>0</v>
      </c>
      <c r="Q32" s="299">
        <f t="shared" si="24"/>
        <v>0</v>
      </c>
      <c r="R32" s="299">
        <f t="shared" si="24"/>
        <v>0</v>
      </c>
      <c r="S32" s="299">
        <f t="shared" si="24"/>
        <v>0</v>
      </c>
      <c r="T32" s="295">
        <f>SUM(L32:S32)</f>
        <v>0</v>
      </c>
    </row>
    <row r="33" spans="1:20">
      <c r="A33" s="38">
        <v>27</v>
      </c>
      <c r="B33" s="38" t="s">
        <v>150</v>
      </c>
      <c r="C33" s="16">
        <v>80</v>
      </c>
      <c r="D33" s="16" t="s">
        <v>178</v>
      </c>
      <c r="E33" s="347">
        <v>0.11</v>
      </c>
      <c r="F33" s="16">
        <v>0.18</v>
      </c>
      <c r="G33" s="16">
        <v>-0.05</v>
      </c>
      <c r="H33" s="38">
        <f t="shared" si="2"/>
        <v>0.16</v>
      </c>
      <c r="I33" s="29">
        <f t="shared" si="4"/>
        <v>9.2376043070340128E-2</v>
      </c>
      <c r="K33" s="296" t="s">
        <v>215</v>
      </c>
      <c r="L33" s="300">
        <f t="shared" ref="L33:S33" si="25">IF(L30&lt;0,"N/A",VLOOKUP(L30,$A$7:$I$91,6,FALSE))</f>
        <v>0</v>
      </c>
      <c r="M33" s="300">
        <f t="shared" si="25"/>
        <v>0</v>
      </c>
      <c r="N33" s="300">
        <f t="shared" si="25"/>
        <v>0</v>
      </c>
      <c r="O33" s="300">
        <f t="shared" si="25"/>
        <v>0</v>
      </c>
      <c r="P33" s="300">
        <f t="shared" si="25"/>
        <v>0</v>
      </c>
      <c r="Q33" s="300">
        <f t="shared" si="25"/>
        <v>0</v>
      </c>
      <c r="R33" s="300">
        <f t="shared" si="25"/>
        <v>0</v>
      </c>
      <c r="S33" s="300">
        <f t="shared" si="25"/>
        <v>0</v>
      </c>
      <c r="T33" s="295">
        <f>SUM(L33:S33)/2</f>
        <v>0</v>
      </c>
    </row>
    <row r="34" spans="1:20" ht="26.4">
      <c r="A34" s="16">
        <v>28</v>
      </c>
      <c r="B34" s="38" t="s">
        <v>151</v>
      </c>
      <c r="C34" s="16">
        <v>90</v>
      </c>
      <c r="D34" s="16" t="s">
        <v>179</v>
      </c>
      <c r="E34" s="347">
        <v>0.05</v>
      </c>
      <c r="F34" s="16">
        <v>0.18</v>
      </c>
      <c r="G34" s="16">
        <v>-0.1</v>
      </c>
      <c r="H34" s="38">
        <f t="shared" si="2"/>
        <v>0.15000000000000002</v>
      </c>
      <c r="I34" s="29">
        <f t="shared" si="4"/>
        <v>8.6602540378443879E-2</v>
      </c>
      <c r="K34" s="297" t="s">
        <v>216</v>
      </c>
      <c r="L34" s="309">
        <f t="shared" ref="L34:S34" si="26">IF(L30&lt;0,"N/A",VLOOKUP(L30,$A$7:$I$91,9,FALSE))</f>
        <v>0</v>
      </c>
      <c r="M34" s="298">
        <f t="shared" si="26"/>
        <v>0</v>
      </c>
      <c r="N34" s="298">
        <f t="shared" si="26"/>
        <v>0</v>
      </c>
      <c r="O34" s="298">
        <f t="shared" si="26"/>
        <v>0</v>
      </c>
      <c r="P34" s="298">
        <f t="shared" si="26"/>
        <v>0</v>
      </c>
      <c r="Q34" s="298">
        <f t="shared" si="26"/>
        <v>0</v>
      </c>
      <c r="R34" s="298">
        <f t="shared" si="26"/>
        <v>0</v>
      </c>
      <c r="S34" s="298">
        <f t="shared" si="26"/>
        <v>0</v>
      </c>
      <c r="T34" s="295">
        <f>SUM(L34:S34)</f>
        <v>0</v>
      </c>
    </row>
    <row r="35" spans="1:20">
      <c r="A35" s="38">
        <v>29</v>
      </c>
      <c r="B35" s="38" t="s">
        <v>152</v>
      </c>
      <c r="C35" s="16">
        <v>100</v>
      </c>
      <c r="D35" s="16" t="s">
        <v>180</v>
      </c>
      <c r="E35" s="347">
        <v>0.2</v>
      </c>
      <c r="F35" s="16">
        <v>0.19</v>
      </c>
      <c r="G35" s="16">
        <v>0.06</v>
      </c>
      <c r="H35" s="38">
        <f t="shared" si="2"/>
        <v>0.14000000000000001</v>
      </c>
      <c r="I35" s="29">
        <f t="shared" si="4"/>
        <v>8.0829037686547617E-2</v>
      </c>
      <c r="K35" s="288"/>
      <c r="L35" s="289" t="str">
        <f t="shared" ref="L35:S35" si="27">IF(L36&lt;0,"N/A",IF(L36&lt;49,"BP - "&amp;VLOOKUP(L36,$A$7:$E$91,3,FALSE),IF(OR(L36=49,L36=51,L36=53),"L1 - "&amp;VLOOKUP(L36,$A$7:$E$91,3,FALSE),IF(OR(L36=50,L36=52,L36=54),"L2 - "&amp;VLOOKUP(L36,$A$7:$E$91,3,FALSE)))))</f>
        <v>BP - 0</v>
      </c>
      <c r="M35" s="289" t="str">
        <f t="shared" si="27"/>
        <v>BP - 0</v>
      </c>
      <c r="N35" s="289" t="str">
        <f t="shared" si="27"/>
        <v>BP - 0</v>
      </c>
      <c r="O35" s="289" t="str">
        <f t="shared" si="27"/>
        <v>BP - 0</v>
      </c>
      <c r="P35" s="289" t="str">
        <f t="shared" si="27"/>
        <v>BP - 0</v>
      </c>
      <c r="Q35" s="289" t="str">
        <f t="shared" si="27"/>
        <v>BP - 0</v>
      </c>
      <c r="R35" s="289" t="str">
        <f t="shared" si="27"/>
        <v>BP - 0</v>
      </c>
      <c r="S35" s="289" t="str">
        <f t="shared" si="27"/>
        <v>BP - 0</v>
      </c>
      <c r="T35" s="290" t="s">
        <v>102</v>
      </c>
    </row>
    <row r="36" spans="1:20">
      <c r="A36" s="16">
        <v>30</v>
      </c>
      <c r="B36" s="3">
        <v>0</v>
      </c>
      <c r="C36" s="3">
        <v>0</v>
      </c>
      <c r="D36" s="3">
        <v>0</v>
      </c>
      <c r="E36" s="16">
        <v>0</v>
      </c>
      <c r="F36" s="56">
        <v>0</v>
      </c>
      <c r="G36" s="111">
        <v>0</v>
      </c>
      <c r="H36" s="111">
        <v>0</v>
      </c>
      <c r="I36" s="112">
        <f t="shared" si="4"/>
        <v>0</v>
      </c>
      <c r="K36" s="355">
        <v>6</v>
      </c>
      <c r="L36" s="277">
        <v>30</v>
      </c>
      <c r="M36" s="277">
        <v>30</v>
      </c>
      <c r="N36" s="277">
        <v>30</v>
      </c>
      <c r="O36" s="277">
        <v>30</v>
      </c>
      <c r="P36" s="277">
        <v>30</v>
      </c>
      <c r="Q36" s="277">
        <v>30</v>
      </c>
      <c r="R36" s="277">
        <v>30</v>
      </c>
      <c r="S36" s="277">
        <v>30</v>
      </c>
      <c r="T36" s="292"/>
    </row>
    <row r="37" spans="1:20">
      <c r="A37" s="38"/>
      <c r="B37" s="38"/>
      <c r="C37" s="16"/>
      <c r="D37" s="37"/>
      <c r="E37" s="16"/>
      <c r="F37" s="16"/>
      <c r="G37" s="39"/>
      <c r="H37" s="39"/>
      <c r="I37" s="39"/>
      <c r="K37" s="291" t="s">
        <v>100</v>
      </c>
      <c r="L37" s="277">
        <f t="shared" ref="L37:S37" si="28">IF(L36&lt;0,"N/A",VLOOKUP(L36,$A$7:$E$91,3,FALSE))</f>
        <v>0</v>
      </c>
      <c r="M37" s="277">
        <f t="shared" si="28"/>
        <v>0</v>
      </c>
      <c r="N37" s="277">
        <f t="shared" si="28"/>
        <v>0</v>
      </c>
      <c r="O37" s="277">
        <f t="shared" si="28"/>
        <v>0</v>
      </c>
      <c r="P37" s="277">
        <f t="shared" si="28"/>
        <v>0</v>
      </c>
      <c r="Q37" s="277">
        <f t="shared" si="28"/>
        <v>0</v>
      </c>
      <c r="R37" s="277">
        <f t="shared" si="28"/>
        <v>0</v>
      </c>
      <c r="S37" s="277">
        <f t="shared" si="28"/>
        <v>0</v>
      </c>
      <c r="T37" s="292">
        <f>SUM(L37:S37)</f>
        <v>0</v>
      </c>
    </row>
    <row r="38" spans="1:20">
      <c r="A38" s="16"/>
      <c r="B38" s="16"/>
      <c r="C38" s="16"/>
      <c r="D38" s="37"/>
      <c r="E38" s="16"/>
      <c r="F38" s="16"/>
      <c r="G38" s="39"/>
      <c r="H38" s="39"/>
      <c r="I38" s="39"/>
      <c r="K38" s="293" t="s">
        <v>182</v>
      </c>
      <c r="L38" s="299">
        <f t="shared" ref="L38:S38" si="29">IF(L36&lt;0,"N/A",VLOOKUP(L36,$A$7:$E$91,5,FALSE))</f>
        <v>0</v>
      </c>
      <c r="M38" s="299">
        <f t="shared" si="29"/>
        <v>0</v>
      </c>
      <c r="N38" s="299">
        <f t="shared" si="29"/>
        <v>0</v>
      </c>
      <c r="O38" s="299">
        <f t="shared" si="29"/>
        <v>0</v>
      </c>
      <c r="P38" s="299">
        <f t="shared" si="29"/>
        <v>0</v>
      </c>
      <c r="Q38" s="299">
        <f t="shared" si="29"/>
        <v>0</v>
      </c>
      <c r="R38" s="299">
        <f t="shared" si="29"/>
        <v>0</v>
      </c>
      <c r="S38" s="299">
        <f t="shared" si="29"/>
        <v>0</v>
      </c>
      <c r="T38" s="295">
        <f>SUM(L38:S38)</f>
        <v>0</v>
      </c>
    </row>
    <row r="39" spans="1:20">
      <c r="A39" s="38"/>
      <c r="B39" s="38"/>
      <c r="C39" s="16"/>
      <c r="D39" s="37"/>
      <c r="E39" s="16"/>
      <c r="F39" s="16"/>
      <c r="G39" s="39"/>
      <c r="H39" s="39"/>
      <c r="I39" s="39"/>
      <c r="K39" s="301" t="s">
        <v>215</v>
      </c>
      <c r="L39" s="300">
        <f t="shared" ref="L39:S39" si="30">IF(L36&lt;0,"N/A",VLOOKUP(L36,$A$7:$I$91,6,FALSE))</f>
        <v>0</v>
      </c>
      <c r="M39" s="300">
        <f t="shared" si="30"/>
        <v>0</v>
      </c>
      <c r="N39" s="300">
        <f t="shared" si="30"/>
        <v>0</v>
      </c>
      <c r="O39" s="300">
        <f t="shared" si="30"/>
        <v>0</v>
      </c>
      <c r="P39" s="300">
        <f t="shared" si="30"/>
        <v>0</v>
      </c>
      <c r="Q39" s="300">
        <f t="shared" si="30"/>
        <v>0</v>
      </c>
      <c r="R39" s="300">
        <f t="shared" si="30"/>
        <v>0</v>
      </c>
      <c r="S39" s="300">
        <f t="shared" si="30"/>
        <v>0</v>
      </c>
      <c r="T39" s="295">
        <f>SUM(L39:S39)/2</f>
        <v>0</v>
      </c>
    </row>
    <row r="40" spans="1:20" ht="26.4">
      <c r="A40" s="16"/>
      <c r="B40" s="16"/>
      <c r="C40" s="16"/>
      <c r="D40" s="37"/>
      <c r="E40" s="16"/>
      <c r="F40" s="16"/>
      <c r="G40" s="39"/>
      <c r="H40" s="39"/>
      <c r="I40" s="39"/>
      <c r="K40" s="302" t="s">
        <v>216</v>
      </c>
      <c r="L40" s="308">
        <f t="shared" ref="L40:S40" si="31">IF(L36&lt;0,"N/A",VLOOKUP(L36,$A$7:$I$91,9,FALSE))</f>
        <v>0</v>
      </c>
      <c r="M40" s="298">
        <f t="shared" si="31"/>
        <v>0</v>
      </c>
      <c r="N40" s="298">
        <f t="shared" si="31"/>
        <v>0</v>
      </c>
      <c r="O40" s="298">
        <f t="shared" si="31"/>
        <v>0</v>
      </c>
      <c r="P40" s="298">
        <f t="shared" si="31"/>
        <v>0</v>
      </c>
      <c r="Q40" s="298">
        <f t="shared" si="31"/>
        <v>0</v>
      </c>
      <c r="R40" s="298">
        <f t="shared" si="31"/>
        <v>0</v>
      </c>
      <c r="S40" s="298">
        <f t="shared" si="31"/>
        <v>0</v>
      </c>
      <c r="T40" s="295">
        <f>SUM(L40:S40)</f>
        <v>0</v>
      </c>
    </row>
    <row r="41" spans="1:20">
      <c r="A41" s="16"/>
      <c r="B41" s="16"/>
      <c r="C41" s="16"/>
      <c r="D41" s="37"/>
      <c r="E41" s="16"/>
      <c r="F41" s="16"/>
      <c r="G41" s="39"/>
      <c r="H41" s="39"/>
      <c r="I41" s="39"/>
      <c r="K41" s="288"/>
      <c r="L41" s="289" t="str">
        <f t="shared" ref="L41:S41" si="32">IF(L42&lt;0,"N/A",IF(L42&lt;49,"BP - "&amp;VLOOKUP(L42,$A$7:$E$91,3,FALSE),IF(OR(L42=49,L42=51,L42=53),"L1 - "&amp;VLOOKUP(L42,$A$7:$E$91,3,FALSE),IF(OR(L42=50,L42=52,L42=54),"L2 - "&amp;VLOOKUP(L42,$A$7:$E$91,3,FALSE)))))</f>
        <v>BP - 0</v>
      </c>
      <c r="M41" s="289" t="str">
        <f t="shared" si="32"/>
        <v>BP - 0</v>
      </c>
      <c r="N41" s="289" t="str">
        <f t="shared" si="32"/>
        <v>BP - 0</v>
      </c>
      <c r="O41" s="289" t="str">
        <f t="shared" si="32"/>
        <v>BP - 0</v>
      </c>
      <c r="P41" s="289" t="str">
        <f t="shared" si="32"/>
        <v>BP - 0</v>
      </c>
      <c r="Q41" s="289" t="str">
        <f t="shared" si="32"/>
        <v>BP - 0</v>
      </c>
      <c r="R41" s="289" t="str">
        <f t="shared" si="32"/>
        <v>BP - 0</v>
      </c>
      <c r="S41" s="289" t="str">
        <f t="shared" si="32"/>
        <v>BP - 0</v>
      </c>
      <c r="T41" s="290" t="s">
        <v>102</v>
      </c>
    </row>
    <row r="42" spans="1:20">
      <c r="A42" s="16"/>
      <c r="B42" s="16"/>
      <c r="C42" s="16"/>
      <c r="D42" s="37"/>
      <c r="E42" s="16"/>
      <c r="F42" s="16"/>
      <c r="G42" s="39"/>
      <c r="H42" s="39"/>
      <c r="I42" s="39"/>
      <c r="K42" s="355">
        <v>7</v>
      </c>
      <c r="L42" s="277">
        <v>30</v>
      </c>
      <c r="M42" s="277">
        <v>30</v>
      </c>
      <c r="N42" s="277">
        <v>30</v>
      </c>
      <c r="O42" s="277">
        <v>30</v>
      </c>
      <c r="P42" s="277">
        <v>30</v>
      </c>
      <c r="Q42" s="277">
        <v>30</v>
      </c>
      <c r="R42" s="277">
        <v>30</v>
      </c>
      <c r="S42" s="277">
        <v>30</v>
      </c>
      <c r="T42" s="292"/>
    </row>
    <row r="43" spans="1:20">
      <c r="A43" s="16"/>
      <c r="B43" s="16"/>
      <c r="C43" s="16"/>
      <c r="D43" s="37"/>
      <c r="E43" s="16"/>
      <c r="F43" s="16"/>
      <c r="G43" s="39"/>
      <c r="H43" s="39"/>
      <c r="I43" s="39"/>
      <c r="K43" s="291" t="s">
        <v>100</v>
      </c>
      <c r="L43" s="277">
        <f t="shared" ref="L43:S43" si="33">IF(L42&lt;0,"N/A",VLOOKUP(L42,$A$7:$E$91,3,FALSE))</f>
        <v>0</v>
      </c>
      <c r="M43" s="277">
        <f t="shared" si="33"/>
        <v>0</v>
      </c>
      <c r="N43" s="277">
        <f t="shared" si="33"/>
        <v>0</v>
      </c>
      <c r="O43" s="277">
        <f t="shared" si="33"/>
        <v>0</v>
      </c>
      <c r="P43" s="277">
        <f t="shared" si="33"/>
        <v>0</v>
      </c>
      <c r="Q43" s="277">
        <f t="shared" si="33"/>
        <v>0</v>
      </c>
      <c r="R43" s="277">
        <f t="shared" si="33"/>
        <v>0</v>
      </c>
      <c r="S43" s="277">
        <f t="shared" si="33"/>
        <v>0</v>
      </c>
      <c r="T43" s="292">
        <f>SUM(L43:S43)</f>
        <v>0</v>
      </c>
    </row>
    <row r="44" spans="1:20">
      <c r="A44" s="16"/>
      <c r="B44" s="16"/>
      <c r="C44" s="16"/>
      <c r="D44" s="37"/>
      <c r="E44" s="16"/>
      <c r="F44" s="16"/>
      <c r="G44" s="39"/>
      <c r="H44" s="39"/>
      <c r="I44" s="39"/>
      <c r="K44" s="293" t="s">
        <v>182</v>
      </c>
      <c r="L44" s="299">
        <f t="shared" ref="L44:S44" si="34">IF(L42&lt;0,"N/A",VLOOKUP(L42,$A$7:$E$91,5,FALSE))</f>
        <v>0</v>
      </c>
      <c r="M44" s="299">
        <f t="shared" si="34"/>
        <v>0</v>
      </c>
      <c r="N44" s="299">
        <f t="shared" si="34"/>
        <v>0</v>
      </c>
      <c r="O44" s="299">
        <f t="shared" si="34"/>
        <v>0</v>
      </c>
      <c r="P44" s="299">
        <f t="shared" si="34"/>
        <v>0</v>
      </c>
      <c r="Q44" s="299">
        <f t="shared" si="34"/>
        <v>0</v>
      </c>
      <c r="R44" s="299">
        <f t="shared" si="34"/>
        <v>0</v>
      </c>
      <c r="S44" s="299">
        <f t="shared" si="34"/>
        <v>0</v>
      </c>
      <c r="T44" s="295">
        <f>SUM(L44:S44)</f>
        <v>0</v>
      </c>
    </row>
    <row r="45" spans="1:20">
      <c r="A45" s="16"/>
      <c r="B45" s="16"/>
      <c r="C45" s="16"/>
      <c r="D45" s="37"/>
      <c r="E45" s="16"/>
      <c r="F45" s="16"/>
      <c r="G45" s="39"/>
      <c r="H45" s="39"/>
      <c r="I45" s="39"/>
      <c r="K45" s="301" t="s">
        <v>215</v>
      </c>
      <c r="L45" s="300">
        <f t="shared" ref="L45:S45" si="35">IF(L42&lt;0,"N/A",VLOOKUP(L42,$A$7:$I$91,6,FALSE))</f>
        <v>0</v>
      </c>
      <c r="M45" s="300">
        <f t="shared" si="35"/>
        <v>0</v>
      </c>
      <c r="N45" s="300">
        <f t="shared" si="35"/>
        <v>0</v>
      </c>
      <c r="O45" s="300">
        <f t="shared" si="35"/>
        <v>0</v>
      </c>
      <c r="P45" s="300">
        <f t="shared" si="35"/>
        <v>0</v>
      </c>
      <c r="Q45" s="300">
        <f t="shared" si="35"/>
        <v>0</v>
      </c>
      <c r="R45" s="300">
        <f t="shared" si="35"/>
        <v>0</v>
      </c>
      <c r="S45" s="300">
        <f t="shared" si="35"/>
        <v>0</v>
      </c>
      <c r="T45" s="295">
        <f>SUM(L45:S45)/2</f>
        <v>0</v>
      </c>
    </row>
    <row r="46" spans="1:20" ht="26.4">
      <c r="A46" s="16"/>
      <c r="B46" s="16"/>
      <c r="C46" s="16"/>
      <c r="D46" s="37"/>
      <c r="E46" s="16"/>
      <c r="F46" s="16"/>
      <c r="G46" s="39"/>
      <c r="H46" s="39"/>
      <c r="I46" s="39"/>
      <c r="K46" s="302" t="s">
        <v>216</v>
      </c>
      <c r="L46" s="308">
        <f t="shared" ref="L46:S46" si="36">IF(L42&lt;0,"N/A",VLOOKUP(L42,$A$7:$I$91,9,FALSE))</f>
        <v>0</v>
      </c>
      <c r="M46" s="298">
        <f t="shared" si="36"/>
        <v>0</v>
      </c>
      <c r="N46" s="298">
        <f t="shared" si="36"/>
        <v>0</v>
      </c>
      <c r="O46" s="298">
        <f t="shared" si="36"/>
        <v>0</v>
      </c>
      <c r="P46" s="298">
        <f t="shared" si="36"/>
        <v>0</v>
      </c>
      <c r="Q46" s="298">
        <f t="shared" si="36"/>
        <v>0</v>
      </c>
      <c r="R46" s="298">
        <f t="shared" si="36"/>
        <v>0</v>
      </c>
      <c r="S46" s="298">
        <f t="shared" si="36"/>
        <v>0</v>
      </c>
      <c r="T46" s="295">
        <f>SUM(L46:S46)</f>
        <v>0</v>
      </c>
    </row>
    <row r="47" spans="1:20">
      <c r="A47" s="16"/>
      <c r="B47" s="16"/>
      <c r="C47" s="16"/>
      <c r="D47" s="37"/>
      <c r="E47" s="16"/>
      <c r="F47" s="16"/>
      <c r="G47" s="39"/>
      <c r="H47" s="39"/>
      <c r="I47" s="39"/>
      <c r="K47" s="288"/>
      <c r="L47" s="289" t="str">
        <f t="shared" ref="L47:S47" si="37">IF(L48&lt;0,"N/A",IF(L48&lt;49,"BP - "&amp;VLOOKUP(L48,$A$7:$E$91,3,FALSE),IF(OR(L48=49,L48=51,L48=53),"L1 - "&amp;VLOOKUP(L48,$A$7:$E$91,3,FALSE),IF(OR(L48=50,L48=52,L48=54),"L2 - "&amp;VLOOKUP(L48,$A$7:$E$91,3,FALSE)))))</f>
        <v>BP - 0</v>
      </c>
      <c r="M47" s="289" t="str">
        <f t="shared" si="37"/>
        <v>BP - 0</v>
      </c>
      <c r="N47" s="289" t="str">
        <f t="shared" si="37"/>
        <v>BP - 0</v>
      </c>
      <c r="O47" s="289" t="str">
        <f t="shared" si="37"/>
        <v>BP - 0</v>
      </c>
      <c r="P47" s="289" t="str">
        <f t="shared" si="37"/>
        <v>BP - 0</v>
      </c>
      <c r="Q47" s="289" t="str">
        <f t="shared" si="37"/>
        <v>BP - 0</v>
      </c>
      <c r="R47" s="289" t="str">
        <f t="shared" si="37"/>
        <v>BP - 0</v>
      </c>
      <c r="S47" s="289" t="str">
        <f t="shared" si="37"/>
        <v>BP - 0</v>
      </c>
      <c r="T47" s="290" t="s">
        <v>102</v>
      </c>
    </row>
    <row r="48" spans="1:20">
      <c r="A48" s="16"/>
      <c r="B48" s="16"/>
      <c r="C48" s="16"/>
      <c r="D48" s="37"/>
      <c r="E48" s="16"/>
      <c r="F48" s="16"/>
      <c r="G48" s="39"/>
      <c r="H48" s="39"/>
      <c r="I48" s="39"/>
      <c r="K48" s="355">
        <v>8</v>
      </c>
      <c r="L48" s="277">
        <v>30</v>
      </c>
      <c r="M48" s="277">
        <v>30</v>
      </c>
      <c r="N48" s="277">
        <v>30</v>
      </c>
      <c r="O48" s="277">
        <v>30</v>
      </c>
      <c r="P48" s="277">
        <v>30</v>
      </c>
      <c r="Q48" s="277">
        <v>30</v>
      </c>
      <c r="R48" s="277">
        <v>30</v>
      </c>
      <c r="S48" s="277">
        <v>30</v>
      </c>
      <c r="T48" s="292"/>
    </row>
    <row r="49" spans="1:20">
      <c r="A49" s="16"/>
      <c r="B49" s="16"/>
      <c r="C49" s="16"/>
      <c r="D49" s="37"/>
      <c r="E49" s="16"/>
      <c r="F49" s="16"/>
      <c r="G49" s="39"/>
      <c r="H49" s="39"/>
      <c r="I49" s="39"/>
      <c r="K49" s="291" t="s">
        <v>100</v>
      </c>
      <c r="L49" s="277">
        <f t="shared" ref="L49:S49" si="38">IF(L48&lt;0,"N/A",VLOOKUP(L48,$A$7:$E$91,3,FALSE))</f>
        <v>0</v>
      </c>
      <c r="M49" s="277">
        <f t="shared" si="38"/>
        <v>0</v>
      </c>
      <c r="N49" s="277">
        <f t="shared" si="38"/>
        <v>0</v>
      </c>
      <c r="O49" s="277">
        <f t="shared" si="38"/>
        <v>0</v>
      </c>
      <c r="P49" s="277">
        <f t="shared" si="38"/>
        <v>0</v>
      </c>
      <c r="Q49" s="277">
        <f t="shared" si="38"/>
        <v>0</v>
      </c>
      <c r="R49" s="277">
        <f t="shared" si="38"/>
        <v>0</v>
      </c>
      <c r="S49" s="277">
        <f t="shared" si="38"/>
        <v>0</v>
      </c>
      <c r="T49" s="292">
        <f>SUM(L49:S49)</f>
        <v>0</v>
      </c>
    </row>
    <row r="50" spans="1:20">
      <c r="A50" s="16"/>
      <c r="B50" s="16"/>
      <c r="C50" s="16"/>
      <c r="D50" s="37"/>
      <c r="E50" s="16"/>
      <c r="F50" s="16"/>
      <c r="G50" s="39"/>
      <c r="H50" s="39"/>
      <c r="I50" s="39"/>
      <c r="K50" s="293" t="s">
        <v>182</v>
      </c>
      <c r="L50" s="299">
        <f t="shared" ref="L50:S50" si="39">IF(L48&lt;0,"N/A",VLOOKUP(L48,$A$7:$E$91,5,FALSE))</f>
        <v>0</v>
      </c>
      <c r="M50" s="299">
        <f t="shared" si="39"/>
        <v>0</v>
      </c>
      <c r="N50" s="299">
        <f t="shared" si="39"/>
        <v>0</v>
      </c>
      <c r="O50" s="299">
        <f t="shared" si="39"/>
        <v>0</v>
      </c>
      <c r="P50" s="299">
        <f t="shared" si="39"/>
        <v>0</v>
      </c>
      <c r="Q50" s="299">
        <f t="shared" si="39"/>
        <v>0</v>
      </c>
      <c r="R50" s="299">
        <f t="shared" si="39"/>
        <v>0</v>
      </c>
      <c r="S50" s="299">
        <f t="shared" si="39"/>
        <v>0</v>
      </c>
      <c r="T50" s="295">
        <f>SUM(L50:S50)</f>
        <v>0</v>
      </c>
    </row>
    <row r="51" spans="1:20">
      <c r="A51" s="16"/>
      <c r="B51" s="16"/>
      <c r="C51" s="16"/>
      <c r="D51" s="37"/>
      <c r="E51" s="16"/>
      <c r="F51" s="16"/>
      <c r="G51" s="39"/>
      <c r="H51" s="39"/>
      <c r="I51" s="39"/>
      <c r="K51" s="301" t="s">
        <v>215</v>
      </c>
      <c r="L51" s="300">
        <f t="shared" ref="L51:S51" si="40">IF(L48&lt;0,"N/A",VLOOKUP(L48,$A$7:$I$91,6,FALSE))</f>
        <v>0</v>
      </c>
      <c r="M51" s="300">
        <f t="shared" si="40"/>
        <v>0</v>
      </c>
      <c r="N51" s="300">
        <f t="shared" si="40"/>
        <v>0</v>
      </c>
      <c r="O51" s="300">
        <f t="shared" si="40"/>
        <v>0</v>
      </c>
      <c r="P51" s="300">
        <f t="shared" si="40"/>
        <v>0</v>
      </c>
      <c r="Q51" s="300">
        <f t="shared" si="40"/>
        <v>0</v>
      </c>
      <c r="R51" s="300">
        <f t="shared" si="40"/>
        <v>0</v>
      </c>
      <c r="S51" s="300">
        <f t="shared" si="40"/>
        <v>0</v>
      </c>
      <c r="T51" s="295">
        <f>SUM(L51:S51)/2</f>
        <v>0</v>
      </c>
    </row>
    <row r="52" spans="1:20" ht="26.4">
      <c r="A52" s="16"/>
      <c r="B52" s="16"/>
      <c r="C52" s="16"/>
      <c r="D52" s="37"/>
      <c r="E52" s="16"/>
      <c r="F52" s="16"/>
      <c r="G52" s="39"/>
      <c r="H52" s="39"/>
      <c r="I52" s="39"/>
      <c r="K52" s="302" t="s">
        <v>216</v>
      </c>
      <c r="L52" s="308">
        <f t="shared" ref="L52:S52" si="41">IF(L48&lt;0,"N/A",VLOOKUP(L48,$A$7:$I$91,9,FALSE))</f>
        <v>0</v>
      </c>
      <c r="M52" s="298">
        <f t="shared" si="41"/>
        <v>0</v>
      </c>
      <c r="N52" s="298">
        <f t="shared" si="41"/>
        <v>0</v>
      </c>
      <c r="O52" s="298">
        <f t="shared" si="41"/>
        <v>0</v>
      </c>
      <c r="P52" s="298">
        <f t="shared" si="41"/>
        <v>0</v>
      </c>
      <c r="Q52" s="298">
        <f t="shared" si="41"/>
        <v>0</v>
      </c>
      <c r="R52" s="298">
        <f t="shared" si="41"/>
        <v>0</v>
      </c>
      <c r="S52" s="298">
        <f t="shared" si="41"/>
        <v>0</v>
      </c>
      <c r="T52" s="295">
        <f>SUM(L52:S52)</f>
        <v>0</v>
      </c>
    </row>
    <row r="53" spans="1:20">
      <c r="A53" s="16"/>
      <c r="B53" s="16"/>
      <c r="C53" s="16"/>
      <c r="D53" s="37"/>
      <c r="E53" s="16"/>
      <c r="F53" s="16"/>
      <c r="G53" s="39"/>
      <c r="H53" s="39"/>
      <c r="I53" s="39"/>
      <c r="K53" s="288"/>
      <c r="L53" s="289" t="str">
        <f t="shared" ref="L53:S53" si="42">IF(L54&lt;0,"N/A",IF(L54&lt;49,"BP - "&amp;VLOOKUP(L54,$A$7:$E$91,3,FALSE),IF(OR(L54=49,L54=51,L54=53),"L1 - "&amp;VLOOKUP(L54,$A$7:$E$91,3,FALSE),IF(OR(L54=50,L54=52,L54=54),"L2 - "&amp;VLOOKUP(L54,$A$7:$E$91,3,FALSE)))))</f>
        <v>BP - 0</v>
      </c>
      <c r="M53" s="289" t="str">
        <f t="shared" si="42"/>
        <v>BP - 0</v>
      </c>
      <c r="N53" s="289" t="str">
        <f t="shared" si="42"/>
        <v>BP - 0</v>
      </c>
      <c r="O53" s="289" t="str">
        <f t="shared" si="42"/>
        <v>BP - 0</v>
      </c>
      <c r="P53" s="289" t="str">
        <f t="shared" si="42"/>
        <v>BP - 0</v>
      </c>
      <c r="Q53" s="289" t="str">
        <f t="shared" si="42"/>
        <v>BP - 0</v>
      </c>
      <c r="R53" s="289" t="str">
        <f t="shared" si="42"/>
        <v>BP - 0</v>
      </c>
      <c r="S53" s="289" t="str">
        <f t="shared" si="42"/>
        <v>BP - 0</v>
      </c>
      <c r="T53" s="290" t="s">
        <v>102</v>
      </c>
    </row>
    <row r="54" spans="1:20">
      <c r="A54" s="16"/>
      <c r="B54" s="16"/>
      <c r="C54" s="16"/>
      <c r="D54" s="37"/>
      <c r="E54" s="16"/>
      <c r="F54" s="16"/>
      <c r="G54" s="39"/>
      <c r="H54" s="39"/>
      <c r="I54" s="39"/>
      <c r="K54" s="355">
        <v>9</v>
      </c>
      <c r="L54" s="277">
        <v>30</v>
      </c>
      <c r="M54" s="277">
        <v>30</v>
      </c>
      <c r="N54" s="277">
        <v>30</v>
      </c>
      <c r="O54" s="277">
        <v>30</v>
      </c>
      <c r="P54" s="277">
        <v>30</v>
      </c>
      <c r="Q54" s="277">
        <v>30</v>
      </c>
      <c r="R54" s="277">
        <v>30</v>
      </c>
      <c r="S54" s="277">
        <v>30</v>
      </c>
      <c r="T54" s="292"/>
    </row>
    <row r="55" spans="1:20">
      <c r="A55" s="16"/>
      <c r="B55" s="16"/>
      <c r="C55" s="16"/>
      <c r="D55" s="37"/>
      <c r="E55" s="16"/>
      <c r="F55" s="16"/>
      <c r="G55" s="39"/>
      <c r="H55" s="39"/>
      <c r="I55" s="39"/>
      <c r="K55" s="291" t="s">
        <v>100</v>
      </c>
      <c r="L55" s="277">
        <f t="shared" ref="L55:S55" si="43">IF(L54&lt;0,"N/A",VLOOKUP(L54,$A$7:$E$91,3,FALSE))</f>
        <v>0</v>
      </c>
      <c r="M55" s="277">
        <f t="shared" si="43"/>
        <v>0</v>
      </c>
      <c r="N55" s="277">
        <f t="shared" si="43"/>
        <v>0</v>
      </c>
      <c r="O55" s="277">
        <f t="shared" si="43"/>
        <v>0</v>
      </c>
      <c r="P55" s="277">
        <f t="shared" si="43"/>
        <v>0</v>
      </c>
      <c r="Q55" s="277">
        <f t="shared" si="43"/>
        <v>0</v>
      </c>
      <c r="R55" s="277">
        <f t="shared" si="43"/>
        <v>0</v>
      </c>
      <c r="S55" s="277">
        <f t="shared" si="43"/>
        <v>0</v>
      </c>
      <c r="T55" s="292">
        <f>SUM(L55:S55)</f>
        <v>0</v>
      </c>
    </row>
    <row r="56" spans="1:20">
      <c r="A56" s="16"/>
      <c r="B56" s="16"/>
      <c r="C56" s="16"/>
      <c r="D56" s="37"/>
      <c r="E56" s="16"/>
      <c r="F56" s="16"/>
      <c r="G56" s="39"/>
      <c r="H56" s="39"/>
      <c r="I56" s="39"/>
      <c r="K56" s="293" t="s">
        <v>182</v>
      </c>
      <c r="L56" s="299">
        <f t="shared" ref="L56:S56" si="44">IF(L54&lt;0,"N/A",VLOOKUP(L54,$A$7:$E$91,5,FALSE))</f>
        <v>0</v>
      </c>
      <c r="M56" s="299">
        <f t="shared" si="44"/>
        <v>0</v>
      </c>
      <c r="N56" s="299">
        <f t="shared" si="44"/>
        <v>0</v>
      </c>
      <c r="O56" s="299">
        <f t="shared" si="44"/>
        <v>0</v>
      </c>
      <c r="P56" s="299">
        <f t="shared" si="44"/>
        <v>0</v>
      </c>
      <c r="Q56" s="299">
        <f t="shared" si="44"/>
        <v>0</v>
      </c>
      <c r="R56" s="299">
        <f t="shared" si="44"/>
        <v>0</v>
      </c>
      <c r="S56" s="299">
        <f t="shared" si="44"/>
        <v>0</v>
      </c>
      <c r="T56" s="295">
        <f>SUM(L56:S56)</f>
        <v>0</v>
      </c>
    </row>
    <row r="57" spans="1:20">
      <c r="A57" s="16"/>
      <c r="B57" s="16"/>
      <c r="C57" s="16"/>
      <c r="D57" s="37"/>
      <c r="E57" s="16"/>
      <c r="F57" s="16"/>
      <c r="G57" s="39"/>
      <c r="H57" s="39"/>
      <c r="I57" s="39"/>
      <c r="K57" s="301" t="s">
        <v>215</v>
      </c>
      <c r="L57" s="300">
        <f t="shared" ref="L57:S57" si="45">IF(L54&lt;0,"N/A",VLOOKUP(L54,$A$7:$I$91,6,FALSE))</f>
        <v>0</v>
      </c>
      <c r="M57" s="300">
        <f t="shared" si="45"/>
        <v>0</v>
      </c>
      <c r="N57" s="300">
        <f t="shared" si="45"/>
        <v>0</v>
      </c>
      <c r="O57" s="300">
        <f t="shared" si="45"/>
        <v>0</v>
      </c>
      <c r="P57" s="300">
        <f t="shared" si="45"/>
        <v>0</v>
      </c>
      <c r="Q57" s="300">
        <f t="shared" si="45"/>
        <v>0</v>
      </c>
      <c r="R57" s="300">
        <f t="shared" si="45"/>
        <v>0</v>
      </c>
      <c r="S57" s="300">
        <f t="shared" si="45"/>
        <v>0</v>
      </c>
      <c r="T57" s="295">
        <f>SUM(L57:S57)/2</f>
        <v>0</v>
      </c>
    </row>
    <row r="58" spans="1:20" ht="26.4">
      <c r="A58" s="16"/>
      <c r="B58" s="16"/>
      <c r="C58" s="16"/>
      <c r="D58" s="37"/>
      <c r="E58" s="16"/>
      <c r="F58" s="16"/>
      <c r="G58" s="39"/>
      <c r="H58" s="39"/>
      <c r="I58" s="39"/>
      <c r="K58" s="302" t="s">
        <v>216</v>
      </c>
      <c r="L58" s="308">
        <f t="shared" ref="L58:S58" si="46">IF(L54&lt;0,"N/A",VLOOKUP(L54,$A$7:$I$91,9,FALSE))</f>
        <v>0</v>
      </c>
      <c r="M58" s="298">
        <f t="shared" si="46"/>
        <v>0</v>
      </c>
      <c r="N58" s="298">
        <f t="shared" si="46"/>
        <v>0</v>
      </c>
      <c r="O58" s="298">
        <f t="shared" si="46"/>
        <v>0</v>
      </c>
      <c r="P58" s="298">
        <f t="shared" si="46"/>
        <v>0</v>
      </c>
      <c r="Q58" s="298">
        <f t="shared" si="46"/>
        <v>0</v>
      </c>
      <c r="R58" s="298">
        <f t="shared" si="46"/>
        <v>0</v>
      </c>
      <c r="S58" s="298">
        <f t="shared" si="46"/>
        <v>0</v>
      </c>
      <c r="T58" s="295">
        <f>SUM(L58:S58)</f>
        <v>0</v>
      </c>
    </row>
    <row r="59" spans="1:20">
      <c r="A59" s="16"/>
      <c r="B59" s="16"/>
      <c r="C59" s="16"/>
      <c r="D59" s="37"/>
      <c r="E59" s="16"/>
      <c r="F59" s="16"/>
      <c r="G59" s="39"/>
      <c r="H59" s="39"/>
      <c r="I59" s="39"/>
      <c r="K59" s="288"/>
      <c r="L59" s="289" t="str">
        <f t="shared" ref="L59:S59" si="47">IF(L60&lt;0,"N/A",IF(L60&lt;49,"BP - "&amp;VLOOKUP(L60,$A$7:$E$91,3,FALSE),IF(OR(L60=49,L60=51,L60=53),"L1 - "&amp;VLOOKUP(L60,$A$7:$E$91,3,FALSE),IF(OR(L60=50,L60=52,L60=54),"L2 - "&amp;VLOOKUP(L60,$A$7:$E$91,3,FALSE)))))</f>
        <v>BP - 0</v>
      </c>
      <c r="M59" s="289" t="str">
        <f t="shared" si="47"/>
        <v>BP - 0</v>
      </c>
      <c r="N59" s="289" t="str">
        <f t="shared" si="47"/>
        <v>BP - 0</v>
      </c>
      <c r="O59" s="289" t="str">
        <f t="shared" si="47"/>
        <v>BP - 0</v>
      </c>
      <c r="P59" s="289" t="str">
        <f t="shared" si="47"/>
        <v>BP - 0</v>
      </c>
      <c r="Q59" s="289" t="str">
        <f t="shared" si="47"/>
        <v>BP - 0</v>
      </c>
      <c r="R59" s="289" t="str">
        <f t="shared" si="47"/>
        <v>BP - 0</v>
      </c>
      <c r="S59" s="289" t="str">
        <f t="shared" si="47"/>
        <v>BP - 0</v>
      </c>
      <c r="T59" s="290" t="s">
        <v>102</v>
      </c>
    </row>
    <row r="60" spans="1:20">
      <c r="A60" s="16"/>
      <c r="B60" s="16"/>
      <c r="C60" s="16"/>
      <c r="D60" s="37"/>
      <c r="E60" s="16"/>
      <c r="F60" s="16"/>
      <c r="G60" s="39"/>
      <c r="H60" s="39"/>
      <c r="I60" s="39"/>
      <c r="K60" s="355">
        <v>10</v>
      </c>
      <c r="L60" s="277">
        <v>30</v>
      </c>
      <c r="M60" s="277">
        <v>30</v>
      </c>
      <c r="N60" s="277">
        <v>30</v>
      </c>
      <c r="O60" s="277">
        <v>30</v>
      </c>
      <c r="P60" s="277">
        <v>30</v>
      </c>
      <c r="Q60" s="277">
        <v>30</v>
      </c>
      <c r="R60" s="277">
        <v>30</v>
      </c>
      <c r="S60" s="277">
        <v>30</v>
      </c>
      <c r="T60" s="292"/>
    </row>
    <row r="61" spans="1:20">
      <c r="A61" s="16"/>
      <c r="B61" s="16"/>
      <c r="C61" s="16"/>
      <c r="D61" s="37"/>
      <c r="E61" s="16"/>
      <c r="F61" s="16"/>
      <c r="G61" s="39"/>
      <c r="H61" s="39"/>
      <c r="I61" s="39"/>
      <c r="K61" s="291" t="s">
        <v>100</v>
      </c>
      <c r="L61" s="277">
        <f t="shared" ref="L61:S61" si="48">IF(L60&lt;0,"N/A",VLOOKUP(L60,$A$7:$E$91,3,FALSE))</f>
        <v>0</v>
      </c>
      <c r="M61" s="277">
        <f t="shared" si="48"/>
        <v>0</v>
      </c>
      <c r="N61" s="277">
        <f t="shared" si="48"/>
        <v>0</v>
      </c>
      <c r="O61" s="277">
        <f t="shared" si="48"/>
        <v>0</v>
      </c>
      <c r="P61" s="277">
        <f t="shared" si="48"/>
        <v>0</v>
      </c>
      <c r="Q61" s="277">
        <f t="shared" si="48"/>
        <v>0</v>
      </c>
      <c r="R61" s="277">
        <f t="shared" si="48"/>
        <v>0</v>
      </c>
      <c r="S61" s="277">
        <f t="shared" si="48"/>
        <v>0</v>
      </c>
      <c r="T61" s="292">
        <f>SUM(L61:S61)</f>
        <v>0</v>
      </c>
    </row>
    <row r="62" spans="1:20">
      <c r="A62" s="16"/>
      <c r="B62" s="16"/>
      <c r="C62" s="16"/>
      <c r="D62" s="37"/>
      <c r="E62" s="16"/>
      <c r="F62" s="16"/>
      <c r="G62" s="39"/>
      <c r="H62" s="39"/>
      <c r="I62" s="39"/>
      <c r="K62" s="293" t="s">
        <v>182</v>
      </c>
      <c r="L62" s="299">
        <f t="shared" ref="L62:S62" si="49">IF(L60&lt;0,"N/A",VLOOKUP(L60,$A$7:$E$91,5,FALSE))</f>
        <v>0</v>
      </c>
      <c r="M62" s="299">
        <f t="shared" si="49"/>
        <v>0</v>
      </c>
      <c r="N62" s="299">
        <f t="shared" si="49"/>
        <v>0</v>
      </c>
      <c r="O62" s="299">
        <f t="shared" si="49"/>
        <v>0</v>
      </c>
      <c r="P62" s="299">
        <f t="shared" si="49"/>
        <v>0</v>
      </c>
      <c r="Q62" s="299">
        <f t="shared" si="49"/>
        <v>0</v>
      </c>
      <c r="R62" s="299">
        <f t="shared" si="49"/>
        <v>0</v>
      </c>
      <c r="S62" s="299">
        <f t="shared" si="49"/>
        <v>0</v>
      </c>
      <c r="T62" s="295">
        <f>SUM(L62:S62)</f>
        <v>0</v>
      </c>
    </row>
    <row r="63" spans="1:20">
      <c r="A63" s="16"/>
      <c r="B63" s="16"/>
      <c r="C63" s="16"/>
      <c r="D63" s="37"/>
      <c r="E63" s="16"/>
      <c r="F63" s="16"/>
      <c r="G63" s="39"/>
      <c r="H63" s="39"/>
      <c r="I63" s="39"/>
      <c r="K63" s="301" t="s">
        <v>215</v>
      </c>
      <c r="L63" s="300">
        <f t="shared" ref="L63:S63" si="50">IF(L60&lt;0,"N/A",VLOOKUP(L60,$A$7:$I$91,6,FALSE))</f>
        <v>0</v>
      </c>
      <c r="M63" s="300">
        <f t="shared" si="50"/>
        <v>0</v>
      </c>
      <c r="N63" s="300">
        <f t="shared" si="50"/>
        <v>0</v>
      </c>
      <c r="O63" s="300">
        <f t="shared" si="50"/>
        <v>0</v>
      </c>
      <c r="P63" s="300">
        <f t="shared" si="50"/>
        <v>0</v>
      </c>
      <c r="Q63" s="300">
        <f t="shared" si="50"/>
        <v>0</v>
      </c>
      <c r="R63" s="300">
        <f t="shared" si="50"/>
        <v>0</v>
      </c>
      <c r="S63" s="300">
        <f t="shared" si="50"/>
        <v>0</v>
      </c>
      <c r="T63" s="295">
        <f>SUM(L63:S63)/2</f>
        <v>0</v>
      </c>
    </row>
    <row r="64" spans="1:20" ht="26.4">
      <c r="A64" s="16"/>
      <c r="B64" s="16"/>
      <c r="C64" s="16"/>
      <c r="D64" s="37"/>
      <c r="E64" s="16"/>
      <c r="F64" s="16"/>
      <c r="G64" s="39"/>
      <c r="H64" s="39"/>
      <c r="I64" s="39"/>
      <c r="K64" s="302" t="s">
        <v>216</v>
      </c>
      <c r="L64" s="308">
        <f t="shared" ref="L64:S64" si="51">IF(L60&lt;0,"N/A",VLOOKUP(L60,$A$7:$I$91,9,FALSE))</f>
        <v>0</v>
      </c>
      <c r="M64" s="298">
        <f t="shared" si="51"/>
        <v>0</v>
      </c>
      <c r="N64" s="298">
        <f t="shared" si="51"/>
        <v>0</v>
      </c>
      <c r="O64" s="298">
        <f t="shared" si="51"/>
        <v>0</v>
      </c>
      <c r="P64" s="298">
        <f t="shared" si="51"/>
        <v>0</v>
      </c>
      <c r="Q64" s="298">
        <f t="shared" si="51"/>
        <v>0</v>
      </c>
      <c r="R64" s="298">
        <f t="shared" si="51"/>
        <v>0</v>
      </c>
      <c r="S64" s="298">
        <f t="shared" si="51"/>
        <v>0</v>
      </c>
      <c r="T64" s="295">
        <f>SUM(L64:S64)</f>
        <v>0</v>
      </c>
    </row>
    <row r="65" spans="1:20">
      <c r="A65" s="16"/>
      <c r="B65" s="16"/>
      <c r="C65" s="16"/>
      <c r="D65" s="37"/>
      <c r="E65" s="16"/>
      <c r="F65" s="16"/>
      <c r="G65" s="39"/>
      <c r="H65" s="39"/>
      <c r="I65" s="39"/>
      <c r="K65" s="288"/>
      <c r="L65" s="289" t="str">
        <f t="shared" ref="L65:S65" si="52">IF(L66&lt;0,"N/A",IF(L66&lt;49,"BP - "&amp;VLOOKUP(L66,$A$7:$E$91,3,FALSE),IF(OR(L66=49,L66=51,L66=53),"L1 - "&amp;VLOOKUP(L66,$A$7:$E$91,3,FALSE),IF(OR(L66=50,L66=52,L66=54),"L2 - "&amp;VLOOKUP(L66,$A$7:$E$91,3,FALSE)))))</f>
        <v>BP - 0</v>
      </c>
      <c r="M65" s="289" t="str">
        <f t="shared" si="52"/>
        <v>BP - 0</v>
      </c>
      <c r="N65" s="289" t="str">
        <f t="shared" si="52"/>
        <v>BP - 0</v>
      </c>
      <c r="O65" s="289" t="str">
        <f t="shared" si="52"/>
        <v>BP - 0</v>
      </c>
      <c r="P65" s="289" t="str">
        <f t="shared" si="52"/>
        <v>BP - 0</v>
      </c>
      <c r="Q65" s="289" t="str">
        <f t="shared" si="52"/>
        <v>BP - 0</v>
      </c>
      <c r="R65" s="289" t="str">
        <f t="shared" si="52"/>
        <v>BP - 0</v>
      </c>
      <c r="S65" s="289" t="str">
        <f t="shared" si="52"/>
        <v>BP - 0</v>
      </c>
      <c r="T65" s="290" t="s">
        <v>102</v>
      </c>
    </row>
    <row r="66" spans="1:20">
      <c r="A66" s="16"/>
      <c r="B66" s="16"/>
      <c r="C66" s="16"/>
      <c r="D66" s="37"/>
      <c r="E66" s="16"/>
      <c r="F66" s="16"/>
      <c r="G66" s="39"/>
      <c r="H66" s="39"/>
      <c r="I66" s="39"/>
      <c r="K66" s="355">
        <v>11</v>
      </c>
      <c r="L66" s="277">
        <v>30</v>
      </c>
      <c r="M66" s="277">
        <v>30</v>
      </c>
      <c r="N66" s="277">
        <v>30</v>
      </c>
      <c r="O66" s="277">
        <v>30</v>
      </c>
      <c r="P66" s="277">
        <v>30</v>
      </c>
      <c r="Q66" s="277">
        <v>30</v>
      </c>
      <c r="R66" s="277">
        <v>30</v>
      </c>
      <c r="S66" s="277">
        <v>30</v>
      </c>
      <c r="T66" s="292"/>
    </row>
    <row r="67" spans="1:20">
      <c r="A67" s="16"/>
      <c r="B67" s="16"/>
      <c r="C67" s="16"/>
      <c r="D67" s="37"/>
      <c r="E67" s="16"/>
      <c r="F67" s="16"/>
      <c r="G67" s="39"/>
      <c r="H67" s="39"/>
      <c r="I67" s="39"/>
      <c r="K67" s="291" t="s">
        <v>100</v>
      </c>
      <c r="L67" s="277">
        <f t="shared" ref="L67:S67" si="53">IF(L66&lt;0,"N/A",VLOOKUP(L66,$A$7:$E$91,3,FALSE))</f>
        <v>0</v>
      </c>
      <c r="M67" s="277">
        <f t="shared" si="53"/>
        <v>0</v>
      </c>
      <c r="N67" s="277">
        <f t="shared" si="53"/>
        <v>0</v>
      </c>
      <c r="O67" s="277">
        <f t="shared" si="53"/>
        <v>0</v>
      </c>
      <c r="P67" s="277">
        <f t="shared" si="53"/>
        <v>0</v>
      </c>
      <c r="Q67" s="277">
        <f t="shared" si="53"/>
        <v>0</v>
      </c>
      <c r="R67" s="277">
        <f t="shared" si="53"/>
        <v>0</v>
      </c>
      <c r="S67" s="277">
        <f t="shared" si="53"/>
        <v>0</v>
      </c>
      <c r="T67" s="292">
        <f>SUM(L67:S67)</f>
        <v>0</v>
      </c>
    </row>
    <row r="68" spans="1:20">
      <c r="A68" s="16"/>
      <c r="B68" s="16"/>
      <c r="C68" s="16"/>
      <c r="D68" s="37"/>
      <c r="E68" s="16"/>
      <c r="F68" s="16"/>
      <c r="G68" s="39"/>
      <c r="H68" s="39"/>
      <c r="I68" s="39"/>
      <c r="K68" s="293" t="s">
        <v>182</v>
      </c>
      <c r="L68" s="299">
        <f t="shared" ref="L68:S68" si="54">IF(L66&lt;0,"N/A",VLOOKUP(L66,$A$7:$E$91,5,FALSE))</f>
        <v>0</v>
      </c>
      <c r="M68" s="299">
        <f t="shared" si="54"/>
        <v>0</v>
      </c>
      <c r="N68" s="299">
        <f t="shared" si="54"/>
        <v>0</v>
      </c>
      <c r="O68" s="299">
        <f t="shared" si="54"/>
        <v>0</v>
      </c>
      <c r="P68" s="299">
        <f t="shared" si="54"/>
        <v>0</v>
      </c>
      <c r="Q68" s="299">
        <f t="shared" si="54"/>
        <v>0</v>
      </c>
      <c r="R68" s="299">
        <f t="shared" si="54"/>
        <v>0</v>
      </c>
      <c r="S68" s="299">
        <f t="shared" si="54"/>
        <v>0</v>
      </c>
      <c r="T68" s="295">
        <f>SUM(L68:S68)</f>
        <v>0</v>
      </c>
    </row>
    <row r="69" spans="1:20">
      <c r="A69" s="16"/>
      <c r="B69" s="16"/>
      <c r="C69" s="16"/>
      <c r="D69" s="37"/>
      <c r="E69" s="16"/>
      <c r="F69" s="16"/>
      <c r="G69" s="39"/>
      <c r="H69" s="39"/>
      <c r="I69" s="39"/>
      <c r="K69" s="301" t="s">
        <v>215</v>
      </c>
      <c r="L69" s="300">
        <f t="shared" ref="L69:S69" si="55">IF(L66&lt;0,"N/A",VLOOKUP(L66,$A$7:$I$91,6,FALSE))</f>
        <v>0</v>
      </c>
      <c r="M69" s="300">
        <f t="shared" si="55"/>
        <v>0</v>
      </c>
      <c r="N69" s="300">
        <f t="shared" si="55"/>
        <v>0</v>
      </c>
      <c r="O69" s="300">
        <f t="shared" si="55"/>
        <v>0</v>
      </c>
      <c r="P69" s="300">
        <f t="shared" si="55"/>
        <v>0</v>
      </c>
      <c r="Q69" s="300">
        <f t="shared" si="55"/>
        <v>0</v>
      </c>
      <c r="R69" s="300">
        <f t="shared" si="55"/>
        <v>0</v>
      </c>
      <c r="S69" s="300">
        <f t="shared" si="55"/>
        <v>0</v>
      </c>
      <c r="T69" s="295">
        <f>SUM(L69:S69)/2</f>
        <v>0</v>
      </c>
    </row>
    <row r="70" spans="1:20" ht="26.4">
      <c r="A70" s="16"/>
      <c r="B70" s="16"/>
      <c r="C70" s="16"/>
      <c r="D70" s="37"/>
      <c r="E70" s="16"/>
      <c r="F70" s="16"/>
      <c r="G70" s="39"/>
      <c r="H70" s="39"/>
      <c r="I70" s="39"/>
      <c r="K70" s="302" t="s">
        <v>216</v>
      </c>
      <c r="L70" s="308">
        <f t="shared" ref="L70:S70" si="56">IF(L66&lt;0,"N/A",VLOOKUP(L66,$A$7:$I$91,9,FALSE))</f>
        <v>0</v>
      </c>
      <c r="M70" s="298">
        <f t="shared" si="56"/>
        <v>0</v>
      </c>
      <c r="N70" s="298">
        <f t="shared" si="56"/>
        <v>0</v>
      </c>
      <c r="O70" s="298">
        <f t="shared" si="56"/>
        <v>0</v>
      </c>
      <c r="P70" s="298">
        <f t="shared" si="56"/>
        <v>0</v>
      </c>
      <c r="Q70" s="298">
        <f t="shared" si="56"/>
        <v>0</v>
      </c>
      <c r="R70" s="298">
        <f t="shared" si="56"/>
        <v>0</v>
      </c>
      <c r="S70" s="298">
        <f t="shared" si="56"/>
        <v>0</v>
      </c>
      <c r="T70" s="295">
        <f>SUM(L70:S70)</f>
        <v>0</v>
      </c>
    </row>
    <row r="71" spans="1:20">
      <c r="A71" s="16"/>
      <c r="B71" s="16"/>
      <c r="C71" s="16"/>
      <c r="D71" s="37"/>
      <c r="E71" s="16"/>
      <c r="F71" s="16"/>
      <c r="G71" s="39"/>
      <c r="H71" s="39"/>
      <c r="I71" s="39"/>
      <c r="K71" s="360"/>
      <c r="L71" s="361"/>
      <c r="M71" s="362"/>
      <c r="N71" s="362"/>
      <c r="O71" s="362"/>
      <c r="P71" s="362"/>
      <c r="Q71" s="362"/>
      <c r="R71" s="362"/>
      <c r="S71" s="362"/>
      <c r="T71" s="292"/>
    </row>
    <row r="72" spans="1:20">
      <c r="A72" s="38"/>
      <c r="B72" s="38"/>
      <c r="C72" s="16"/>
      <c r="D72" s="37"/>
      <c r="E72" s="16"/>
      <c r="F72" s="16"/>
      <c r="K72" s="113"/>
      <c r="L72" s="114" t="str">
        <f t="shared" ref="L72:S72" si="57">IF(L73&lt;2,"N/A",IF(L73&lt;49,"BP - "&amp;VLOOKUP(L73,$A$7:$E$91,3,FALSE),IF(OR(L73=49,L73=51,L73=53),"L1 - "&amp;VLOOKUP(L73,$A$7:$E$91,3,FALSE),IF(OR(L73=50,L73=52,L73=54),"L2 - "&amp;VLOOKUP(L73,$A$7:$E$91,3,FALSE)))))</f>
        <v>N/A</v>
      </c>
      <c r="M72" s="114" t="str">
        <f t="shared" si="57"/>
        <v>N/A</v>
      </c>
      <c r="N72" s="114" t="str">
        <f t="shared" si="57"/>
        <v>N/A</v>
      </c>
      <c r="O72" s="114" t="str">
        <f t="shared" si="57"/>
        <v>N/A</v>
      </c>
      <c r="P72" s="114" t="str">
        <f t="shared" si="57"/>
        <v>N/A</v>
      </c>
      <c r="Q72" s="114" t="str">
        <f t="shared" si="57"/>
        <v>N/A</v>
      </c>
      <c r="R72" s="114" t="str">
        <f t="shared" si="57"/>
        <v>N/A</v>
      </c>
      <c r="S72" s="114" t="str">
        <f t="shared" si="57"/>
        <v>N/A</v>
      </c>
      <c r="T72" s="115" t="s">
        <v>102</v>
      </c>
    </row>
    <row r="73" spans="1:20">
      <c r="A73" s="16"/>
      <c r="B73" s="16"/>
      <c r="C73" s="16"/>
      <c r="D73" s="37"/>
      <c r="E73" s="16"/>
      <c r="F73" s="16"/>
      <c r="K73" s="116"/>
      <c r="L73" s="117">
        <v>1</v>
      </c>
      <c r="M73" s="117">
        <v>1</v>
      </c>
      <c r="N73" s="117">
        <v>1</v>
      </c>
      <c r="O73" s="117">
        <v>1</v>
      </c>
      <c r="P73" s="117">
        <v>1</v>
      </c>
      <c r="Q73" s="117">
        <v>1</v>
      </c>
      <c r="R73" s="117">
        <v>1</v>
      </c>
      <c r="S73" s="117">
        <v>1</v>
      </c>
      <c r="T73" s="118"/>
    </row>
    <row r="74" spans="1:20">
      <c r="A74" s="38"/>
      <c r="B74" s="38"/>
      <c r="C74" s="16"/>
      <c r="D74" s="37"/>
      <c r="E74" s="16"/>
      <c r="F74" s="16"/>
      <c r="K74" s="116" t="s">
        <v>100</v>
      </c>
      <c r="L74" s="117" t="str">
        <f t="shared" ref="L74:S74" si="58">IF(L73&lt;2,"N/A",VLOOKUP(L73,$A$7:$E$91,3,FALSE))</f>
        <v>N/A</v>
      </c>
      <c r="M74" s="117" t="str">
        <f t="shared" si="58"/>
        <v>N/A</v>
      </c>
      <c r="N74" s="117" t="str">
        <f t="shared" si="58"/>
        <v>N/A</v>
      </c>
      <c r="O74" s="117" t="str">
        <f t="shared" si="58"/>
        <v>N/A</v>
      </c>
      <c r="P74" s="117" t="str">
        <f t="shared" si="58"/>
        <v>N/A</v>
      </c>
      <c r="Q74" s="117" t="str">
        <f t="shared" si="58"/>
        <v>N/A</v>
      </c>
      <c r="R74" s="117" t="str">
        <f t="shared" si="58"/>
        <v>N/A</v>
      </c>
      <c r="S74" s="117" t="str">
        <f t="shared" si="58"/>
        <v>N/A</v>
      </c>
      <c r="T74" s="118">
        <f>SUM(L74:Q74)</f>
        <v>0</v>
      </c>
    </row>
    <row r="75" spans="1:20">
      <c r="A75" s="16"/>
      <c r="B75" s="16"/>
      <c r="C75" s="16"/>
      <c r="D75" s="37"/>
      <c r="E75" s="16"/>
      <c r="K75" s="119" t="s">
        <v>182</v>
      </c>
      <c r="L75" s="120" t="str">
        <f t="shared" ref="L75:S75" si="59">IF(L73&lt;2,"N/A",VLOOKUP(L73,$A$7:$E$91,5,FALSE))</f>
        <v>N/A</v>
      </c>
      <c r="M75" s="120" t="str">
        <f t="shared" si="59"/>
        <v>N/A</v>
      </c>
      <c r="N75" s="120" t="str">
        <f t="shared" si="59"/>
        <v>N/A</v>
      </c>
      <c r="O75" s="120" t="str">
        <f t="shared" si="59"/>
        <v>N/A</v>
      </c>
      <c r="P75" s="120" t="str">
        <f t="shared" si="59"/>
        <v>N/A</v>
      </c>
      <c r="Q75" s="120" t="str">
        <f t="shared" si="59"/>
        <v>N/A</v>
      </c>
      <c r="R75" s="120" t="str">
        <f t="shared" si="59"/>
        <v>N/A</v>
      </c>
      <c r="S75" s="120" t="str">
        <f t="shared" si="59"/>
        <v>N/A</v>
      </c>
      <c r="T75" s="121">
        <f>SUM(L75:Q75)</f>
        <v>0</v>
      </c>
    </row>
    <row r="76" spans="1:20">
      <c r="A76" s="38"/>
      <c r="B76" s="38"/>
      <c r="C76" s="16"/>
      <c r="D76" s="37"/>
      <c r="E76" s="16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0">
      <c r="A77" s="16"/>
      <c r="B77" s="16"/>
      <c r="C77" s="16"/>
      <c r="D77" s="37"/>
      <c r="E77" s="16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0">
      <c r="A78" s="38"/>
      <c r="B78" s="38"/>
      <c r="C78" s="16"/>
      <c r="D78" s="37"/>
      <c r="E78" s="16"/>
      <c r="K78" s="113"/>
      <c r="L78" s="114" t="str">
        <f t="shared" ref="L78:S78" si="60">IF(L79&lt;2,"N/A",IF(L79&lt;49,"BP - "&amp;VLOOKUP(L79,$A$7:$E$91,3,FALSE),IF(OR(L79=49,L79=51,L79=53),"L1 - "&amp;VLOOKUP(L79,$A$7:$E$91,3,FALSE),IF(OR(L79=50,L79=52,L79=54),"L2 - "&amp;VLOOKUP(L79,$A$7:$E$91,3,FALSE)))))</f>
        <v>N/A</v>
      </c>
      <c r="M78" s="114" t="str">
        <f t="shared" si="60"/>
        <v>N/A</v>
      </c>
      <c r="N78" s="114" t="str">
        <f t="shared" si="60"/>
        <v>N/A</v>
      </c>
      <c r="O78" s="114" t="str">
        <f t="shared" si="60"/>
        <v>N/A</v>
      </c>
      <c r="P78" s="114" t="str">
        <f t="shared" si="60"/>
        <v>N/A</v>
      </c>
      <c r="Q78" s="114" t="str">
        <f t="shared" si="60"/>
        <v>N/A</v>
      </c>
      <c r="R78" s="114" t="str">
        <f t="shared" si="60"/>
        <v>N/A</v>
      </c>
      <c r="S78" s="114" t="str">
        <f t="shared" si="60"/>
        <v>N/A</v>
      </c>
      <c r="T78" s="115" t="s">
        <v>102</v>
      </c>
    </row>
    <row r="79" spans="1:20">
      <c r="A79" s="16"/>
      <c r="B79" s="16"/>
      <c r="C79" s="16"/>
      <c r="D79" s="37"/>
      <c r="E79" s="16"/>
      <c r="K79" s="116"/>
      <c r="L79" s="117">
        <v>1</v>
      </c>
      <c r="M79" s="117">
        <v>1</v>
      </c>
      <c r="N79" s="117">
        <v>1</v>
      </c>
      <c r="O79" s="117">
        <v>1</v>
      </c>
      <c r="P79" s="117">
        <v>1</v>
      </c>
      <c r="Q79" s="117">
        <v>1</v>
      </c>
      <c r="R79" s="117">
        <v>1</v>
      </c>
      <c r="S79" s="117">
        <v>1</v>
      </c>
      <c r="T79" s="118"/>
    </row>
    <row r="80" spans="1:20">
      <c r="A80" s="38"/>
      <c r="B80" s="38"/>
      <c r="C80" s="16"/>
      <c r="D80" s="37"/>
      <c r="E80" s="16"/>
      <c r="K80" s="116" t="s">
        <v>100</v>
      </c>
      <c r="L80" s="117" t="str">
        <f t="shared" ref="L80:S80" si="61">IF(L79&lt;2,"N/A",VLOOKUP(L79,$A$7:$E$91,3,FALSE))</f>
        <v>N/A</v>
      </c>
      <c r="M80" s="117" t="str">
        <f t="shared" si="61"/>
        <v>N/A</v>
      </c>
      <c r="N80" s="117" t="str">
        <f t="shared" si="61"/>
        <v>N/A</v>
      </c>
      <c r="O80" s="117" t="str">
        <f t="shared" si="61"/>
        <v>N/A</v>
      </c>
      <c r="P80" s="117" t="str">
        <f t="shared" si="61"/>
        <v>N/A</v>
      </c>
      <c r="Q80" s="117" t="str">
        <f t="shared" si="61"/>
        <v>N/A</v>
      </c>
      <c r="R80" s="117" t="str">
        <f t="shared" si="61"/>
        <v>N/A</v>
      </c>
      <c r="S80" s="117" t="str">
        <f t="shared" si="61"/>
        <v>N/A</v>
      </c>
      <c r="T80" s="118">
        <f>SUM(L80:Q80)</f>
        <v>0</v>
      </c>
    </row>
    <row r="81" spans="1:20">
      <c r="A81" s="16"/>
      <c r="B81" s="16"/>
      <c r="C81" s="16"/>
      <c r="D81" s="37"/>
      <c r="E81" s="16"/>
      <c r="K81" s="119" t="s">
        <v>182</v>
      </c>
      <c r="L81" s="120" t="str">
        <f t="shared" ref="L81:S81" si="62">IF(L79&lt;2,"N/A",VLOOKUP(L79,$A$7:$E$91,5,FALSE))</f>
        <v>N/A</v>
      </c>
      <c r="M81" s="120" t="str">
        <f t="shared" si="62"/>
        <v>N/A</v>
      </c>
      <c r="N81" s="120" t="str">
        <f t="shared" si="62"/>
        <v>N/A</v>
      </c>
      <c r="O81" s="120" t="str">
        <f t="shared" si="62"/>
        <v>N/A</v>
      </c>
      <c r="P81" s="120" t="str">
        <f t="shared" si="62"/>
        <v>N/A</v>
      </c>
      <c r="Q81" s="120" t="str">
        <f t="shared" si="62"/>
        <v>N/A</v>
      </c>
      <c r="R81" s="120" t="str">
        <f t="shared" si="62"/>
        <v>N/A</v>
      </c>
      <c r="S81" s="120" t="str">
        <f t="shared" si="62"/>
        <v>N/A</v>
      </c>
      <c r="T81" s="121">
        <f>SUM(L81:Q81)</f>
        <v>0</v>
      </c>
    </row>
    <row r="82" spans="1:20">
      <c r="A82" s="38"/>
      <c r="B82" s="38"/>
      <c r="C82" s="16"/>
      <c r="D82" s="37"/>
      <c r="E82" s="16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>
      <c r="A83" s="16"/>
      <c r="B83" s="16"/>
      <c r="C83" s="16"/>
      <c r="D83" s="37"/>
      <c r="E83" s="16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>
      <c r="A84" s="38"/>
      <c r="B84" s="38"/>
      <c r="C84" s="16"/>
      <c r="D84" s="37"/>
      <c r="E84" s="16"/>
      <c r="K84" s="113"/>
      <c r="L84" s="114" t="str">
        <f t="shared" ref="L84:S84" si="63">IF(L85&lt;2,"N/A",IF(L85&lt;49,"BP - "&amp;VLOOKUP(L85,$A$7:$E$91,3,FALSE),IF(OR(L85=49,L85=51,L85=53),"L1 - "&amp;VLOOKUP(L85,$A$7:$E$91,3,FALSE),IF(OR(L85=50,L85=52,L85=54),"L2 - "&amp;VLOOKUP(L85,$A$7:$E$91,3,FALSE)))))</f>
        <v>N/A</v>
      </c>
      <c r="M84" s="114" t="str">
        <f t="shared" si="63"/>
        <v>N/A</v>
      </c>
      <c r="N84" s="114" t="str">
        <f t="shared" si="63"/>
        <v>N/A</v>
      </c>
      <c r="O84" s="114" t="str">
        <f t="shared" si="63"/>
        <v>N/A</v>
      </c>
      <c r="P84" s="114" t="str">
        <f t="shared" si="63"/>
        <v>N/A</v>
      </c>
      <c r="Q84" s="114" t="str">
        <f t="shared" si="63"/>
        <v>N/A</v>
      </c>
      <c r="R84" s="114" t="str">
        <f t="shared" si="63"/>
        <v>N/A</v>
      </c>
      <c r="S84" s="114" t="str">
        <f t="shared" si="63"/>
        <v>N/A</v>
      </c>
      <c r="T84" s="115" t="s">
        <v>102</v>
      </c>
    </row>
    <row r="85" spans="1:20">
      <c r="A85" s="16"/>
      <c r="B85" s="16"/>
      <c r="C85" s="16"/>
      <c r="D85" s="37"/>
      <c r="E85" s="16"/>
      <c r="K85" s="116"/>
      <c r="L85" s="117">
        <v>1</v>
      </c>
      <c r="M85" s="117">
        <v>1</v>
      </c>
      <c r="N85" s="117">
        <v>1</v>
      </c>
      <c r="O85" s="117">
        <v>1</v>
      </c>
      <c r="P85" s="117">
        <v>1</v>
      </c>
      <c r="Q85" s="117">
        <v>1</v>
      </c>
      <c r="R85" s="117">
        <v>1</v>
      </c>
      <c r="S85" s="117">
        <v>1</v>
      </c>
      <c r="T85" s="118"/>
    </row>
    <row r="86" spans="1:20">
      <c r="A86" s="38"/>
      <c r="B86" s="16"/>
      <c r="C86" s="16"/>
      <c r="D86" s="37"/>
      <c r="E86" s="16"/>
      <c r="K86" s="116" t="s">
        <v>100</v>
      </c>
      <c r="L86" s="117" t="str">
        <f t="shared" ref="L86:S86" si="64">IF(L85&lt;2,"N/A",VLOOKUP(L85,$A$7:$E$91,3,FALSE))</f>
        <v>N/A</v>
      </c>
      <c r="M86" s="117" t="str">
        <f t="shared" si="64"/>
        <v>N/A</v>
      </c>
      <c r="N86" s="117" t="str">
        <f t="shared" si="64"/>
        <v>N/A</v>
      </c>
      <c r="O86" s="117" t="str">
        <f t="shared" si="64"/>
        <v>N/A</v>
      </c>
      <c r="P86" s="117" t="str">
        <f t="shared" si="64"/>
        <v>N/A</v>
      </c>
      <c r="Q86" s="117" t="str">
        <f t="shared" si="64"/>
        <v>N/A</v>
      </c>
      <c r="R86" s="117" t="str">
        <f t="shared" si="64"/>
        <v>N/A</v>
      </c>
      <c r="S86" s="117" t="str">
        <f t="shared" si="64"/>
        <v>N/A</v>
      </c>
      <c r="T86" s="118">
        <f>SUM(L86:Q86)</f>
        <v>0</v>
      </c>
    </row>
    <row r="87" spans="1:20">
      <c r="A87" s="16"/>
      <c r="B87" s="16"/>
      <c r="C87" s="16"/>
      <c r="D87" s="37"/>
      <c r="E87" s="16"/>
      <c r="K87" s="119" t="s">
        <v>182</v>
      </c>
      <c r="L87" s="120" t="str">
        <f t="shared" ref="L87:S87" si="65">IF(L85&lt;2,"N/A",VLOOKUP(L85,$A$7:$E$91,5,FALSE))</f>
        <v>N/A</v>
      </c>
      <c r="M87" s="120" t="str">
        <f t="shared" si="65"/>
        <v>N/A</v>
      </c>
      <c r="N87" s="120" t="str">
        <f t="shared" si="65"/>
        <v>N/A</v>
      </c>
      <c r="O87" s="120" t="str">
        <f t="shared" si="65"/>
        <v>N/A</v>
      </c>
      <c r="P87" s="120" t="str">
        <f t="shared" si="65"/>
        <v>N/A</v>
      </c>
      <c r="Q87" s="120" t="str">
        <f t="shared" si="65"/>
        <v>N/A</v>
      </c>
      <c r="R87" s="120" t="str">
        <f t="shared" si="65"/>
        <v>N/A</v>
      </c>
      <c r="S87" s="120" t="str">
        <f t="shared" si="65"/>
        <v>N/A</v>
      </c>
      <c r="T87" s="121">
        <f>SUM(L87:Q87)</f>
        <v>0</v>
      </c>
    </row>
    <row r="88" spans="1:20">
      <c r="A88" s="38"/>
      <c r="B88" s="16"/>
      <c r="C88" s="16"/>
      <c r="D88" s="37"/>
      <c r="E88" s="16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>
      <c r="A89" s="16"/>
      <c r="B89" s="16"/>
      <c r="C89" s="16"/>
      <c r="D89" s="37"/>
      <c r="E89" s="16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>
      <c r="A90" s="38"/>
      <c r="B90" s="16"/>
      <c r="C90" s="16"/>
      <c r="D90" s="37"/>
      <c r="E90" s="16"/>
      <c r="K90" s="113"/>
      <c r="L90" s="114" t="str">
        <f t="shared" ref="L90:S90" si="66">IF(L91&lt;2,"N/A",IF(L91&lt;49,"BP - "&amp;VLOOKUP(L91,$A$7:$E$91,3,FALSE),IF(OR(L91=49,L91=51,L91=53),"L1 - "&amp;VLOOKUP(L91,$A$7:$E$91,3,FALSE),IF(OR(L91=50,L91=52,L91=54),"L2 - "&amp;VLOOKUP(L91,$A$7:$E$91,3,FALSE)))))</f>
        <v>BP - 20</v>
      </c>
      <c r="M90" s="114" t="str">
        <f t="shared" si="66"/>
        <v>BP - 5</v>
      </c>
      <c r="N90" s="114" t="str">
        <f t="shared" si="66"/>
        <v>BP - 0</v>
      </c>
      <c r="O90" s="114" t="str">
        <f t="shared" si="66"/>
        <v>BP - 0</v>
      </c>
      <c r="P90" s="114" t="str">
        <f t="shared" si="66"/>
        <v>BP - 0</v>
      </c>
      <c r="Q90" s="114" t="str">
        <f t="shared" si="66"/>
        <v>BP - 0</v>
      </c>
      <c r="R90" s="114" t="str">
        <f t="shared" si="66"/>
        <v>BP - 0</v>
      </c>
      <c r="S90" s="114" t="str">
        <f t="shared" si="66"/>
        <v>BP - 0</v>
      </c>
      <c r="T90" s="115" t="s">
        <v>102</v>
      </c>
    </row>
    <row r="91" spans="1:20">
      <c r="A91" s="16"/>
      <c r="B91" s="16"/>
      <c r="C91" s="16"/>
      <c r="D91" s="37"/>
      <c r="E91" s="16"/>
      <c r="K91" s="116"/>
      <c r="L91" s="117">
        <v>21</v>
      </c>
      <c r="M91" s="117">
        <v>10</v>
      </c>
      <c r="N91" s="117">
        <v>30</v>
      </c>
      <c r="O91" s="117">
        <v>30</v>
      </c>
      <c r="P91" s="117">
        <v>30</v>
      </c>
      <c r="Q91" s="117">
        <v>30</v>
      </c>
      <c r="R91" s="117">
        <v>30</v>
      </c>
      <c r="S91" s="117">
        <v>30</v>
      </c>
      <c r="T91" s="118"/>
    </row>
    <row r="92" spans="1:20">
      <c r="K92" s="116" t="s">
        <v>100</v>
      </c>
      <c r="L92" s="117">
        <f t="shared" ref="L92:S92" si="67">IF(L91&lt;2,"N/A",VLOOKUP(L91,$A$7:$E$91,3,FALSE))</f>
        <v>20</v>
      </c>
      <c r="M92" s="117">
        <f t="shared" si="67"/>
        <v>5</v>
      </c>
      <c r="N92" s="117">
        <f t="shared" si="67"/>
        <v>0</v>
      </c>
      <c r="O92" s="117">
        <f t="shared" si="67"/>
        <v>0</v>
      </c>
      <c r="P92" s="117">
        <f t="shared" si="67"/>
        <v>0</v>
      </c>
      <c r="Q92" s="117">
        <f t="shared" si="67"/>
        <v>0</v>
      </c>
      <c r="R92" s="117">
        <f t="shared" si="67"/>
        <v>0</v>
      </c>
      <c r="S92" s="117">
        <f t="shared" si="67"/>
        <v>0</v>
      </c>
      <c r="T92" s="118">
        <f>SUM(L92:Q92)</f>
        <v>25</v>
      </c>
    </row>
    <row r="93" spans="1:20">
      <c r="K93" s="119" t="s">
        <v>182</v>
      </c>
      <c r="L93" s="120">
        <f t="shared" ref="L93:S93" si="68">IF(L91&lt;2,"N/A",VLOOKUP(L91,$A$7:$E$91,5,FALSE))</f>
        <v>-1.2E-2</v>
      </c>
      <c r="M93" s="120">
        <f t="shared" si="68"/>
        <v>4.8000000000000001E-2</v>
      </c>
      <c r="N93" s="120">
        <f t="shared" si="68"/>
        <v>0</v>
      </c>
      <c r="O93" s="120">
        <f t="shared" si="68"/>
        <v>0</v>
      </c>
      <c r="P93" s="120">
        <f t="shared" si="68"/>
        <v>0</v>
      </c>
      <c r="Q93" s="120">
        <f t="shared" si="68"/>
        <v>0</v>
      </c>
      <c r="R93" s="120">
        <f t="shared" si="68"/>
        <v>0</v>
      </c>
      <c r="S93" s="120">
        <f t="shared" si="68"/>
        <v>0</v>
      </c>
      <c r="T93" s="121">
        <f>SUM(L93:Q93)</f>
        <v>3.6000000000000004E-2</v>
      </c>
    </row>
  </sheetData>
  <sheetProtection insertHyperlinks="0" sort="0" autoFilter="0" pivotTables="0"/>
  <mergeCells count="3">
    <mergeCell ref="K3:T3"/>
    <mergeCell ref="D5:D6"/>
    <mergeCell ref="A5:A6"/>
  </mergeCells>
  <phoneticPr fontId="24" type="noConversion"/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W164"/>
  <sheetViews>
    <sheetView topLeftCell="A142" zoomScale="85" zoomScaleNormal="85" workbookViewId="0">
      <selection activeCell="G165" sqref="G165"/>
    </sheetView>
  </sheetViews>
  <sheetFormatPr baseColWidth="10" defaultColWidth="11.5546875" defaultRowHeight="13.2"/>
  <cols>
    <col min="1" max="1" width="19.6640625" bestFit="1" customWidth="1"/>
    <col min="2" max="2" width="12.33203125" bestFit="1" customWidth="1"/>
    <col min="3" max="3" width="17" customWidth="1"/>
    <col min="4" max="4" width="13.88671875" customWidth="1"/>
    <col min="5" max="5" width="14.44140625" customWidth="1"/>
    <col min="6" max="6" width="16.33203125" customWidth="1"/>
    <col min="7" max="7" width="20.33203125" bestFit="1" customWidth="1"/>
    <col min="8" max="8" width="13.33203125" customWidth="1"/>
    <col min="9" max="9" width="17.5546875" customWidth="1"/>
    <col min="10" max="10" width="15" customWidth="1"/>
    <col min="11" max="11" width="21" customWidth="1"/>
    <col min="12" max="12" width="13.33203125" customWidth="1"/>
  </cols>
  <sheetData>
    <row r="1" spans="1:11" ht="17.399999999999999">
      <c r="A1" s="525" t="s">
        <v>220</v>
      </c>
      <c r="B1" s="525"/>
      <c r="C1" s="123"/>
      <c r="D1" s="123"/>
      <c r="E1" s="123"/>
    </row>
    <row r="2" spans="1:11" ht="28.8">
      <c r="A2" s="13" t="s">
        <v>221</v>
      </c>
      <c r="B2" s="124" t="s">
        <v>222</v>
      </c>
      <c r="C2" s="13" t="s">
        <v>223</v>
      </c>
      <c r="D2" s="125" t="s">
        <v>224</v>
      </c>
      <c r="E2" s="125" t="s">
        <v>225</v>
      </c>
      <c r="F2" s="13" t="s">
        <v>226</v>
      </c>
      <c r="G2" s="125" t="s">
        <v>227</v>
      </c>
      <c r="J2" s="526" t="s">
        <v>228</v>
      </c>
      <c r="K2" s="526"/>
    </row>
    <row r="3" spans="1:11" ht="13.8">
      <c r="A3" s="126" t="s">
        <v>253</v>
      </c>
      <c r="B3" s="127">
        <f>Resultados!V21</f>
        <v>0</v>
      </c>
      <c r="C3" s="128">
        <f>Resultados!V45</f>
        <v>1.0000238050000001</v>
      </c>
      <c r="D3" s="63">
        <v>1</v>
      </c>
      <c r="E3" s="157">
        <f>B3*C3</f>
        <v>0</v>
      </c>
      <c r="F3" s="158">
        <f t="shared" ref="F3:F9" si="0">E3^2/$E$10^2*100</f>
        <v>0</v>
      </c>
      <c r="G3" s="131">
        <v>4</v>
      </c>
      <c r="J3" s="132" t="s">
        <v>230</v>
      </c>
      <c r="K3" s="133" t="s">
        <v>231</v>
      </c>
    </row>
    <row r="4" spans="1:11">
      <c r="A4" s="126" t="s">
        <v>254</v>
      </c>
      <c r="B4" s="134">
        <f>Resultados!W21</f>
        <v>6.6395280956806967E-7</v>
      </c>
      <c r="C4" s="134">
        <f>Resultados!W45</f>
        <v>0</v>
      </c>
      <c r="D4" s="135" t="s">
        <v>233</v>
      </c>
      <c r="E4" s="157">
        <f t="shared" ref="E4:E9" si="1">B4*C4</f>
        <v>0</v>
      </c>
      <c r="F4" s="158">
        <f t="shared" si="0"/>
        <v>0</v>
      </c>
      <c r="G4" s="131">
        <v>50</v>
      </c>
      <c r="J4" s="136">
        <v>1</v>
      </c>
      <c r="K4" s="136">
        <v>13.97</v>
      </c>
    </row>
    <row r="5" spans="1:11" ht="13.8">
      <c r="A5" s="137" t="s">
        <v>255</v>
      </c>
      <c r="B5" s="134">
        <f>Resultados!X21</f>
        <v>1.2956594202695915</v>
      </c>
      <c r="C5" s="134">
        <f>Resultados!X45</f>
        <v>0</v>
      </c>
      <c r="D5" s="138" t="s">
        <v>235</v>
      </c>
      <c r="E5" s="157">
        <f t="shared" si="1"/>
        <v>0</v>
      </c>
      <c r="F5" s="158">
        <f t="shared" si="0"/>
        <v>0</v>
      </c>
      <c r="G5" s="131">
        <v>50</v>
      </c>
      <c r="J5" s="136">
        <v>2</v>
      </c>
      <c r="K5" s="136">
        <v>4.53</v>
      </c>
    </row>
    <row r="6" spans="1:11">
      <c r="A6" s="126" t="s">
        <v>236</v>
      </c>
      <c r="B6" s="134">
        <f>Resultados!Y21</f>
        <v>0</v>
      </c>
      <c r="C6" s="134">
        <f>Resultados!Y45</f>
        <v>-1.0000020700000001</v>
      </c>
      <c r="D6" s="63">
        <v>1</v>
      </c>
      <c r="E6" s="157">
        <f t="shared" si="1"/>
        <v>0</v>
      </c>
      <c r="F6" s="158">
        <f t="shared" si="0"/>
        <v>0</v>
      </c>
      <c r="G6" s="131" t="s">
        <v>237</v>
      </c>
      <c r="J6" s="136">
        <v>3</v>
      </c>
      <c r="K6" s="136">
        <v>3.31</v>
      </c>
    </row>
    <row r="7" spans="1:11">
      <c r="A7" s="126" t="s">
        <v>238</v>
      </c>
      <c r="B7" s="134">
        <f>Resultados!Z21</f>
        <v>6.6395280956806967E-7</v>
      </c>
      <c r="C7" s="134">
        <f>Resultados!Z45</f>
        <v>0</v>
      </c>
      <c r="D7" s="135" t="s">
        <v>233</v>
      </c>
      <c r="E7" s="157">
        <f t="shared" si="1"/>
        <v>0</v>
      </c>
      <c r="F7" s="158">
        <f t="shared" si="0"/>
        <v>0</v>
      </c>
      <c r="G7" s="131">
        <v>50</v>
      </c>
      <c r="J7" s="136">
        <v>4</v>
      </c>
      <c r="K7" s="136">
        <v>2.87</v>
      </c>
    </row>
    <row r="8" spans="1:11" ht="13.8">
      <c r="A8" s="137" t="s">
        <v>239</v>
      </c>
      <c r="B8" s="134">
        <f>Resultados!AA21</f>
        <v>1.2956594202695915</v>
      </c>
      <c r="C8" s="134">
        <f>Resultados!AA45</f>
        <v>0</v>
      </c>
      <c r="D8" s="138" t="s">
        <v>235</v>
      </c>
      <c r="E8" s="157">
        <f t="shared" si="1"/>
        <v>0</v>
      </c>
      <c r="F8" s="158">
        <f t="shared" si="0"/>
        <v>0</v>
      </c>
      <c r="G8" s="131">
        <v>50</v>
      </c>
      <c r="J8" s="136">
        <v>5</v>
      </c>
      <c r="K8" s="136">
        <v>2.65</v>
      </c>
    </row>
    <row r="9" spans="1:11">
      <c r="A9" s="126" t="s">
        <v>242</v>
      </c>
      <c r="B9" s="139">
        <f>Resultados!AB21</f>
        <v>0.28867513459481292</v>
      </c>
      <c r="C9" s="128">
        <f>Resultados!AB45</f>
        <v>1</v>
      </c>
      <c r="D9" s="63">
        <v>1</v>
      </c>
      <c r="E9" s="157">
        <f t="shared" si="1"/>
        <v>0.28867513459481292</v>
      </c>
      <c r="F9" s="158">
        <f t="shared" si="0"/>
        <v>100</v>
      </c>
      <c r="G9" s="131" t="s">
        <v>237</v>
      </c>
      <c r="J9" s="136">
        <v>6</v>
      </c>
      <c r="K9" s="136">
        <v>2.52</v>
      </c>
    </row>
    <row r="10" spans="1:11">
      <c r="E10" s="129">
        <f>SQRT(SUMSQ(E3:E9))</f>
        <v>0.28867513459481292</v>
      </c>
      <c r="F10" s="156">
        <f>SUM(F3:F9)</f>
        <v>100</v>
      </c>
      <c r="G10" s="141" t="e">
        <f>(E10^4)/(((E3^4)/G3)+((E4^4)/G4)+((E5^4)/G5)+0+((E7^4)/G7)+0+((E8^4)/G8)+0)</f>
        <v>#DIV/0!</v>
      </c>
      <c r="J10" s="136">
        <v>7</v>
      </c>
      <c r="K10" s="136">
        <v>2.4300000000000002</v>
      </c>
    </row>
    <row r="11" spans="1:11" ht="15">
      <c r="F11" s="142" t="s">
        <v>230</v>
      </c>
      <c r="G11" s="143" t="e">
        <f>G10</f>
        <v>#DIV/0!</v>
      </c>
      <c r="J11" s="136">
        <v>8</v>
      </c>
      <c r="K11" s="136">
        <v>2.37</v>
      </c>
    </row>
    <row r="12" spans="1:11">
      <c r="F12" s="133" t="s">
        <v>231</v>
      </c>
      <c r="G12" s="135" t="e">
        <f>IF(G11&gt;100,2,VLOOKUP(G11,$J$4:$K$30,2))</f>
        <v>#DIV/0!</v>
      </c>
      <c r="J12" s="136">
        <v>9</v>
      </c>
      <c r="K12" s="136">
        <v>2.3199999999999998</v>
      </c>
    </row>
    <row r="13" spans="1:11">
      <c r="J13" s="136">
        <v>10</v>
      </c>
      <c r="K13" s="136">
        <v>2.2799999999999998</v>
      </c>
    </row>
    <row r="14" spans="1:11" ht="17.399999999999999">
      <c r="A14" s="144" t="s">
        <v>243</v>
      </c>
      <c r="B14" s="144"/>
      <c r="C14" s="123"/>
      <c r="D14" s="123"/>
      <c r="E14" s="123"/>
      <c r="J14" s="136">
        <v>11</v>
      </c>
      <c r="K14" s="136">
        <v>2.25</v>
      </c>
    </row>
    <row r="15" spans="1:11" ht="28.8">
      <c r="A15" s="13" t="s">
        <v>221</v>
      </c>
      <c r="B15" s="124" t="s">
        <v>222</v>
      </c>
      <c r="C15" s="13" t="s">
        <v>223</v>
      </c>
      <c r="D15" s="125" t="s">
        <v>224</v>
      </c>
      <c r="E15" s="125" t="s">
        <v>225</v>
      </c>
      <c r="F15" s="13" t="s">
        <v>226</v>
      </c>
      <c r="G15" s="125" t="s">
        <v>227</v>
      </c>
      <c r="J15" s="136">
        <v>12</v>
      </c>
      <c r="K15" s="136">
        <v>2.23</v>
      </c>
    </row>
    <row r="16" spans="1:11">
      <c r="A16" s="126" t="s">
        <v>253</v>
      </c>
      <c r="B16" s="127">
        <f>Resultados!V22</f>
        <v>0</v>
      </c>
      <c r="C16" s="128">
        <f>Resultados!V46</f>
        <v>1.0000238050000001</v>
      </c>
      <c r="D16" s="63">
        <v>1</v>
      </c>
      <c r="E16" s="129">
        <f>B16*C16</f>
        <v>0</v>
      </c>
      <c r="F16" s="44">
        <f>E16^2/$E$23^2*100</f>
        <v>0</v>
      </c>
      <c r="G16" s="131">
        <v>4</v>
      </c>
      <c r="J16" s="136">
        <v>13</v>
      </c>
      <c r="K16" s="136">
        <v>2.21</v>
      </c>
    </row>
    <row r="17" spans="1:23">
      <c r="A17" s="126" t="s">
        <v>254</v>
      </c>
      <c r="B17" s="134">
        <f>Resultados!W22</f>
        <v>6.6395280956806967E-7</v>
      </c>
      <c r="C17" s="134">
        <f>Resultados!W46</f>
        <v>0</v>
      </c>
      <c r="D17" s="135" t="s">
        <v>233</v>
      </c>
      <c r="E17" s="129">
        <f t="shared" ref="E17:E22" si="2">B17*C17</f>
        <v>0</v>
      </c>
      <c r="F17" s="44">
        <f t="shared" ref="F17:F22" si="3">E17^2/$E$23^2*100</f>
        <v>0</v>
      </c>
      <c r="G17" s="131">
        <v>50</v>
      </c>
      <c r="J17" s="136">
        <v>14</v>
      </c>
      <c r="K17" s="136">
        <v>2.2000000000000002</v>
      </c>
    </row>
    <row r="18" spans="1:23" ht="13.8">
      <c r="A18" s="137" t="s">
        <v>255</v>
      </c>
      <c r="B18" s="134">
        <f>Resultados!X22</f>
        <v>1.2956594202695915</v>
      </c>
      <c r="C18" s="134">
        <f>Resultados!X46</f>
        <v>0</v>
      </c>
      <c r="D18" s="138" t="s">
        <v>235</v>
      </c>
      <c r="E18" s="129">
        <f t="shared" si="2"/>
        <v>0</v>
      </c>
      <c r="F18" s="44">
        <f t="shared" si="3"/>
        <v>0</v>
      </c>
      <c r="G18" s="131">
        <v>50</v>
      </c>
      <c r="J18" s="136">
        <v>15</v>
      </c>
      <c r="K18" s="136">
        <v>2.1800000000000002</v>
      </c>
    </row>
    <row r="19" spans="1:23">
      <c r="A19" s="126" t="s">
        <v>236</v>
      </c>
      <c r="B19" s="134">
        <f>Resultados!Y22</f>
        <v>0</v>
      </c>
      <c r="C19" s="134">
        <f>Resultados!Y46</f>
        <v>-1.0000020700000001</v>
      </c>
      <c r="D19" s="63">
        <v>1</v>
      </c>
      <c r="E19" s="129">
        <f t="shared" si="2"/>
        <v>0</v>
      </c>
      <c r="F19" s="44">
        <f t="shared" si="3"/>
        <v>0</v>
      </c>
      <c r="G19" s="131" t="s">
        <v>237</v>
      </c>
      <c r="J19" s="136">
        <v>16</v>
      </c>
      <c r="K19" s="136">
        <v>2.17</v>
      </c>
    </row>
    <row r="20" spans="1:23">
      <c r="A20" s="126" t="s">
        <v>238</v>
      </c>
      <c r="B20" s="134">
        <f>Resultados!Z22</f>
        <v>6.6395280956806967E-7</v>
      </c>
      <c r="C20" s="134">
        <f>Resultados!Z46</f>
        <v>0</v>
      </c>
      <c r="D20" s="135" t="s">
        <v>233</v>
      </c>
      <c r="E20" s="129">
        <f t="shared" si="2"/>
        <v>0</v>
      </c>
      <c r="F20" s="44">
        <f t="shared" si="3"/>
        <v>0</v>
      </c>
      <c r="G20" s="131">
        <v>50</v>
      </c>
      <c r="J20" s="136">
        <v>17</v>
      </c>
      <c r="K20" s="136">
        <v>2.16</v>
      </c>
      <c r="L20" s="145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</row>
    <row r="21" spans="1:23" ht="13.8">
      <c r="A21" s="137" t="s">
        <v>239</v>
      </c>
      <c r="B21" s="134">
        <f>Resultados!AA22</f>
        <v>1.2956594202695915</v>
      </c>
      <c r="C21" s="134">
        <f>Resultados!AA46</f>
        <v>0</v>
      </c>
      <c r="D21" s="138" t="s">
        <v>235</v>
      </c>
      <c r="E21" s="129">
        <f t="shared" si="2"/>
        <v>0</v>
      </c>
      <c r="F21" s="44">
        <f t="shared" si="3"/>
        <v>0</v>
      </c>
      <c r="G21" s="131">
        <v>50</v>
      </c>
      <c r="J21" s="136">
        <v>18</v>
      </c>
      <c r="K21" s="136">
        <v>2.15</v>
      </c>
    </row>
    <row r="22" spans="1:23">
      <c r="A22" s="126" t="s">
        <v>242</v>
      </c>
      <c r="B22" s="139">
        <f>Resultados!AB22</f>
        <v>0.28867513459481292</v>
      </c>
      <c r="C22" s="128">
        <f>Resultados!AB46</f>
        <v>1</v>
      </c>
      <c r="D22" s="63">
        <v>1</v>
      </c>
      <c r="E22" s="154">
        <f t="shared" si="2"/>
        <v>0.28867513459481292</v>
      </c>
      <c r="F22" s="44">
        <f t="shared" si="3"/>
        <v>100</v>
      </c>
      <c r="G22" s="131" t="s">
        <v>237</v>
      </c>
      <c r="J22" s="136">
        <v>19</v>
      </c>
      <c r="K22" s="136">
        <v>2.14</v>
      </c>
    </row>
    <row r="23" spans="1:23">
      <c r="E23" s="129">
        <f>SQRT(SUMSQ(E16:E22))</f>
        <v>0.28867513459481292</v>
      </c>
      <c r="F23" s="140">
        <f>SUM(F16:F22)</f>
        <v>100</v>
      </c>
      <c r="G23" s="141" t="e">
        <f>(E23^4)/(((E16^4)/G16)+((E17^4)/G17)+((E18^4)/G18)+0+((E20^4)/G20)+0+((E21^4)/G21)+0)</f>
        <v>#DIV/0!</v>
      </c>
      <c r="J23" s="136">
        <v>20</v>
      </c>
      <c r="K23" s="136">
        <v>2.13</v>
      </c>
    </row>
    <row r="24" spans="1:23" ht="15">
      <c r="F24" s="142" t="s">
        <v>230</v>
      </c>
      <c r="G24" s="143" t="e">
        <f>G23</f>
        <v>#DIV/0!</v>
      </c>
      <c r="J24" s="136">
        <v>25</v>
      </c>
      <c r="K24" s="136">
        <v>2.11</v>
      </c>
    </row>
    <row r="25" spans="1:23">
      <c r="F25" s="133" t="s">
        <v>231</v>
      </c>
      <c r="G25" s="135" t="e">
        <f>IF(G24&gt;100,2,VLOOKUP(G24,$J$4:$K$30,2))</f>
        <v>#DIV/0!</v>
      </c>
      <c r="J25" s="136">
        <v>30</v>
      </c>
      <c r="K25" s="136">
        <v>2.09</v>
      </c>
    </row>
    <row r="26" spans="1:23">
      <c r="E26" s="147"/>
      <c r="F26" s="148"/>
      <c r="G26" s="149"/>
      <c r="J26" s="136">
        <v>35</v>
      </c>
      <c r="K26" s="136">
        <v>2.0699999999999998</v>
      </c>
    </row>
    <row r="27" spans="1:23" ht="15">
      <c r="F27" s="150"/>
      <c r="G27" s="151"/>
      <c r="J27" s="136">
        <v>40</v>
      </c>
      <c r="K27" s="136">
        <v>2.06</v>
      </c>
    </row>
    <row r="28" spans="1:23">
      <c r="F28" s="152"/>
      <c r="G28" s="153"/>
      <c r="J28" s="136">
        <v>45</v>
      </c>
      <c r="K28" s="136">
        <v>2.06</v>
      </c>
    </row>
    <row r="29" spans="1:23">
      <c r="J29" s="136">
        <v>50</v>
      </c>
      <c r="K29" s="136">
        <v>2.0499999999999998</v>
      </c>
    </row>
    <row r="30" spans="1:23" ht="17.399999999999999">
      <c r="A30" s="144" t="s">
        <v>244</v>
      </c>
      <c r="B30" s="144"/>
      <c r="C30" s="123"/>
      <c r="D30" s="123"/>
      <c r="E30" s="123"/>
      <c r="J30" s="136">
        <v>100</v>
      </c>
      <c r="K30" s="136">
        <v>2.0249999999999999</v>
      </c>
    </row>
    <row r="31" spans="1:23" ht="28.8">
      <c r="A31" s="13" t="s">
        <v>221</v>
      </c>
      <c r="B31" s="124" t="s">
        <v>222</v>
      </c>
      <c r="C31" s="13" t="s">
        <v>223</v>
      </c>
      <c r="D31" s="125" t="s">
        <v>224</v>
      </c>
      <c r="E31" s="125" t="s">
        <v>225</v>
      </c>
      <c r="F31" s="13" t="s">
        <v>226</v>
      </c>
      <c r="G31" s="125" t="s">
        <v>227</v>
      </c>
      <c r="J31" s="131" t="s">
        <v>237</v>
      </c>
      <c r="K31" s="44">
        <v>2</v>
      </c>
    </row>
    <row r="32" spans="1:23">
      <c r="A32" s="126" t="s">
        <v>253</v>
      </c>
      <c r="B32" s="127">
        <f>Resultados!V23</f>
        <v>0</v>
      </c>
      <c r="C32" s="128">
        <f>Resultados!V47</f>
        <v>1.0000238050000001</v>
      </c>
      <c r="D32" s="63">
        <v>1</v>
      </c>
      <c r="E32" s="129">
        <f>B32*C32</f>
        <v>0</v>
      </c>
      <c r="F32" s="130">
        <f>E32^2/$E$39^2*100</f>
        <v>0</v>
      </c>
      <c r="G32" s="131">
        <v>4</v>
      </c>
    </row>
    <row r="33" spans="1:7">
      <c r="A33" s="126" t="s">
        <v>254</v>
      </c>
      <c r="B33" s="134">
        <f>Resultados!W23</f>
        <v>6.6395280956806967E-7</v>
      </c>
      <c r="C33" s="134">
        <f>Resultados!W47</f>
        <v>0</v>
      </c>
      <c r="D33" s="135" t="s">
        <v>233</v>
      </c>
      <c r="E33" s="129">
        <f t="shared" ref="E33:E38" si="4">B33*C33</f>
        <v>0</v>
      </c>
      <c r="F33" s="130">
        <f t="shared" ref="F33:F38" si="5">E33^2/$E$39^2*100</f>
        <v>0</v>
      </c>
      <c r="G33" s="131">
        <v>50</v>
      </c>
    </row>
    <row r="34" spans="1:7" ht="13.8">
      <c r="A34" s="137" t="s">
        <v>255</v>
      </c>
      <c r="B34" s="134">
        <f>Resultados!X23</f>
        <v>1.2956594202695915</v>
      </c>
      <c r="C34" s="134">
        <f>Resultados!X47</f>
        <v>0</v>
      </c>
      <c r="D34" s="138" t="s">
        <v>235</v>
      </c>
      <c r="E34" s="129">
        <f t="shared" si="4"/>
        <v>0</v>
      </c>
      <c r="F34" s="130">
        <f t="shared" si="5"/>
        <v>0</v>
      </c>
      <c r="G34" s="131">
        <v>50</v>
      </c>
    </row>
    <row r="35" spans="1:7">
      <c r="A35" s="126" t="s">
        <v>236</v>
      </c>
      <c r="B35" s="134">
        <f>Resultados!Y23</f>
        <v>0</v>
      </c>
      <c r="C35" s="134">
        <f>Resultados!Y47</f>
        <v>-1.0000020700000001</v>
      </c>
      <c r="D35" s="63">
        <v>1</v>
      </c>
      <c r="E35" s="129">
        <f t="shared" si="4"/>
        <v>0</v>
      </c>
      <c r="F35" s="130">
        <f t="shared" si="5"/>
        <v>0</v>
      </c>
      <c r="G35" s="131" t="s">
        <v>237</v>
      </c>
    </row>
    <row r="36" spans="1:7">
      <c r="A36" s="126" t="s">
        <v>238</v>
      </c>
      <c r="B36" s="134">
        <f>Resultados!Z23</f>
        <v>6.6395280956806967E-7</v>
      </c>
      <c r="C36" s="134">
        <f>Resultados!Z47</f>
        <v>0</v>
      </c>
      <c r="D36" s="135" t="s">
        <v>233</v>
      </c>
      <c r="E36" s="129">
        <f t="shared" si="4"/>
        <v>0</v>
      </c>
      <c r="F36" s="130">
        <f t="shared" si="5"/>
        <v>0</v>
      </c>
      <c r="G36" s="131">
        <v>50</v>
      </c>
    </row>
    <row r="37" spans="1:7" ht="13.8">
      <c r="A37" s="137" t="s">
        <v>239</v>
      </c>
      <c r="B37" s="134">
        <f>Resultados!AA23</f>
        <v>1.2956594202695915</v>
      </c>
      <c r="C37" s="134">
        <f>Resultados!AA47</f>
        <v>0</v>
      </c>
      <c r="D37" s="138" t="s">
        <v>235</v>
      </c>
      <c r="E37" s="129">
        <f t="shared" si="4"/>
        <v>0</v>
      </c>
      <c r="F37" s="130">
        <f t="shared" si="5"/>
        <v>0</v>
      </c>
      <c r="G37" s="131">
        <v>50</v>
      </c>
    </row>
    <row r="38" spans="1:7">
      <c r="A38" s="126" t="s">
        <v>242</v>
      </c>
      <c r="B38" s="139">
        <f>Resultados!AB23</f>
        <v>0.28867513459481292</v>
      </c>
      <c r="C38" s="128">
        <f>Resultados!AB47</f>
        <v>1</v>
      </c>
      <c r="D38" s="63">
        <v>1</v>
      </c>
      <c r="E38" s="129">
        <f t="shared" si="4"/>
        <v>0.28867513459481292</v>
      </c>
      <c r="F38" s="130">
        <f t="shared" si="5"/>
        <v>100</v>
      </c>
      <c r="G38" s="131" t="s">
        <v>237</v>
      </c>
    </row>
    <row r="39" spans="1:7">
      <c r="E39" s="129">
        <f>SQRT(SUMSQ(E32:E38))</f>
        <v>0.28867513459481292</v>
      </c>
      <c r="F39" s="140">
        <f>SUM(F32:F38)</f>
        <v>100</v>
      </c>
      <c r="G39" s="141" t="e">
        <f>(E39^4)/(((E32^4)/G32)+((E33^4)/G33)+((E34^4)/G34)+0+((E36^4)/G36)+0+((E37^4)/G37)+0)</f>
        <v>#DIV/0!</v>
      </c>
    </row>
    <row r="40" spans="1:7" ht="15">
      <c r="F40" s="142" t="s">
        <v>230</v>
      </c>
      <c r="G40" s="143" t="e">
        <f>G39</f>
        <v>#DIV/0!</v>
      </c>
    </row>
    <row r="41" spans="1:7">
      <c r="F41" s="133" t="s">
        <v>231</v>
      </c>
      <c r="G41" s="135" t="e">
        <f>IF(G40&gt;100,2,VLOOKUP(G40,$J$4:$K$30,2))</f>
        <v>#DIV/0!</v>
      </c>
    </row>
    <row r="42" spans="1:7">
      <c r="A42" s="155"/>
      <c r="B42" s="155"/>
      <c r="C42" s="155"/>
      <c r="D42" s="155"/>
      <c r="E42" s="147"/>
      <c r="F42" s="148"/>
      <c r="G42" s="149"/>
    </row>
    <row r="43" spans="1:7" ht="15">
      <c r="A43" s="155"/>
      <c r="B43" s="155"/>
      <c r="C43" s="155"/>
      <c r="D43" s="155"/>
      <c r="E43" s="155"/>
      <c r="F43" s="150"/>
      <c r="G43" s="151"/>
    </row>
    <row r="44" spans="1:7">
      <c r="A44" s="155"/>
      <c r="B44" s="155"/>
      <c r="C44" s="155"/>
      <c r="D44" s="155"/>
      <c r="E44" s="155"/>
      <c r="F44" s="152"/>
      <c r="G44" s="153"/>
    </row>
    <row r="45" spans="1:7" ht="17.399999999999999">
      <c r="A45" s="144" t="s">
        <v>245</v>
      </c>
      <c r="B45" s="144"/>
      <c r="C45" s="123"/>
      <c r="D45" s="123"/>
      <c r="E45" s="123"/>
    </row>
    <row r="46" spans="1:7" ht="28.8">
      <c r="A46" s="13" t="s">
        <v>221</v>
      </c>
      <c r="B46" s="124" t="s">
        <v>222</v>
      </c>
      <c r="C46" s="13" t="s">
        <v>223</v>
      </c>
      <c r="D46" s="125" t="s">
        <v>224</v>
      </c>
      <c r="E46" s="125" t="s">
        <v>225</v>
      </c>
      <c r="F46" s="13" t="s">
        <v>226</v>
      </c>
      <c r="G46" s="125" t="s">
        <v>227</v>
      </c>
    </row>
    <row r="47" spans="1:7">
      <c r="A47" s="126" t="s">
        <v>253</v>
      </c>
      <c r="B47" s="127">
        <f>Resultados!V24</f>
        <v>0</v>
      </c>
      <c r="C47" s="128">
        <f>Resultados!V48</f>
        <v>1.0000238050000001</v>
      </c>
      <c r="D47" s="63">
        <v>1</v>
      </c>
      <c r="E47" s="129">
        <f>B47*C47</f>
        <v>0</v>
      </c>
      <c r="F47" s="130">
        <f>E47^2/$E$54^2*100</f>
        <v>0</v>
      </c>
      <c r="G47" s="131">
        <v>4</v>
      </c>
    </row>
    <row r="48" spans="1:7">
      <c r="A48" s="126" t="s">
        <v>254</v>
      </c>
      <c r="B48" s="134">
        <f>Resultados!W24</f>
        <v>6.6395280956806967E-7</v>
      </c>
      <c r="C48" s="134">
        <f>Resultados!W48</f>
        <v>0</v>
      </c>
      <c r="D48" s="135" t="s">
        <v>233</v>
      </c>
      <c r="E48" s="129">
        <f t="shared" ref="E48:E53" si="6">B48*C48</f>
        <v>0</v>
      </c>
      <c r="F48" s="130">
        <f t="shared" ref="F48:F53" si="7">E48^2/$E$54^2*100</f>
        <v>0</v>
      </c>
      <c r="G48" s="131">
        <v>50</v>
      </c>
    </row>
    <row r="49" spans="1:7" ht="13.8">
      <c r="A49" s="137" t="s">
        <v>255</v>
      </c>
      <c r="B49" s="134">
        <f>Resultados!X24</f>
        <v>1.2956594202695915</v>
      </c>
      <c r="C49" s="134">
        <f>Resultados!X48</f>
        <v>0</v>
      </c>
      <c r="D49" s="138" t="s">
        <v>235</v>
      </c>
      <c r="E49" s="129">
        <f t="shared" si="6"/>
        <v>0</v>
      </c>
      <c r="F49" s="130">
        <f t="shared" si="7"/>
        <v>0</v>
      </c>
      <c r="G49" s="131">
        <v>50</v>
      </c>
    </row>
    <row r="50" spans="1:7">
      <c r="A50" s="126" t="s">
        <v>236</v>
      </c>
      <c r="B50" s="134">
        <f>Resultados!Y24</f>
        <v>0</v>
      </c>
      <c r="C50" s="134">
        <f>Resultados!Y48</f>
        <v>-1.0000020700000001</v>
      </c>
      <c r="D50" s="63">
        <v>1</v>
      </c>
      <c r="E50" s="129">
        <f t="shared" si="6"/>
        <v>0</v>
      </c>
      <c r="F50" s="130">
        <f t="shared" si="7"/>
        <v>0</v>
      </c>
      <c r="G50" s="131" t="s">
        <v>237</v>
      </c>
    </row>
    <row r="51" spans="1:7">
      <c r="A51" s="126" t="s">
        <v>238</v>
      </c>
      <c r="B51" s="134">
        <f>Resultados!Z24</f>
        <v>6.6395280956806967E-7</v>
      </c>
      <c r="C51" s="134">
        <f>Resultados!Z48</f>
        <v>0</v>
      </c>
      <c r="D51" s="135" t="s">
        <v>233</v>
      </c>
      <c r="E51" s="129">
        <f t="shared" si="6"/>
        <v>0</v>
      </c>
      <c r="F51" s="130">
        <f t="shared" si="7"/>
        <v>0</v>
      </c>
      <c r="G51" s="131">
        <v>50</v>
      </c>
    </row>
    <row r="52" spans="1:7" ht="13.8">
      <c r="A52" s="137" t="s">
        <v>239</v>
      </c>
      <c r="B52" s="134">
        <f>Resultados!AA24</f>
        <v>1.2956594202695915</v>
      </c>
      <c r="C52" s="134">
        <f>Resultados!AA48</f>
        <v>0</v>
      </c>
      <c r="D52" s="138" t="s">
        <v>235</v>
      </c>
      <c r="E52" s="129">
        <f t="shared" si="6"/>
        <v>0</v>
      </c>
      <c r="F52" s="130">
        <f t="shared" si="7"/>
        <v>0</v>
      </c>
      <c r="G52" s="131">
        <v>50</v>
      </c>
    </row>
    <row r="53" spans="1:7">
      <c r="A53" s="126" t="s">
        <v>242</v>
      </c>
      <c r="B53" s="139">
        <f>Resultados!AB24</f>
        <v>0.28867513459481292</v>
      </c>
      <c r="C53" s="128">
        <f>Resultados!AB48</f>
        <v>1</v>
      </c>
      <c r="D53" s="63">
        <v>1</v>
      </c>
      <c r="E53" s="129">
        <f t="shared" si="6"/>
        <v>0.28867513459481292</v>
      </c>
      <c r="F53" s="130">
        <f t="shared" si="7"/>
        <v>100</v>
      </c>
      <c r="G53" s="131" t="s">
        <v>237</v>
      </c>
    </row>
    <row r="54" spans="1:7">
      <c r="E54" s="129">
        <f>SQRT(SUMSQ(E47:E53))</f>
        <v>0.28867513459481292</v>
      </c>
      <c r="F54" s="140">
        <f>SUM(F47:F53)</f>
        <v>100</v>
      </c>
      <c r="G54" s="141" t="e">
        <f>(E54^4)/(((E47^4)/G47)+((E48^4)/G48)+((E49^4)/G49)+0+((E51^4)/G51)+0+((E52^4)/G52)+0)</f>
        <v>#DIV/0!</v>
      </c>
    </row>
    <row r="55" spans="1:7" ht="15">
      <c r="F55" s="142" t="s">
        <v>230</v>
      </c>
      <c r="G55" s="143" t="e">
        <f>G54</f>
        <v>#DIV/0!</v>
      </c>
    </row>
    <row r="56" spans="1:7">
      <c r="F56" s="133" t="s">
        <v>231</v>
      </c>
      <c r="G56" s="135" t="e">
        <f>IF(G55&gt;100,2,VLOOKUP(G55,$J$4:$K$30,2))</f>
        <v>#DIV/0!</v>
      </c>
    </row>
    <row r="57" spans="1:7">
      <c r="A57" s="155"/>
      <c r="B57" s="155"/>
      <c r="C57" s="155"/>
      <c r="D57" s="155"/>
      <c r="E57" s="147"/>
      <c r="F57" s="148"/>
      <c r="G57" s="149"/>
    </row>
    <row r="58" spans="1:7" ht="15">
      <c r="A58" s="155"/>
      <c r="B58" s="155"/>
      <c r="C58" s="155"/>
      <c r="D58" s="155"/>
      <c r="E58" s="155"/>
      <c r="F58" s="150"/>
      <c r="G58" s="151"/>
    </row>
    <row r="59" spans="1:7">
      <c r="A59" s="155"/>
      <c r="B59" s="155"/>
      <c r="C59" s="155"/>
      <c r="D59" s="155"/>
      <c r="E59" s="155"/>
      <c r="F59" s="152"/>
      <c r="G59" s="153"/>
    </row>
    <row r="60" spans="1:7" ht="17.399999999999999">
      <c r="A60" s="144" t="s">
        <v>246</v>
      </c>
      <c r="B60" s="144"/>
      <c r="C60" s="123"/>
      <c r="D60" s="123"/>
      <c r="E60" s="123"/>
    </row>
    <row r="61" spans="1:7" ht="28.8">
      <c r="A61" s="13" t="s">
        <v>221</v>
      </c>
      <c r="B61" s="124" t="s">
        <v>222</v>
      </c>
      <c r="C61" s="13" t="s">
        <v>223</v>
      </c>
      <c r="D61" s="125" t="s">
        <v>224</v>
      </c>
      <c r="E61" s="125" t="s">
        <v>225</v>
      </c>
      <c r="F61" s="13" t="s">
        <v>226</v>
      </c>
      <c r="G61" s="125" t="s">
        <v>227</v>
      </c>
    </row>
    <row r="62" spans="1:7">
      <c r="A62" s="126" t="s">
        <v>253</v>
      </c>
      <c r="B62" s="127">
        <f>Resultados!V25</f>
        <v>0</v>
      </c>
      <c r="C62" s="128">
        <f>Resultados!V49</f>
        <v>1.0000238050000001</v>
      </c>
      <c r="D62" s="63">
        <v>1</v>
      </c>
      <c r="E62" s="129">
        <f>B62*C62</f>
        <v>0</v>
      </c>
      <c r="F62" s="130">
        <f>E62^2/$E$69^2*100</f>
        <v>0</v>
      </c>
      <c r="G62" s="131">
        <v>4</v>
      </c>
    </row>
    <row r="63" spans="1:7">
      <c r="A63" s="126" t="s">
        <v>254</v>
      </c>
      <c r="B63" s="134">
        <f>Resultados!W25</f>
        <v>6.6395280956806967E-7</v>
      </c>
      <c r="C63" s="134">
        <f>Resultados!W49</f>
        <v>0</v>
      </c>
      <c r="D63" s="135" t="s">
        <v>233</v>
      </c>
      <c r="E63" s="129">
        <f t="shared" ref="E63:E68" si="8">B63*C63</f>
        <v>0</v>
      </c>
      <c r="F63" s="130">
        <f t="shared" ref="F63:F68" si="9">E63^2/$E$69^2*100</f>
        <v>0</v>
      </c>
      <c r="G63" s="131">
        <v>50</v>
      </c>
    </row>
    <row r="64" spans="1:7" ht="13.8">
      <c r="A64" s="137" t="s">
        <v>255</v>
      </c>
      <c r="B64" s="134">
        <f>Resultados!X25</f>
        <v>1.2956594202695915</v>
      </c>
      <c r="C64" s="134">
        <f>Resultados!X49</f>
        <v>0</v>
      </c>
      <c r="D64" s="138" t="s">
        <v>235</v>
      </c>
      <c r="E64" s="129">
        <f t="shared" si="8"/>
        <v>0</v>
      </c>
      <c r="F64" s="130">
        <f t="shared" si="9"/>
        <v>0</v>
      </c>
      <c r="G64" s="131">
        <v>50</v>
      </c>
    </row>
    <row r="65" spans="1:7">
      <c r="A65" s="126" t="s">
        <v>236</v>
      </c>
      <c r="B65" s="134">
        <f>Resultados!Y25</f>
        <v>0</v>
      </c>
      <c r="C65" s="134">
        <f>Resultados!Y49</f>
        <v>-1.0000020700000001</v>
      </c>
      <c r="D65" s="63">
        <v>1</v>
      </c>
      <c r="E65" s="129">
        <f t="shared" si="8"/>
        <v>0</v>
      </c>
      <c r="F65" s="130">
        <f t="shared" si="9"/>
        <v>0</v>
      </c>
      <c r="G65" s="131" t="s">
        <v>237</v>
      </c>
    </row>
    <row r="66" spans="1:7">
      <c r="A66" s="126" t="s">
        <v>238</v>
      </c>
      <c r="B66" s="134">
        <f>Resultados!Z25</f>
        <v>6.6395280956806967E-7</v>
      </c>
      <c r="C66" s="134">
        <f>Resultados!Z49</f>
        <v>0</v>
      </c>
      <c r="D66" s="135" t="s">
        <v>233</v>
      </c>
      <c r="E66" s="129">
        <f t="shared" si="8"/>
        <v>0</v>
      </c>
      <c r="F66" s="130">
        <f t="shared" si="9"/>
        <v>0</v>
      </c>
      <c r="G66" s="131">
        <v>50</v>
      </c>
    </row>
    <row r="67" spans="1:7" ht="13.8">
      <c r="A67" s="137" t="s">
        <v>239</v>
      </c>
      <c r="B67" s="134">
        <f>Resultados!AA25</f>
        <v>1.2956594202695915</v>
      </c>
      <c r="C67" s="134">
        <f>Resultados!AA49</f>
        <v>0</v>
      </c>
      <c r="D67" s="138" t="s">
        <v>235</v>
      </c>
      <c r="E67" s="129">
        <f t="shared" si="8"/>
        <v>0</v>
      </c>
      <c r="F67" s="130">
        <f t="shared" si="9"/>
        <v>0</v>
      </c>
      <c r="G67" s="131">
        <v>50</v>
      </c>
    </row>
    <row r="68" spans="1:7">
      <c r="A68" s="126" t="s">
        <v>242</v>
      </c>
      <c r="B68" s="139">
        <f>Resultados!AB25</f>
        <v>0.28867513459481292</v>
      </c>
      <c r="C68" s="128">
        <f>Resultados!AB49</f>
        <v>1</v>
      </c>
      <c r="D68" s="63">
        <v>1</v>
      </c>
      <c r="E68" s="129">
        <f t="shared" si="8"/>
        <v>0.28867513459481292</v>
      </c>
      <c r="F68" s="130">
        <f t="shared" si="9"/>
        <v>100</v>
      </c>
      <c r="G68" s="131" t="s">
        <v>237</v>
      </c>
    </row>
    <row r="69" spans="1:7">
      <c r="E69" s="129">
        <f>SQRT(SUMSQ(E62:E68))</f>
        <v>0.28867513459481292</v>
      </c>
      <c r="F69" s="140">
        <f>SUM(F62:F68)</f>
        <v>100</v>
      </c>
      <c r="G69" s="141" t="e">
        <f>(E69^4)/(((E62^4)/G62)+((E63^4)/G63)+((E64^4)/G64)+0+((E66^4)/G66)+0+((E67^4)/G67)+0)</f>
        <v>#DIV/0!</v>
      </c>
    </row>
    <row r="70" spans="1:7" ht="15">
      <c r="F70" s="142" t="s">
        <v>230</v>
      </c>
      <c r="G70" s="143" t="e">
        <f>G69</f>
        <v>#DIV/0!</v>
      </c>
    </row>
    <row r="71" spans="1:7">
      <c r="F71" s="133" t="s">
        <v>231</v>
      </c>
      <c r="G71" s="135" t="e">
        <f>IF(G70&gt;100,2,VLOOKUP(G70,$J$4:$K$30,2))</f>
        <v>#DIV/0!</v>
      </c>
    </row>
    <row r="72" spans="1:7">
      <c r="A72" s="155"/>
      <c r="B72" s="155"/>
      <c r="C72" s="155"/>
      <c r="D72" s="155"/>
      <c r="E72" s="147"/>
      <c r="F72" s="148"/>
      <c r="G72" s="149"/>
    </row>
    <row r="73" spans="1:7" ht="15">
      <c r="A73" s="155"/>
      <c r="B73" s="155"/>
      <c r="C73" s="155"/>
      <c r="D73" s="155"/>
      <c r="E73" s="155"/>
      <c r="F73" s="150"/>
      <c r="G73" s="151"/>
    </row>
    <row r="74" spans="1:7">
      <c r="A74" s="155"/>
      <c r="B74" s="155"/>
      <c r="C74" s="155"/>
      <c r="D74" s="155"/>
      <c r="E74" s="155"/>
      <c r="F74" s="152"/>
      <c r="G74" s="153"/>
    </row>
    <row r="75" spans="1:7" ht="17.399999999999999">
      <c r="A75" s="144" t="s">
        <v>247</v>
      </c>
      <c r="B75" s="144"/>
      <c r="C75" s="123"/>
      <c r="D75" s="123"/>
      <c r="E75" s="123"/>
    </row>
    <row r="76" spans="1:7" ht="28.8">
      <c r="A76" s="13" t="s">
        <v>221</v>
      </c>
      <c r="B76" s="124" t="s">
        <v>222</v>
      </c>
      <c r="C76" s="13" t="s">
        <v>223</v>
      </c>
      <c r="D76" s="125" t="s">
        <v>224</v>
      </c>
      <c r="E76" s="125" t="s">
        <v>225</v>
      </c>
      <c r="F76" s="13" t="s">
        <v>226</v>
      </c>
      <c r="G76" s="125" t="s">
        <v>227</v>
      </c>
    </row>
    <row r="77" spans="1:7">
      <c r="A77" s="126" t="s">
        <v>253</v>
      </c>
      <c r="B77" s="127">
        <f>Resultados!V26</f>
        <v>0</v>
      </c>
      <c r="C77" s="128">
        <f>Resultados!V50</f>
        <v>1.0000238050000001</v>
      </c>
      <c r="D77" s="63">
        <v>1</v>
      </c>
      <c r="E77" s="129">
        <f>B77*C77</f>
        <v>0</v>
      </c>
      <c r="F77" s="130">
        <f>E77^2/$E$84^2*100</f>
        <v>0</v>
      </c>
      <c r="G77" s="131">
        <v>4</v>
      </c>
    </row>
    <row r="78" spans="1:7">
      <c r="A78" s="126" t="s">
        <v>254</v>
      </c>
      <c r="B78" s="134">
        <f>Resultados!W26</f>
        <v>6.6395280956806967E-7</v>
      </c>
      <c r="C78" s="134">
        <f>Resultados!W50</f>
        <v>0</v>
      </c>
      <c r="D78" s="135" t="s">
        <v>233</v>
      </c>
      <c r="E78" s="129">
        <f t="shared" ref="E78:E83" si="10">B78*C78</f>
        <v>0</v>
      </c>
      <c r="F78" s="130">
        <f t="shared" ref="F78:F83" si="11">E78^2/$E$84^2*100</f>
        <v>0</v>
      </c>
      <c r="G78" s="131">
        <v>50</v>
      </c>
    </row>
    <row r="79" spans="1:7" ht="13.8">
      <c r="A79" s="137" t="s">
        <v>255</v>
      </c>
      <c r="B79" s="134">
        <f>Resultados!X26</f>
        <v>1.2956594202695915</v>
      </c>
      <c r="C79" s="134">
        <f>Resultados!X50</f>
        <v>0</v>
      </c>
      <c r="D79" s="138" t="s">
        <v>235</v>
      </c>
      <c r="E79" s="129">
        <f t="shared" si="10"/>
        <v>0</v>
      </c>
      <c r="F79" s="130">
        <f t="shared" si="11"/>
        <v>0</v>
      </c>
      <c r="G79" s="131">
        <v>50</v>
      </c>
    </row>
    <row r="80" spans="1:7">
      <c r="A80" s="126" t="s">
        <v>236</v>
      </c>
      <c r="B80" s="134">
        <f>Resultados!Y26</f>
        <v>0</v>
      </c>
      <c r="C80" s="134">
        <f>Resultados!Y50</f>
        <v>-1.0000020700000001</v>
      </c>
      <c r="D80" s="63">
        <v>1</v>
      </c>
      <c r="E80" s="129">
        <f t="shared" si="10"/>
        <v>0</v>
      </c>
      <c r="F80" s="130">
        <f t="shared" si="11"/>
        <v>0</v>
      </c>
      <c r="G80" s="131" t="s">
        <v>237</v>
      </c>
    </row>
    <row r="81" spans="1:7">
      <c r="A81" s="126" t="s">
        <v>238</v>
      </c>
      <c r="B81" s="134">
        <f>Resultados!Z26</f>
        <v>6.6395280956806967E-7</v>
      </c>
      <c r="C81" s="134">
        <f>Resultados!Z50</f>
        <v>0</v>
      </c>
      <c r="D81" s="135" t="s">
        <v>233</v>
      </c>
      <c r="E81" s="129">
        <f t="shared" si="10"/>
        <v>0</v>
      </c>
      <c r="F81" s="130">
        <f t="shared" si="11"/>
        <v>0</v>
      </c>
      <c r="G81" s="131">
        <v>50</v>
      </c>
    </row>
    <row r="82" spans="1:7" ht="13.8">
      <c r="A82" s="137" t="s">
        <v>239</v>
      </c>
      <c r="B82" s="134">
        <f>Resultados!AA26</f>
        <v>1.2956594202695915</v>
      </c>
      <c r="C82" s="134">
        <f>Resultados!AA50</f>
        <v>0</v>
      </c>
      <c r="D82" s="138" t="s">
        <v>235</v>
      </c>
      <c r="E82" s="129">
        <f t="shared" si="10"/>
        <v>0</v>
      </c>
      <c r="F82" s="130">
        <f t="shared" si="11"/>
        <v>0</v>
      </c>
      <c r="G82" s="131">
        <v>50</v>
      </c>
    </row>
    <row r="83" spans="1:7">
      <c r="A83" s="126" t="s">
        <v>242</v>
      </c>
      <c r="B83" s="139">
        <f>Resultados!AB26</f>
        <v>0.28867513459481292</v>
      </c>
      <c r="C83" s="128">
        <f>Resultados!AB50</f>
        <v>1</v>
      </c>
      <c r="D83" s="63">
        <v>1</v>
      </c>
      <c r="E83" s="129">
        <f t="shared" si="10"/>
        <v>0.28867513459481292</v>
      </c>
      <c r="F83" s="130">
        <f t="shared" si="11"/>
        <v>100</v>
      </c>
      <c r="G83" s="131" t="s">
        <v>237</v>
      </c>
    </row>
    <row r="84" spans="1:7">
      <c r="E84" s="129">
        <f>SQRT(SUMSQ(E77:E83))</f>
        <v>0.28867513459481292</v>
      </c>
      <c r="F84" s="140">
        <f>SUM(F77:F83)</f>
        <v>100</v>
      </c>
      <c r="G84" s="141" t="e">
        <f>(E84^4)/(((E77^4)/G77)+((E78^4)/G78)+((E79^4)/G79)+0+((E81^4)/G81)+0+((E82^4)/G82)+0)</f>
        <v>#DIV/0!</v>
      </c>
    </row>
    <row r="85" spans="1:7" ht="15">
      <c r="F85" s="142" t="s">
        <v>230</v>
      </c>
      <c r="G85" s="143" t="e">
        <f>G84</f>
        <v>#DIV/0!</v>
      </c>
    </row>
    <row r="86" spans="1:7">
      <c r="F86" s="133" t="s">
        <v>231</v>
      </c>
      <c r="G86" s="135" t="e">
        <f>IF(G85&gt;100,2,VLOOKUP(G85,$J$4:$K$30,2))</f>
        <v>#DIV/0!</v>
      </c>
    </row>
    <row r="87" spans="1:7">
      <c r="A87" s="155"/>
      <c r="B87" s="155"/>
      <c r="C87" s="155"/>
      <c r="D87" s="155"/>
      <c r="E87" s="147"/>
      <c r="F87" s="148"/>
      <c r="G87" s="149"/>
    </row>
    <row r="88" spans="1:7" ht="15">
      <c r="A88" s="155"/>
      <c r="B88" s="155"/>
      <c r="C88" s="155"/>
      <c r="D88" s="155"/>
      <c r="E88" s="155"/>
      <c r="F88" s="150"/>
      <c r="G88" s="151"/>
    </row>
    <row r="89" spans="1:7">
      <c r="A89" s="155"/>
      <c r="B89" s="155"/>
      <c r="C89" s="155"/>
      <c r="D89" s="155"/>
      <c r="E89" s="155"/>
      <c r="F89" s="152"/>
      <c r="G89" s="153"/>
    </row>
    <row r="90" spans="1:7" ht="17.399999999999999">
      <c r="A90" s="144" t="s">
        <v>248</v>
      </c>
      <c r="B90" s="144"/>
      <c r="C90" s="123"/>
      <c r="D90" s="123"/>
      <c r="E90" s="123"/>
    </row>
    <row r="91" spans="1:7" ht="28.8">
      <c r="A91" s="13" t="s">
        <v>221</v>
      </c>
      <c r="B91" s="124" t="s">
        <v>222</v>
      </c>
      <c r="C91" s="13" t="s">
        <v>223</v>
      </c>
      <c r="D91" s="125" t="s">
        <v>224</v>
      </c>
      <c r="E91" s="125" t="s">
        <v>225</v>
      </c>
      <c r="F91" s="13" t="s">
        <v>226</v>
      </c>
      <c r="G91" s="125" t="s">
        <v>227</v>
      </c>
    </row>
    <row r="92" spans="1:7">
      <c r="A92" s="126" t="s">
        <v>253</v>
      </c>
      <c r="B92" s="127">
        <f>Resultados!V27</f>
        <v>0</v>
      </c>
      <c r="C92" s="128">
        <f>Resultados!V51</f>
        <v>1.0000238050000001</v>
      </c>
      <c r="D92" s="63">
        <v>1</v>
      </c>
      <c r="E92" s="129">
        <f>B92*C92</f>
        <v>0</v>
      </c>
      <c r="F92" s="130">
        <f>E92^2/$E$99^2*100</f>
        <v>0</v>
      </c>
      <c r="G92" s="131">
        <v>4</v>
      </c>
    </row>
    <row r="93" spans="1:7">
      <c r="A93" s="126" t="s">
        <v>254</v>
      </c>
      <c r="B93" s="134">
        <f>Resultados!W27</f>
        <v>6.6395280956806967E-7</v>
      </c>
      <c r="C93" s="134">
        <f>Resultados!W51</f>
        <v>0</v>
      </c>
      <c r="D93" s="135" t="s">
        <v>233</v>
      </c>
      <c r="E93" s="129">
        <f t="shared" ref="E93:E98" si="12">B93*C93</f>
        <v>0</v>
      </c>
      <c r="F93" s="130">
        <f t="shared" ref="F93:F98" si="13">E93^2/$E$99^2*100</f>
        <v>0</v>
      </c>
      <c r="G93" s="131">
        <v>50</v>
      </c>
    </row>
    <row r="94" spans="1:7" ht="13.8">
      <c r="A94" s="137" t="s">
        <v>255</v>
      </c>
      <c r="B94" s="134">
        <f>Resultados!X27</f>
        <v>1.2956594202695915</v>
      </c>
      <c r="C94" s="134">
        <f>Resultados!X51</f>
        <v>0</v>
      </c>
      <c r="D94" s="138" t="s">
        <v>235</v>
      </c>
      <c r="E94" s="129">
        <f t="shared" si="12"/>
        <v>0</v>
      </c>
      <c r="F94" s="130">
        <f t="shared" si="13"/>
        <v>0</v>
      </c>
      <c r="G94" s="131">
        <v>50</v>
      </c>
    </row>
    <row r="95" spans="1:7">
      <c r="A95" s="126" t="s">
        <v>236</v>
      </c>
      <c r="B95" s="134">
        <f>Resultados!Y27</f>
        <v>0</v>
      </c>
      <c r="C95" s="134">
        <f>Resultados!Y51</f>
        <v>-1.0000020700000001</v>
      </c>
      <c r="D95" s="63">
        <v>1</v>
      </c>
      <c r="E95" s="129">
        <f t="shared" si="12"/>
        <v>0</v>
      </c>
      <c r="F95" s="130">
        <f t="shared" si="13"/>
        <v>0</v>
      </c>
      <c r="G95" s="131" t="s">
        <v>237</v>
      </c>
    </row>
    <row r="96" spans="1:7">
      <c r="A96" s="126" t="s">
        <v>238</v>
      </c>
      <c r="B96" s="134">
        <f>Resultados!Z27</f>
        <v>6.6395280956806967E-7</v>
      </c>
      <c r="C96" s="134">
        <f>Resultados!Z51</f>
        <v>0</v>
      </c>
      <c r="D96" s="135" t="s">
        <v>233</v>
      </c>
      <c r="E96" s="129">
        <f t="shared" si="12"/>
        <v>0</v>
      </c>
      <c r="F96" s="130">
        <f t="shared" si="13"/>
        <v>0</v>
      </c>
      <c r="G96" s="131">
        <v>50</v>
      </c>
    </row>
    <row r="97" spans="1:7" ht="13.8">
      <c r="A97" s="137" t="s">
        <v>239</v>
      </c>
      <c r="B97" s="134">
        <f>Resultados!AA27</f>
        <v>1.2956594202695915</v>
      </c>
      <c r="C97" s="134">
        <f>Resultados!AA51</f>
        <v>0</v>
      </c>
      <c r="D97" s="138" t="s">
        <v>235</v>
      </c>
      <c r="E97" s="129">
        <f t="shared" si="12"/>
        <v>0</v>
      </c>
      <c r="F97" s="130">
        <f t="shared" si="13"/>
        <v>0</v>
      </c>
      <c r="G97" s="131">
        <v>50</v>
      </c>
    </row>
    <row r="98" spans="1:7">
      <c r="A98" s="126" t="s">
        <v>242</v>
      </c>
      <c r="B98" s="139">
        <f>Resultados!AB27</f>
        <v>0.28867513459481292</v>
      </c>
      <c r="C98" s="128">
        <f>Resultados!AB51</f>
        <v>1</v>
      </c>
      <c r="D98" s="63">
        <v>1</v>
      </c>
      <c r="E98" s="129">
        <f t="shared" si="12"/>
        <v>0.28867513459481292</v>
      </c>
      <c r="F98" s="130">
        <f t="shared" si="13"/>
        <v>100</v>
      </c>
      <c r="G98" s="131" t="s">
        <v>237</v>
      </c>
    </row>
    <row r="99" spans="1:7">
      <c r="E99" s="129">
        <f>SQRT(SUMSQ(E92:E98))</f>
        <v>0.28867513459481292</v>
      </c>
      <c r="F99" s="140">
        <f>SUM(F92:F98)</f>
        <v>100</v>
      </c>
      <c r="G99" s="141" t="e">
        <f>(E99^4)/(((E92^4)/G92)+((E93^4)/G93)+((E94^4)/G94)+0+((E96^4)/G96)+0+((E97^4)/G97)+0)</f>
        <v>#DIV/0!</v>
      </c>
    </row>
    <row r="100" spans="1:7" ht="15">
      <c r="F100" s="142" t="s">
        <v>230</v>
      </c>
      <c r="G100" s="143" t="e">
        <f>G99</f>
        <v>#DIV/0!</v>
      </c>
    </row>
    <row r="101" spans="1:7">
      <c r="F101" s="133" t="s">
        <v>231</v>
      </c>
      <c r="G101" s="135" t="e">
        <f>IF(G100&gt;100,2,VLOOKUP(G100,$J$4:$K$30,2))</f>
        <v>#DIV/0!</v>
      </c>
    </row>
    <row r="102" spans="1:7">
      <c r="A102" s="155"/>
      <c r="B102" s="155"/>
      <c r="C102" s="155"/>
      <c r="D102" s="155"/>
      <c r="E102" s="147"/>
      <c r="F102" s="148"/>
      <c r="G102" s="149"/>
    </row>
    <row r="103" spans="1:7" ht="15">
      <c r="A103" s="155"/>
      <c r="B103" s="155"/>
      <c r="C103" s="155"/>
      <c r="D103" s="155"/>
      <c r="E103" s="155"/>
      <c r="F103" s="150"/>
      <c r="G103" s="151"/>
    </row>
    <row r="104" spans="1:7">
      <c r="A104" s="155"/>
      <c r="B104" s="155"/>
      <c r="C104" s="155"/>
      <c r="D104" s="155"/>
      <c r="E104" s="155"/>
      <c r="F104" s="152"/>
      <c r="G104" s="153"/>
    </row>
    <row r="105" spans="1:7" ht="17.399999999999999">
      <c r="A105" s="144" t="s">
        <v>249</v>
      </c>
      <c r="B105" s="144"/>
      <c r="C105" s="227"/>
      <c r="D105" s="227"/>
      <c r="E105" s="227"/>
      <c r="F105" s="234"/>
      <c r="G105" s="234"/>
    </row>
    <row r="106" spans="1:7" ht="28.8">
      <c r="A106" s="235" t="s">
        <v>221</v>
      </c>
      <c r="B106" s="236" t="s">
        <v>222</v>
      </c>
      <c r="C106" s="235" t="s">
        <v>223</v>
      </c>
      <c r="D106" s="237" t="s">
        <v>224</v>
      </c>
      <c r="E106" s="237" t="s">
        <v>225</v>
      </c>
      <c r="F106" s="235" t="s">
        <v>226</v>
      </c>
      <c r="G106" s="237" t="s">
        <v>227</v>
      </c>
    </row>
    <row r="107" spans="1:7">
      <c r="A107" s="238" t="s">
        <v>253</v>
      </c>
      <c r="B107" s="239">
        <f>Resultados!V28</f>
        <v>0</v>
      </c>
      <c r="C107" s="240">
        <f>Resultados!V52</f>
        <v>1.0000238050000001</v>
      </c>
      <c r="D107" s="241">
        <v>1</v>
      </c>
      <c r="E107" s="242">
        <f>B107*C107</f>
        <v>0</v>
      </c>
      <c r="F107" s="243">
        <f t="shared" ref="F107:F113" si="14">E107^2/$E$10^2*100</f>
        <v>0</v>
      </c>
      <c r="G107" s="244">
        <v>4</v>
      </c>
    </row>
    <row r="108" spans="1:7">
      <c r="A108" s="238" t="s">
        <v>254</v>
      </c>
      <c r="B108" s="242">
        <f>Resultados!W28</f>
        <v>6.6395280956806967E-7</v>
      </c>
      <c r="C108" s="242">
        <f>Resultados!W52</f>
        <v>0</v>
      </c>
      <c r="D108" s="245" t="s">
        <v>233</v>
      </c>
      <c r="E108" s="242">
        <f>B108*C108</f>
        <v>0</v>
      </c>
      <c r="F108" s="243">
        <f t="shared" si="14"/>
        <v>0</v>
      </c>
      <c r="G108" s="244">
        <v>50</v>
      </c>
    </row>
    <row r="109" spans="1:7" ht="13.8">
      <c r="A109" s="246" t="s">
        <v>255</v>
      </c>
      <c r="B109" s="242">
        <f>Resultados!X28</f>
        <v>1.2956594202695915</v>
      </c>
      <c r="C109" s="242">
        <f>Resultados!X52</f>
        <v>0</v>
      </c>
      <c r="D109" s="247" t="s">
        <v>235</v>
      </c>
      <c r="E109" s="242">
        <f>B109*C109</f>
        <v>0</v>
      </c>
      <c r="F109" s="243">
        <f t="shared" si="14"/>
        <v>0</v>
      </c>
      <c r="G109" s="244">
        <v>50</v>
      </c>
    </row>
    <row r="110" spans="1:7">
      <c r="A110" s="238" t="s">
        <v>236</v>
      </c>
      <c r="B110" s="242">
        <f>Resultados!Y28</f>
        <v>0</v>
      </c>
      <c r="C110" s="242">
        <f>Resultados!Y52</f>
        <v>-1.0000020700000001</v>
      </c>
      <c r="D110" s="241">
        <v>1</v>
      </c>
      <c r="E110" s="242">
        <f>B110*C110</f>
        <v>0</v>
      </c>
      <c r="F110" s="243">
        <f t="shared" si="14"/>
        <v>0</v>
      </c>
      <c r="G110" s="244" t="s">
        <v>237</v>
      </c>
    </row>
    <row r="111" spans="1:7">
      <c r="A111" s="238" t="s">
        <v>238</v>
      </c>
      <c r="B111" s="242">
        <f>Resultados!Z28</f>
        <v>6.6395280956806967E-7</v>
      </c>
      <c r="C111" s="242">
        <f>Resultados!Z52</f>
        <v>0</v>
      </c>
      <c r="D111" s="245" t="s">
        <v>233</v>
      </c>
      <c r="E111" s="242">
        <f>B111*C111</f>
        <v>0</v>
      </c>
      <c r="F111" s="243">
        <f t="shared" si="14"/>
        <v>0</v>
      </c>
      <c r="G111" s="244">
        <v>50</v>
      </c>
    </row>
    <row r="112" spans="1:7" ht="13.8">
      <c r="A112" s="246" t="s">
        <v>239</v>
      </c>
      <c r="B112" s="242">
        <f>Resultados!AA28</f>
        <v>1.2956594202695915</v>
      </c>
      <c r="C112" s="242">
        <f>Resultados!AA52</f>
        <v>0</v>
      </c>
      <c r="D112" s="247" t="s">
        <v>235</v>
      </c>
      <c r="E112" s="242">
        <f t="shared" ref="E112" si="15">B112*C112</f>
        <v>0</v>
      </c>
      <c r="F112" s="243">
        <f t="shared" si="14"/>
        <v>0</v>
      </c>
      <c r="G112" s="244">
        <v>50</v>
      </c>
    </row>
    <row r="113" spans="1:7">
      <c r="A113" s="238" t="s">
        <v>242</v>
      </c>
      <c r="B113" s="248">
        <f>Resultados!AB28</f>
        <v>0.28867513459481292</v>
      </c>
      <c r="C113" s="240">
        <f>Resultados!AB52</f>
        <v>1</v>
      </c>
      <c r="D113" s="241">
        <v>1</v>
      </c>
      <c r="E113" s="242">
        <f>B113*C113</f>
        <v>0.28867513459481292</v>
      </c>
      <c r="F113" s="243">
        <f t="shared" si="14"/>
        <v>100</v>
      </c>
      <c r="G113" s="244" t="s">
        <v>237</v>
      </c>
    </row>
    <row r="114" spans="1:7">
      <c r="A114" s="234"/>
      <c r="B114" s="234"/>
      <c r="C114" s="234"/>
      <c r="D114" s="234"/>
      <c r="E114" s="242">
        <f>SQRT(SUMSQ(E107:E113))</f>
        <v>0.28867513459481292</v>
      </c>
      <c r="F114" s="249">
        <f>SUM(F107:F113)</f>
        <v>100</v>
      </c>
      <c r="G114" s="250" t="e">
        <f>(E114^4)/(((E107^4)/G107)+((E108^4)/G108)+((E109^4)/G109)+0+((E111^4)/G111)+0+((E112^4)/G112)+0)</f>
        <v>#DIV/0!</v>
      </c>
    </row>
    <row r="115" spans="1:7" ht="15">
      <c r="A115" s="234"/>
      <c r="B115" s="234"/>
      <c r="C115" s="234"/>
      <c r="D115" s="234"/>
      <c r="E115" s="234"/>
      <c r="F115" s="251" t="s">
        <v>230</v>
      </c>
      <c r="G115" s="252" t="e">
        <f>G114</f>
        <v>#DIV/0!</v>
      </c>
    </row>
    <row r="116" spans="1:7">
      <c r="A116" s="234"/>
      <c r="B116" s="234"/>
      <c r="C116" s="234"/>
      <c r="D116" s="234"/>
      <c r="E116" s="234"/>
      <c r="F116" s="253" t="s">
        <v>231</v>
      </c>
      <c r="G116" s="245" t="e">
        <f>IF(G115&gt;100,2,VLOOKUP(G115,$J$4:$K$30,2))</f>
        <v>#DIV/0!</v>
      </c>
    </row>
    <row r="117" spans="1:7">
      <c r="A117" s="155"/>
      <c r="B117" s="155"/>
      <c r="C117" s="155"/>
      <c r="D117" s="155"/>
      <c r="E117" s="147"/>
      <c r="F117" s="148"/>
      <c r="G117" s="149"/>
    </row>
    <row r="118" spans="1:7" ht="15">
      <c r="A118" s="155"/>
      <c r="B118" s="155"/>
      <c r="C118" s="155"/>
      <c r="D118" s="155"/>
      <c r="E118" s="155"/>
      <c r="F118" s="150"/>
      <c r="G118" s="151"/>
    </row>
    <row r="119" spans="1:7">
      <c r="A119" s="155"/>
      <c r="B119" s="155"/>
      <c r="C119" s="155"/>
      <c r="D119" s="155"/>
      <c r="E119" s="155"/>
      <c r="F119" s="152"/>
      <c r="G119" s="153"/>
    </row>
    <row r="120" spans="1:7" ht="17.399999999999999">
      <c r="A120" s="201" t="s">
        <v>250</v>
      </c>
      <c r="B120" s="201"/>
      <c r="C120" s="202"/>
      <c r="D120" s="202"/>
      <c r="E120" s="202"/>
      <c r="F120" s="203"/>
      <c r="G120" s="203"/>
    </row>
    <row r="121" spans="1:7" ht="28.8">
      <c r="A121" s="204" t="s">
        <v>221</v>
      </c>
      <c r="B121" s="205" t="s">
        <v>222</v>
      </c>
      <c r="C121" s="204" t="s">
        <v>223</v>
      </c>
      <c r="D121" s="206" t="s">
        <v>224</v>
      </c>
      <c r="E121" s="206" t="s">
        <v>225</v>
      </c>
      <c r="F121" s="204" t="s">
        <v>226</v>
      </c>
      <c r="G121" s="206" t="s">
        <v>227</v>
      </c>
    </row>
    <row r="122" spans="1:7">
      <c r="A122" s="357" t="s">
        <v>253</v>
      </c>
      <c r="B122" s="208">
        <f>Resultados!V29</f>
        <v>0</v>
      </c>
      <c r="C122" s="209">
        <f>Resultados!V53</f>
        <v>1.0000238050000001</v>
      </c>
      <c r="D122" s="210">
        <v>1</v>
      </c>
      <c r="E122" s="211">
        <f>B122*C122</f>
        <v>0</v>
      </c>
      <c r="F122" s="212">
        <f t="shared" ref="F122:F131" si="16">E122^2/$E$10^2*100</f>
        <v>0</v>
      </c>
      <c r="G122" s="213">
        <v>4</v>
      </c>
    </row>
    <row r="123" spans="1:7">
      <c r="A123" s="358" t="s">
        <v>1064</v>
      </c>
      <c r="B123" s="211">
        <f>Resultados!W29</f>
        <v>6.6395280956806967E-7</v>
      </c>
      <c r="C123" s="211">
        <f>Resultados!W53</f>
        <v>0</v>
      </c>
      <c r="D123" s="214" t="s">
        <v>233</v>
      </c>
      <c r="E123" s="211">
        <f t="shared" ref="E123:E131" si="17">B123*C123</f>
        <v>0</v>
      </c>
      <c r="F123" s="212">
        <f t="shared" si="16"/>
        <v>0</v>
      </c>
      <c r="G123" s="213">
        <v>50</v>
      </c>
    </row>
    <row r="124" spans="1:7" ht="13.8">
      <c r="A124" s="215" t="s">
        <v>234</v>
      </c>
      <c r="B124" s="211">
        <f>Resultados!X29</f>
        <v>1.2956594202695915</v>
      </c>
      <c r="C124" s="211">
        <f>Resultados!X53</f>
        <v>0</v>
      </c>
      <c r="D124" s="216" t="s">
        <v>235</v>
      </c>
      <c r="E124" s="211">
        <f t="shared" si="17"/>
        <v>0</v>
      </c>
      <c r="F124" s="212">
        <f t="shared" si="16"/>
        <v>0</v>
      </c>
      <c r="G124" s="213">
        <v>50</v>
      </c>
    </row>
    <row r="125" spans="1:7">
      <c r="A125" s="207" t="s">
        <v>236</v>
      </c>
      <c r="B125" s="211">
        <f>Resultados!Y29</f>
        <v>0</v>
      </c>
      <c r="C125" s="211">
        <f>Resultados!Y53</f>
        <v>-1.0000020700000001</v>
      </c>
      <c r="D125" s="210">
        <v>1</v>
      </c>
      <c r="E125" s="211">
        <f>B125*C125</f>
        <v>0</v>
      </c>
      <c r="F125" s="212">
        <f t="shared" si="16"/>
        <v>0</v>
      </c>
      <c r="G125" s="213" t="s">
        <v>237</v>
      </c>
    </row>
    <row r="126" spans="1:7">
      <c r="A126" s="207" t="s">
        <v>238</v>
      </c>
      <c r="B126" s="211">
        <f>Resultados!Z29</f>
        <v>6.6395280956806967E-7</v>
      </c>
      <c r="C126" s="211">
        <f>Resultados!Z53</f>
        <v>0</v>
      </c>
      <c r="D126" s="214" t="s">
        <v>233</v>
      </c>
      <c r="E126" s="211">
        <f t="shared" si="17"/>
        <v>0</v>
      </c>
      <c r="F126" s="212">
        <f t="shared" si="16"/>
        <v>0</v>
      </c>
      <c r="G126" s="213">
        <v>50</v>
      </c>
    </row>
    <row r="127" spans="1:7" ht="13.8">
      <c r="A127" s="215" t="s">
        <v>239</v>
      </c>
      <c r="B127" s="211">
        <f>Resultados!AA29</f>
        <v>1.2956594202695915</v>
      </c>
      <c r="C127" s="211">
        <f>Resultados!AA53</f>
        <v>0</v>
      </c>
      <c r="D127" s="216" t="s">
        <v>235</v>
      </c>
      <c r="E127" s="211">
        <f t="shared" si="17"/>
        <v>0</v>
      </c>
      <c r="F127" s="212">
        <f t="shared" si="16"/>
        <v>0</v>
      </c>
      <c r="G127" s="213">
        <v>50</v>
      </c>
    </row>
    <row r="128" spans="1:7">
      <c r="A128" s="207" t="s">
        <v>240</v>
      </c>
      <c r="B128" s="217">
        <v>0.12</v>
      </c>
      <c r="C128" s="211">
        <v>0</v>
      </c>
      <c r="D128" s="210">
        <v>1</v>
      </c>
      <c r="E128" s="211">
        <f t="shared" si="17"/>
        <v>0</v>
      </c>
      <c r="F128" s="212">
        <f t="shared" si="16"/>
        <v>0</v>
      </c>
      <c r="G128" s="213" t="s">
        <v>237</v>
      </c>
    </row>
    <row r="129" spans="1:7">
      <c r="A129" s="207" t="s">
        <v>241</v>
      </c>
      <c r="B129" s="217">
        <f>[3]Cálculos!W43</f>
        <v>0</v>
      </c>
      <c r="C129" s="211">
        <v>0</v>
      </c>
      <c r="D129" s="210">
        <v>1</v>
      </c>
      <c r="E129" s="211">
        <f t="shared" si="17"/>
        <v>0</v>
      </c>
      <c r="F129" s="212">
        <f t="shared" si="16"/>
        <v>0</v>
      </c>
      <c r="G129" s="210">
        <v>50</v>
      </c>
    </row>
    <row r="130" spans="1:7">
      <c r="A130" s="207" t="s">
        <v>242</v>
      </c>
      <c r="B130" s="217">
        <f>Resultados!AB29</f>
        <v>0.28867513459481292</v>
      </c>
      <c r="C130" s="211">
        <f>Resultados!AB53</f>
        <v>1</v>
      </c>
      <c r="D130" s="210">
        <v>1</v>
      </c>
      <c r="E130" s="211">
        <f t="shared" si="17"/>
        <v>0.28867513459481292</v>
      </c>
      <c r="F130" s="212">
        <f t="shared" si="16"/>
        <v>100</v>
      </c>
      <c r="G130" s="213" t="s">
        <v>237</v>
      </c>
    </row>
    <row r="131" spans="1:7">
      <c r="A131" s="207" t="str">
        <f>[3]Cálculos!$Y$19</f>
        <v>Error de abbe (µm)</v>
      </c>
      <c r="B131" s="217">
        <f>[3]Cálculos!Y43</f>
        <v>0</v>
      </c>
      <c r="C131" s="209">
        <v>1</v>
      </c>
      <c r="D131" s="210">
        <v>1</v>
      </c>
      <c r="E131" s="211">
        <f t="shared" si="17"/>
        <v>0</v>
      </c>
      <c r="F131" s="212">
        <f t="shared" si="16"/>
        <v>0</v>
      </c>
      <c r="G131" s="213">
        <v>50</v>
      </c>
    </row>
    <row r="132" spans="1:7">
      <c r="A132" s="203"/>
      <c r="B132" s="203"/>
      <c r="C132" s="203"/>
      <c r="D132" s="203"/>
      <c r="E132" s="211">
        <f>SQRT(SUMSQ(E122:E131))</f>
        <v>0.28867513459481292</v>
      </c>
      <c r="F132" s="218">
        <f>SUM(F122:F131)</f>
        <v>100</v>
      </c>
      <c r="G132" s="219" t="e">
        <f>(E132^4)/(((E122^4)/G122)+((E123^4)/G123)+((E124^4)/G124)+0+((E126^4)/G126)+0+((E127^4)/G127)+0+((E129^4)/G129)+0+((E131^4)/G131))</f>
        <v>#DIV/0!</v>
      </c>
    </row>
    <row r="133" spans="1:7" ht="15">
      <c r="A133" s="203"/>
      <c r="B133" s="203"/>
      <c r="C133" s="203"/>
      <c r="D133" s="203"/>
      <c r="E133" s="203"/>
      <c r="F133" s="220" t="s">
        <v>230</v>
      </c>
      <c r="G133" s="221" t="e">
        <f>G132</f>
        <v>#DIV/0!</v>
      </c>
    </row>
    <row r="134" spans="1:7">
      <c r="A134" s="203"/>
      <c r="B134" s="203"/>
      <c r="C134" s="203"/>
      <c r="D134" s="203"/>
      <c r="E134" s="203"/>
      <c r="F134" s="222" t="s">
        <v>231</v>
      </c>
      <c r="G134" s="214" t="e">
        <f>IF(G133&gt;100,2,VLOOKUP(G133,$J$4:$K$30,2))</f>
        <v>#DIV/0!</v>
      </c>
    </row>
    <row r="135" spans="1:7" ht="17.399999999999999">
      <c r="A135" s="201" t="s">
        <v>251</v>
      </c>
      <c r="B135" s="201"/>
      <c r="C135" s="202"/>
      <c r="D135" s="202"/>
      <c r="E135" s="202"/>
      <c r="F135" s="203"/>
      <c r="G135" s="203"/>
    </row>
    <row r="136" spans="1:7" ht="28.8">
      <c r="A136" s="204" t="s">
        <v>221</v>
      </c>
      <c r="B136" s="205" t="s">
        <v>222</v>
      </c>
      <c r="C136" s="204" t="s">
        <v>223</v>
      </c>
      <c r="D136" s="206" t="s">
        <v>224</v>
      </c>
      <c r="E136" s="206" t="s">
        <v>225</v>
      </c>
      <c r="F136" s="204" t="s">
        <v>226</v>
      </c>
      <c r="G136" s="206" t="s">
        <v>227</v>
      </c>
    </row>
    <row r="137" spans="1:7">
      <c r="A137" s="207" t="s">
        <v>229</v>
      </c>
      <c r="B137" s="208">
        <f>Resultados!V30</f>
        <v>0</v>
      </c>
      <c r="C137" s="209">
        <f>Resultados!V54</f>
        <v>1.0000238050000001</v>
      </c>
      <c r="D137" s="210">
        <v>1</v>
      </c>
      <c r="E137" s="211">
        <f>B137*C137</f>
        <v>0</v>
      </c>
      <c r="F137" s="212">
        <f t="shared" ref="F137:F146" si="18">E137^2/$E$10^2*100</f>
        <v>0</v>
      </c>
      <c r="G137" s="213">
        <v>4</v>
      </c>
    </row>
    <row r="138" spans="1:7">
      <c r="A138" s="207" t="s">
        <v>232</v>
      </c>
      <c r="B138" s="211">
        <f>Resultados!W30</f>
        <v>6.6395280956806967E-7</v>
      </c>
      <c r="C138" s="211">
        <f>Resultados!W54</f>
        <v>0</v>
      </c>
      <c r="D138" s="214" t="s">
        <v>233</v>
      </c>
      <c r="E138" s="211">
        <f t="shared" ref="E138:E146" si="19">B138*C138</f>
        <v>0</v>
      </c>
      <c r="F138" s="212">
        <f t="shared" si="18"/>
        <v>0</v>
      </c>
      <c r="G138" s="213">
        <v>50</v>
      </c>
    </row>
    <row r="139" spans="1:7" ht="13.8">
      <c r="A139" s="215" t="s">
        <v>234</v>
      </c>
      <c r="B139" s="211">
        <f>Resultados!X30</f>
        <v>1.2956594202695915</v>
      </c>
      <c r="C139" s="211">
        <f>Resultados!X54</f>
        <v>0</v>
      </c>
      <c r="D139" s="216" t="s">
        <v>235</v>
      </c>
      <c r="E139" s="211">
        <f t="shared" si="19"/>
        <v>0</v>
      </c>
      <c r="F139" s="212">
        <f t="shared" si="18"/>
        <v>0</v>
      </c>
      <c r="G139" s="213">
        <v>50</v>
      </c>
    </row>
    <row r="140" spans="1:7">
      <c r="A140" s="207" t="s">
        <v>236</v>
      </c>
      <c r="B140" s="211">
        <f>Resultados!Y30</f>
        <v>0</v>
      </c>
      <c r="C140" s="211">
        <f>Resultados!Y54</f>
        <v>-1.0000020700000001</v>
      </c>
      <c r="D140" s="210">
        <v>1</v>
      </c>
      <c r="E140" s="211">
        <f t="shared" si="19"/>
        <v>0</v>
      </c>
      <c r="F140" s="212">
        <f t="shared" si="18"/>
        <v>0</v>
      </c>
      <c r="G140" s="213" t="s">
        <v>237</v>
      </c>
    </row>
    <row r="141" spans="1:7">
      <c r="A141" s="207" t="s">
        <v>238</v>
      </c>
      <c r="B141" s="211">
        <f>Resultados!Z30</f>
        <v>6.6395280956806967E-7</v>
      </c>
      <c r="C141" s="211">
        <f>Resultados!Z54</f>
        <v>0</v>
      </c>
      <c r="D141" s="214" t="s">
        <v>233</v>
      </c>
      <c r="E141" s="211">
        <f t="shared" si="19"/>
        <v>0</v>
      </c>
      <c r="F141" s="212">
        <f t="shared" si="18"/>
        <v>0</v>
      </c>
      <c r="G141" s="213">
        <v>50</v>
      </c>
    </row>
    <row r="142" spans="1:7" ht="13.8">
      <c r="A142" s="215" t="s">
        <v>239</v>
      </c>
      <c r="B142" s="211">
        <f>Resultados!AA30</f>
        <v>1.2956594202695915</v>
      </c>
      <c r="C142" s="211">
        <f>Resultados!AA54</f>
        <v>0</v>
      </c>
      <c r="D142" s="216" t="s">
        <v>235</v>
      </c>
      <c r="E142" s="211">
        <f t="shared" si="19"/>
        <v>0</v>
      </c>
      <c r="F142" s="212">
        <f t="shared" si="18"/>
        <v>0</v>
      </c>
      <c r="G142" s="213">
        <v>50</v>
      </c>
    </row>
    <row r="143" spans="1:7">
      <c r="A143" s="207" t="s">
        <v>240</v>
      </c>
      <c r="B143" s="217">
        <v>0</v>
      </c>
      <c r="C143" s="211">
        <v>0</v>
      </c>
      <c r="D143" s="210">
        <v>1</v>
      </c>
      <c r="E143" s="211">
        <f t="shared" si="19"/>
        <v>0</v>
      </c>
      <c r="F143" s="212">
        <f t="shared" si="18"/>
        <v>0</v>
      </c>
      <c r="G143" s="213" t="s">
        <v>237</v>
      </c>
    </row>
    <row r="144" spans="1:7">
      <c r="A144" s="207" t="s">
        <v>241</v>
      </c>
      <c r="B144" s="217">
        <v>0</v>
      </c>
      <c r="C144" s="211">
        <v>0</v>
      </c>
      <c r="D144" s="210">
        <v>1</v>
      </c>
      <c r="E144" s="211">
        <f t="shared" si="19"/>
        <v>0</v>
      </c>
      <c r="F144" s="212">
        <f t="shared" si="18"/>
        <v>0</v>
      </c>
      <c r="G144" s="210">
        <v>50</v>
      </c>
    </row>
    <row r="145" spans="1:7">
      <c r="A145" s="207" t="s">
        <v>242</v>
      </c>
      <c r="B145" s="217">
        <f>Resultados!AB30</f>
        <v>0.28867513459481292</v>
      </c>
      <c r="C145" s="211">
        <f>Resultados!AB54</f>
        <v>1</v>
      </c>
      <c r="D145" s="210">
        <v>1</v>
      </c>
      <c r="E145" s="211">
        <f t="shared" si="19"/>
        <v>0.28867513459481292</v>
      </c>
      <c r="F145" s="212">
        <f t="shared" si="18"/>
        <v>100</v>
      </c>
      <c r="G145" s="213" t="s">
        <v>237</v>
      </c>
    </row>
    <row r="146" spans="1:7">
      <c r="A146" s="207" t="str">
        <f>[3]Cálculos!$Y$19</f>
        <v>Error de abbe (µm)</v>
      </c>
      <c r="B146" s="217">
        <v>0</v>
      </c>
      <c r="C146" s="209">
        <v>1</v>
      </c>
      <c r="D146" s="210">
        <v>1</v>
      </c>
      <c r="E146" s="211">
        <f t="shared" si="19"/>
        <v>0</v>
      </c>
      <c r="F146" s="212">
        <f t="shared" si="18"/>
        <v>0</v>
      </c>
      <c r="G146" s="213">
        <v>50</v>
      </c>
    </row>
    <row r="147" spans="1:7">
      <c r="A147" s="203"/>
      <c r="B147" s="203"/>
      <c r="C147" s="203"/>
      <c r="D147" s="203"/>
      <c r="E147" s="211">
        <f>SQRT(SUMSQ(E137:E146))</f>
        <v>0.28867513459481292</v>
      </c>
      <c r="F147" s="218">
        <f>SUM(F137:F146)</f>
        <v>100</v>
      </c>
      <c r="G147" s="219" t="e">
        <f>(E147^4)/(((E137^4)/G137)+((E138^4)/G138)+((E139^4)/G139)+0+((E141^4)/G141)+0+((E142^4)/G142)+0+((E144^4)/G144)+0+((E146^4)/G146))</f>
        <v>#DIV/0!</v>
      </c>
    </row>
    <row r="148" spans="1:7" ht="15">
      <c r="A148" s="203"/>
      <c r="B148" s="203"/>
      <c r="C148" s="203"/>
      <c r="D148" s="203"/>
      <c r="E148" s="203"/>
      <c r="F148" s="220" t="s">
        <v>230</v>
      </c>
      <c r="G148" s="221" t="e">
        <f>G147</f>
        <v>#DIV/0!</v>
      </c>
    </row>
    <row r="149" spans="1:7">
      <c r="A149" s="203"/>
      <c r="B149" s="203"/>
      <c r="C149" s="203"/>
      <c r="D149" s="203"/>
      <c r="E149" s="203"/>
      <c r="F149" s="222" t="s">
        <v>231</v>
      </c>
      <c r="G149" s="214" t="e">
        <f>IF(G148&gt;100,2,VLOOKUP(G148,$J$4:$K$30,2))</f>
        <v>#DIV/0!</v>
      </c>
    </row>
    <row r="150" spans="1:7" ht="17.399999999999999">
      <c r="A150" s="201" t="s">
        <v>252</v>
      </c>
      <c r="B150" s="201"/>
      <c r="C150" s="202"/>
      <c r="D150" s="202"/>
      <c r="E150" s="202"/>
      <c r="F150" s="203"/>
      <c r="G150" s="203"/>
    </row>
    <row r="151" spans="1:7" ht="28.8">
      <c r="A151" s="204" t="s">
        <v>221</v>
      </c>
      <c r="B151" s="205" t="s">
        <v>222</v>
      </c>
      <c r="C151" s="204" t="s">
        <v>223</v>
      </c>
      <c r="D151" s="206" t="s">
        <v>224</v>
      </c>
      <c r="E151" s="206" t="s">
        <v>225</v>
      </c>
      <c r="F151" s="204" t="s">
        <v>226</v>
      </c>
      <c r="G151" s="206" t="s">
        <v>227</v>
      </c>
    </row>
    <row r="152" spans="1:7">
      <c r="A152" s="207" t="s">
        <v>229</v>
      </c>
      <c r="B152" s="208">
        <f>Resultados!V31</f>
        <v>0</v>
      </c>
      <c r="C152" s="209">
        <f>Resultados!V55</f>
        <v>1.0000238050000001</v>
      </c>
      <c r="D152" s="210">
        <v>1</v>
      </c>
      <c r="E152" s="211">
        <f>B152*C152</f>
        <v>0</v>
      </c>
      <c r="F152" s="212">
        <f t="shared" ref="F152:F161" si="20">E152^2/$E$10^2*100</f>
        <v>0</v>
      </c>
      <c r="G152" s="213">
        <v>4</v>
      </c>
    </row>
    <row r="153" spans="1:7">
      <c r="A153" s="207" t="s">
        <v>232</v>
      </c>
      <c r="B153" s="208">
        <f>Resultados!W31</f>
        <v>6.6395280956806967E-7</v>
      </c>
      <c r="C153" s="211">
        <f>Resultados!W55</f>
        <v>0</v>
      </c>
      <c r="D153" s="214" t="s">
        <v>233</v>
      </c>
      <c r="E153" s="211">
        <f t="shared" ref="E153:E161" si="21">B153*C153</f>
        <v>0</v>
      </c>
      <c r="F153" s="212">
        <f t="shared" si="20"/>
        <v>0</v>
      </c>
      <c r="G153" s="213">
        <v>50</v>
      </c>
    </row>
    <row r="154" spans="1:7" ht="13.8">
      <c r="A154" s="215" t="s">
        <v>234</v>
      </c>
      <c r="B154" s="208">
        <f>Resultados!X31</f>
        <v>1.2956594202695915</v>
      </c>
      <c r="C154" s="211">
        <f>Resultados!X55</f>
        <v>0</v>
      </c>
      <c r="D154" s="216" t="s">
        <v>235</v>
      </c>
      <c r="E154" s="211">
        <f t="shared" si="21"/>
        <v>0</v>
      </c>
      <c r="F154" s="212">
        <f t="shared" si="20"/>
        <v>0</v>
      </c>
      <c r="G154" s="213">
        <v>50</v>
      </c>
    </row>
    <row r="155" spans="1:7">
      <c r="A155" s="207" t="s">
        <v>236</v>
      </c>
      <c r="B155" s="208">
        <f>Resultados!Y31</f>
        <v>0</v>
      </c>
      <c r="C155" s="211">
        <f>Resultados!Y55</f>
        <v>-1.0000020700000001</v>
      </c>
      <c r="D155" s="210">
        <v>1</v>
      </c>
      <c r="E155" s="211">
        <f t="shared" si="21"/>
        <v>0</v>
      </c>
      <c r="F155" s="212">
        <f t="shared" si="20"/>
        <v>0</v>
      </c>
      <c r="G155" s="213" t="s">
        <v>237</v>
      </c>
    </row>
    <row r="156" spans="1:7">
      <c r="A156" s="207" t="s">
        <v>238</v>
      </c>
      <c r="B156" s="208">
        <f>Resultados!Z31</f>
        <v>6.6395280956806967E-7</v>
      </c>
      <c r="C156" s="211">
        <f>Resultados!Z55</f>
        <v>0</v>
      </c>
      <c r="D156" s="214" t="s">
        <v>233</v>
      </c>
      <c r="E156" s="211">
        <f t="shared" si="21"/>
        <v>0</v>
      </c>
      <c r="F156" s="212">
        <f t="shared" si="20"/>
        <v>0</v>
      </c>
      <c r="G156" s="213">
        <v>50</v>
      </c>
    </row>
    <row r="157" spans="1:7" ht="13.8">
      <c r="A157" s="215" t="s">
        <v>239</v>
      </c>
      <c r="B157" s="208">
        <f>Resultados!AA31</f>
        <v>1.2956594202695915</v>
      </c>
      <c r="C157" s="211">
        <f>Resultados!AA55</f>
        <v>0</v>
      </c>
      <c r="D157" s="216" t="s">
        <v>235</v>
      </c>
      <c r="E157" s="211">
        <f t="shared" si="21"/>
        <v>0</v>
      </c>
      <c r="F157" s="212">
        <f t="shared" si="20"/>
        <v>0</v>
      </c>
      <c r="G157" s="213">
        <v>50</v>
      </c>
    </row>
    <row r="158" spans="1:7">
      <c r="A158" s="207" t="s">
        <v>240</v>
      </c>
      <c r="B158" s="208">
        <v>0.36</v>
      </c>
      <c r="C158" s="211">
        <v>0</v>
      </c>
      <c r="D158" s="210">
        <v>1</v>
      </c>
      <c r="E158" s="211">
        <f t="shared" si="21"/>
        <v>0</v>
      </c>
      <c r="F158" s="212">
        <f t="shared" si="20"/>
        <v>0</v>
      </c>
      <c r="G158" s="213" t="s">
        <v>237</v>
      </c>
    </row>
    <row r="159" spans="1:7">
      <c r="A159" s="207" t="s">
        <v>241</v>
      </c>
      <c r="B159" s="208">
        <v>0</v>
      </c>
      <c r="C159" s="211">
        <v>0</v>
      </c>
      <c r="D159" s="210">
        <v>1</v>
      </c>
      <c r="E159" s="211">
        <f t="shared" si="21"/>
        <v>0</v>
      </c>
      <c r="F159" s="212">
        <f t="shared" si="20"/>
        <v>0</v>
      </c>
      <c r="G159" s="210">
        <v>50</v>
      </c>
    </row>
    <row r="160" spans="1:7">
      <c r="A160" s="207" t="s">
        <v>242</v>
      </c>
      <c r="B160" s="208">
        <f>Resultados!AB31</f>
        <v>0.28867513459481292</v>
      </c>
      <c r="C160" s="211">
        <f>Resultados!AB55</f>
        <v>1</v>
      </c>
      <c r="D160" s="210">
        <v>1</v>
      </c>
      <c r="E160" s="211">
        <f t="shared" si="21"/>
        <v>0.28867513459481292</v>
      </c>
      <c r="F160" s="212">
        <f t="shared" si="20"/>
        <v>100</v>
      </c>
      <c r="G160" s="213" t="s">
        <v>237</v>
      </c>
    </row>
    <row r="161" spans="1:7">
      <c r="A161" s="207" t="str">
        <f>[3]Cálculos!$Y$19</f>
        <v>Error de abbe (µm)</v>
      </c>
      <c r="B161" s="208">
        <f>Resultados!V40</f>
        <v>0</v>
      </c>
      <c r="C161" s="209">
        <v>1</v>
      </c>
      <c r="D161" s="210">
        <v>1</v>
      </c>
      <c r="E161" s="211">
        <f t="shared" si="21"/>
        <v>0</v>
      </c>
      <c r="F161" s="212">
        <f t="shared" si="20"/>
        <v>0</v>
      </c>
      <c r="G161" s="213">
        <v>50</v>
      </c>
    </row>
    <row r="162" spans="1:7">
      <c r="A162" s="203"/>
      <c r="B162" s="203"/>
      <c r="C162" s="203"/>
      <c r="D162" s="203"/>
      <c r="E162" s="211">
        <f>SQRT(SUMSQ(E152:E161))</f>
        <v>0.28867513459481292</v>
      </c>
      <c r="F162" s="218">
        <f>SUM(F152:F161)</f>
        <v>100</v>
      </c>
      <c r="G162" s="219" t="e">
        <f>(E162^4)/(((E152^4)/G152)+((E153^4)/G153)+((E154^4)/G154)+0+((E156^4)/G156)+0+((E157^4)/G157)+0+((E159^4)/G159)+0+((E161^4)/G161))</f>
        <v>#DIV/0!</v>
      </c>
    </row>
    <row r="163" spans="1:7" ht="15">
      <c r="A163" s="203"/>
      <c r="B163" s="203"/>
      <c r="C163" s="203"/>
      <c r="D163" s="203"/>
      <c r="E163" s="203"/>
      <c r="F163" s="220" t="s">
        <v>230</v>
      </c>
      <c r="G163" s="221" t="e">
        <f>G162</f>
        <v>#DIV/0!</v>
      </c>
    </row>
    <row r="164" spans="1:7">
      <c r="A164" s="203"/>
      <c r="B164" s="203"/>
      <c r="C164" s="203"/>
      <c r="D164" s="203"/>
      <c r="E164" s="203"/>
      <c r="F164" s="222" t="s">
        <v>231</v>
      </c>
      <c r="G164" s="214" t="e">
        <f>IF(G163&gt;100,2,VLOOKUP(G163,$J$4:$K$30,2))</f>
        <v>#DIV/0!</v>
      </c>
    </row>
  </sheetData>
  <mergeCells count="2">
    <mergeCell ref="A1:B1"/>
    <mergeCell ref="J2:K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4"/>
  <sheetViews>
    <sheetView workbookViewId="0">
      <selection activeCell="G115" sqref="G115"/>
    </sheetView>
  </sheetViews>
  <sheetFormatPr baseColWidth="10" defaultColWidth="11.5546875" defaultRowHeight="13.2"/>
  <cols>
    <col min="1" max="1" width="19.6640625" bestFit="1" customWidth="1"/>
    <col min="2" max="2" width="12.33203125" bestFit="1" customWidth="1"/>
    <col min="3" max="3" width="17" customWidth="1"/>
    <col min="4" max="4" width="13.88671875" customWidth="1"/>
    <col min="5" max="5" width="14.44140625" customWidth="1"/>
    <col min="6" max="6" width="12.44140625" bestFit="1" customWidth="1"/>
    <col min="7" max="7" width="20.33203125" bestFit="1" customWidth="1"/>
    <col min="8" max="8" width="13.33203125" customWidth="1"/>
    <col min="9" max="9" width="17.5546875" customWidth="1"/>
    <col min="10" max="10" width="15" customWidth="1"/>
    <col min="11" max="11" width="21" customWidth="1"/>
    <col min="12" max="12" width="13.33203125" customWidth="1"/>
  </cols>
  <sheetData>
    <row r="1" spans="1:11" ht="17.399999999999999">
      <c r="A1" s="525" t="s">
        <v>220</v>
      </c>
      <c r="B1" s="525"/>
      <c r="C1" s="123"/>
      <c r="D1" s="123"/>
      <c r="E1" s="123"/>
    </row>
    <row r="2" spans="1:11" ht="28.8">
      <c r="A2" s="13" t="s">
        <v>221</v>
      </c>
      <c r="B2" s="124" t="s">
        <v>222</v>
      </c>
      <c r="C2" s="13" t="s">
        <v>223</v>
      </c>
      <c r="D2" s="125" t="s">
        <v>224</v>
      </c>
      <c r="E2" s="125" t="s">
        <v>225</v>
      </c>
      <c r="F2" s="13" t="s">
        <v>226</v>
      </c>
      <c r="G2" s="125" t="s">
        <v>227</v>
      </c>
      <c r="J2" s="526" t="s">
        <v>228</v>
      </c>
      <c r="K2" s="526"/>
    </row>
    <row r="3" spans="1:11" ht="13.8">
      <c r="A3" s="126" t="s">
        <v>253</v>
      </c>
      <c r="B3" s="127">
        <f>Resultados!V21</f>
        <v>0</v>
      </c>
      <c r="C3" s="128">
        <f>Resultados!V45</f>
        <v>1.0000238050000001</v>
      </c>
      <c r="D3" s="63">
        <v>1</v>
      </c>
      <c r="E3" s="157">
        <f>B3*C3</f>
        <v>0</v>
      </c>
      <c r="F3" s="158">
        <f t="shared" ref="F3:F9" si="0">E3^2/$E$10^2*100</f>
        <v>0</v>
      </c>
      <c r="G3" s="131">
        <v>4</v>
      </c>
      <c r="J3" s="132" t="s">
        <v>230</v>
      </c>
      <c r="K3" s="133" t="s">
        <v>231</v>
      </c>
    </row>
    <row r="4" spans="1:11">
      <c r="A4" s="126" t="s">
        <v>254</v>
      </c>
      <c r="B4" s="134">
        <f>Resultados!W21</f>
        <v>6.6395280956806967E-7</v>
      </c>
      <c r="C4" s="134">
        <f>Resultados!W45</f>
        <v>0</v>
      </c>
      <c r="D4" s="135" t="s">
        <v>233</v>
      </c>
      <c r="E4" s="157">
        <f t="shared" ref="E4:E9" si="1">B4*C4</f>
        <v>0</v>
      </c>
      <c r="F4" s="158">
        <f t="shared" si="0"/>
        <v>0</v>
      </c>
      <c r="G4" s="131">
        <v>50</v>
      </c>
      <c r="J4" s="136">
        <v>1</v>
      </c>
      <c r="K4" s="136">
        <v>13.97</v>
      </c>
    </row>
    <row r="5" spans="1:11" ht="13.8">
      <c r="A5" s="137" t="s">
        <v>255</v>
      </c>
      <c r="B5" s="134">
        <f>Resultados!X21</f>
        <v>1.2956594202695915</v>
      </c>
      <c r="C5" s="134">
        <f>Resultados!X45</f>
        <v>0</v>
      </c>
      <c r="D5" s="138" t="s">
        <v>235</v>
      </c>
      <c r="E5" s="157">
        <f t="shared" si="1"/>
        <v>0</v>
      </c>
      <c r="F5" s="158">
        <f t="shared" si="0"/>
        <v>0</v>
      </c>
      <c r="G5" s="131">
        <v>50</v>
      </c>
      <c r="J5" s="136">
        <v>2</v>
      </c>
      <c r="K5" s="136">
        <v>4.53</v>
      </c>
    </row>
    <row r="6" spans="1:11">
      <c r="A6" s="126" t="s">
        <v>236</v>
      </c>
      <c r="B6" s="134">
        <f>Resultados!Y21</f>
        <v>0</v>
      </c>
      <c r="C6" s="134">
        <f>Resultados!Y45</f>
        <v>-1.0000020700000001</v>
      </c>
      <c r="D6" s="63">
        <v>1</v>
      </c>
      <c r="E6" s="157">
        <f t="shared" si="1"/>
        <v>0</v>
      </c>
      <c r="F6" s="158">
        <f t="shared" si="0"/>
        <v>0</v>
      </c>
      <c r="G6" s="131" t="s">
        <v>237</v>
      </c>
      <c r="J6" s="136">
        <v>3</v>
      </c>
      <c r="K6" s="136">
        <v>3.31</v>
      </c>
    </row>
    <row r="7" spans="1:11">
      <c r="A7" s="126" t="s">
        <v>238</v>
      </c>
      <c r="B7" s="134">
        <f>Resultados!Z21</f>
        <v>6.6395280956806967E-7</v>
      </c>
      <c r="C7" s="134">
        <f>Resultados!Z45</f>
        <v>0</v>
      </c>
      <c r="D7" s="135" t="s">
        <v>233</v>
      </c>
      <c r="E7" s="157">
        <f t="shared" si="1"/>
        <v>0</v>
      </c>
      <c r="F7" s="158">
        <f t="shared" si="0"/>
        <v>0</v>
      </c>
      <c r="G7" s="131">
        <v>50</v>
      </c>
      <c r="J7" s="136">
        <v>4</v>
      </c>
      <c r="K7" s="136">
        <v>2.87</v>
      </c>
    </row>
    <row r="8" spans="1:11" ht="13.8">
      <c r="A8" s="137" t="s">
        <v>239</v>
      </c>
      <c r="B8" s="134">
        <f>Resultados!AA21</f>
        <v>1.2956594202695915</v>
      </c>
      <c r="C8" s="134">
        <f>Resultados!AA45</f>
        <v>0</v>
      </c>
      <c r="D8" s="138" t="s">
        <v>235</v>
      </c>
      <c r="E8" s="157">
        <f t="shared" si="1"/>
        <v>0</v>
      </c>
      <c r="F8" s="158">
        <f t="shared" si="0"/>
        <v>0</v>
      </c>
      <c r="G8" s="131">
        <v>50</v>
      </c>
      <c r="J8" s="136">
        <v>5</v>
      </c>
      <c r="K8" s="136">
        <v>2.65</v>
      </c>
    </row>
    <row r="9" spans="1:11">
      <c r="A9" s="126" t="s">
        <v>242</v>
      </c>
      <c r="B9" s="139">
        <f>Resultados!AB21</f>
        <v>0.28867513459481292</v>
      </c>
      <c r="C9" s="128">
        <f>Resultados!AB45</f>
        <v>1</v>
      </c>
      <c r="D9" s="63">
        <v>1</v>
      </c>
      <c r="E9" s="157">
        <f t="shared" si="1"/>
        <v>0.28867513459481292</v>
      </c>
      <c r="F9" s="158">
        <f t="shared" si="0"/>
        <v>100</v>
      </c>
      <c r="G9" s="131" t="s">
        <v>237</v>
      </c>
      <c r="J9" s="136">
        <v>6</v>
      </c>
      <c r="K9" s="136">
        <v>2.52</v>
      </c>
    </row>
    <row r="10" spans="1:11">
      <c r="E10" s="129">
        <f>SQRT(SUMSQ(E3:E9))</f>
        <v>0.28867513459481292</v>
      </c>
      <c r="F10" s="156">
        <f>SUM(F3:F9)</f>
        <v>100</v>
      </c>
      <c r="G10" s="141" t="e">
        <f>(E10^4)/(((E3^4)/G3)+((E4^4)/G4)+((E5^4)/G5)+0+((E7^4)/G7)+0+((E8^4)/G8)+0)</f>
        <v>#DIV/0!</v>
      </c>
      <c r="J10" s="136">
        <v>7</v>
      </c>
      <c r="K10" s="136">
        <v>2.4300000000000002</v>
      </c>
    </row>
    <row r="11" spans="1:11" ht="15">
      <c r="F11" s="142" t="s">
        <v>230</v>
      </c>
      <c r="G11" s="143" t="e">
        <f>G10</f>
        <v>#DIV/0!</v>
      </c>
      <c r="J11" s="136">
        <v>8</v>
      </c>
      <c r="K11" s="136">
        <v>2.37</v>
      </c>
    </row>
    <row r="12" spans="1:11">
      <c r="F12" s="133" t="s">
        <v>231</v>
      </c>
      <c r="G12" s="135" t="e">
        <f>IF(G11&gt;100,2,VLOOKUP(G11,$J$4:$K$30,2))</f>
        <v>#DIV/0!</v>
      </c>
      <c r="J12" s="136">
        <v>9</v>
      </c>
      <c r="K12" s="136">
        <v>2.3199999999999998</v>
      </c>
    </row>
    <row r="13" spans="1:11">
      <c r="J13" s="136">
        <v>10</v>
      </c>
      <c r="K13" s="136">
        <v>2.2799999999999998</v>
      </c>
    </row>
    <row r="14" spans="1:11" ht="17.399999999999999">
      <c r="A14" s="144" t="s">
        <v>243</v>
      </c>
      <c r="B14" s="144"/>
      <c r="C14" s="123"/>
      <c r="D14" s="123"/>
      <c r="E14" s="123"/>
      <c r="J14" s="136">
        <v>11</v>
      </c>
      <c r="K14" s="136">
        <v>2.25</v>
      </c>
    </row>
    <row r="15" spans="1:11" ht="28.8">
      <c r="A15" s="13" t="s">
        <v>221</v>
      </c>
      <c r="B15" s="124" t="s">
        <v>222</v>
      </c>
      <c r="C15" s="13" t="s">
        <v>223</v>
      </c>
      <c r="D15" s="125" t="s">
        <v>224</v>
      </c>
      <c r="E15" s="125" t="s">
        <v>225</v>
      </c>
      <c r="F15" s="13" t="s">
        <v>226</v>
      </c>
      <c r="G15" s="125" t="s">
        <v>227</v>
      </c>
      <c r="J15" s="136">
        <v>12</v>
      </c>
      <c r="K15" s="136">
        <v>2.23</v>
      </c>
    </row>
    <row r="16" spans="1:11">
      <c r="A16" s="126" t="s">
        <v>253</v>
      </c>
      <c r="B16" s="127">
        <f>Resultados!V22</f>
        <v>0</v>
      </c>
      <c r="C16" s="128">
        <f>Resultados!V46</f>
        <v>1.0000238050000001</v>
      </c>
      <c r="D16" s="63">
        <v>1</v>
      </c>
      <c r="E16" s="129">
        <f>B16*C16</f>
        <v>0</v>
      </c>
      <c r="F16" s="44">
        <f>E16^2/$E$23^2*100</f>
        <v>0</v>
      </c>
      <c r="G16" s="131">
        <v>4</v>
      </c>
      <c r="J16" s="136">
        <v>13</v>
      </c>
      <c r="K16" s="136">
        <v>2.21</v>
      </c>
    </row>
    <row r="17" spans="1:23">
      <c r="A17" s="126" t="s">
        <v>254</v>
      </c>
      <c r="B17" s="134">
        <f>Resultados!W22</f>
        <v>6.6395280956806967E-7</v>
      </c>
      <c r="C17" s="134">
        <f>Resultados!W46</f>
        <v>0</v>
      </c>
      <c r="D17" s="135" t="s">
        <v>233</v>
      </c>
      <c r="E17" s="129">
        <f t="shared" ref="E17:E22" si="2">B17*C17</f>
        <v>0</v>
      </c>
      <c r="F17" s="44">
        <f t="shared" ref="F17:F22" si="3">E17^2/$E$23^2*100</f>
        <v>0</v>
      </c>
      <c r="G17" s="131">
        <v>50</v>
      </c>
      <c r="J17" s="136">
        <v>14</v>
      </c>
      <c r="K17" s="136">
        <v>2.2000000000000002</v>
      </c>
    </row>
    <row r="18" spans="1:23" ht="13.8">
      <c r="A18" s="137" t="s">
        <v>255</v>
      </c>
      <c r="B18" s="134">
        <f>Resultados!X22</f>
        <v>1.2956594202695915</v>
      </c>
      <c r="C18" s="134">
        <f>Resultados!X46</f>
        <v>0</v>
      </c>
      <c r="D18" s="138" t="s">
        <v>235</v>
      </c>
      <c r="E18" s="129">
        <f t="shared" si="2"/>
        <v>0</v>
      </c>
      <c r="F18" s="44">
        <f t="shared" si="3"/>
        <v>0</v>
      </c>
      <c r="G18" s="131">
        <v>50</v>
      </c>
      <c r="J18" s="136">
        <v>15</v>
      </c>
      <c r="K18" s="136">
        <v>2.1800000000000002</v>
      </c>
    </row>
    <row r="19" spans="1:23">
      <c r="A19" s="126" t="s">
        <v>236</v>
      </c>
      <c r="B19" s="134">
        <f>Resultados!Y22</f>
        <v>0</v>
      </c>
      <c r="C19" s="134">
        <f>Resultados!Y46</f>
        <v>-1.0000020700000001</v>
      </c>
      <c r="D19" s="63">
        <v>1</v>
      </c>
      <c r="E19" s="129">
        <f t="shared" si="2"/>
        <v>0</v>
      </c>
      <c r="F19" s="44">
        <f t="shared" si="3"/>
        <v>0</v>
      </c>
      <c r="G19" s="131" t="s">
        <v>237</v>
      </c>
      <c r="J19" s="136">
        <v>16</v>
      </c>
      <c r="K19" s="136">
        <v>2.17</v>
      </c>
    </row>
    <row r="20" spans="1:23">
      <c r="A20" s="126" t="s">
        <v>238</v>
      </c>
      <c r="B20" s="134">
        <f>Resultados!Z22</f>
        <v>6.6395280956806967E-7</v>
      </c>
      <c r="C20" s="134">
        <f>Resultados!Z46</f>
        <v>0</v>
      </c>
      <c r="D20" s="135" t="s">
        <v>233</v>
      </c>
      <c r="E20" s="129">
        <f t="shared" si="2"/>
        <v>0</v>
      </c>
      <c r="F20" s="44">
        <f t="shared" si="3"/>
        <v>0</v>
      </c>
      <c r="G20" s="131">
        <v>50</v>
      </c>
      <c r="J20" s="136">
        <v>17</v>
      </c>
      <c r="K20" s="136">
        <v>2.16</v>
      </c>
      <c r="L20" s="145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</row>
    <row r="21" spans="1:23" ht="13.8">
      <c r="A21" s="137" t="s">
        <v>239</v>
      </c>
      <c r="B21" s="134">
        <f>Resultados!AA22</f>
        <v>1.2956594202695915</v>
      </c>
      <c r="C21" s="134">
        <f>Resultados!AA46</f>
        <v>0</v>
      </c>
      <c r="D21" s="138" t="s">
        <v>235</v>
      </c>
      <c r="E21" s="129">
        <f t="shared" si="2"/>
        <v>0</v>
      </c>
      <c r="F21" s="44">
        <f t="shared" si="3"/>
        <v>0</v>
      </c>
      <c r="G21" s="131">
        <v>50</v>
      </c>
      <c r="J21" s="136">
        <v>18</v>
      </c>
      <c r="K21" s="136">
        <v>2.15</v>
      </c>
    </row>
    <row r="22" spans="1:23">
      <c r="A22" s="126" t="s">
        <v>242</v>
      </c>
      <c r="B22" s="139">
        <f>Resultados!AB22</f>
        <v>0.28867513459481292</v>
      </c>
      <c r="C22" s="128">
        <f>Resultados!AB46</f>
        <v>1</v>
      </c>
      <c r="D22" s="63">
        <v>1</v>
      </c>
      <c r="E22" s="154">
        <f t="shared" si="2"/>
        <v>0.28867513459481292</v>
      </c>
      <c r="F22" s="44">
        <f t="shared" si="3"/>
        <v>100</v>
      </c>
      <c r="G22" s="131" t="s">
        <v>237</v>
      </c>
      <c r="J22" s="136">
        <v>19</v>
      </c>
      <c r="K22" s="136">
        <v>2.14</v>
      </c>
    </row>
    <row r="23" spans="1:23">
      <c r="E23" s="129">
        <f>SQRT(SUMSQ(E16:E22))</f>
        <v>0.28867513459481292</v>
      </c>
      <c r="F23" s="140">
        <f>SUM(F16:F22)</f>
        <v>100</v>
      </c>
      <c r="G23" s="141" t="e">
        <f>(E23^4)/(((E16^4)/G16)+((E17^4)/G17)+((E18^4)/G18)+0+((E20^4)/G20)+0+((E21^4)/G21)+0)</f>
        <v>#DIV/0!</v>
      </c>
      <c r="J23" s="136">
        <v>20</v>
      </c>
      <c r="K23" s="136">
        <v>2.13</v>
      </c>
    </row>
    <row r="24" spans="1:23" ht="15">
      <c r="F24" s="142" t="s">
        <v>230</v>
      </c>
      <c r="G24" s="143" t="e">
        <f>G23</f>
        <v>#DIV/0!</v>
      </c>
      <c r="J24" s="136">
        <v>25</v>
      </c>
      <c r="K24" s="136">
        <v>2.11</v>
      </c>
    </row>
    <row r="25" spans="1:23">
      <c r="F25" s="133" t="s">
        <v>231</v>
      </c>
      <c r="G25" s="135" t="e">
        <f>IF(G24&gt;100,2,VLOOKUP(G24,$J$4:$K$30,2))</f>
        <v>#DIV/0!</v>
      </c>
      <c r="J25" s="136">
        <v>30</v>
      </c>
      <c r="K25" s="136">
        <v>2.09</v>
      </c>
    </row>
    <row r="26" spans="1:23">
      <c r="E26" s="147"/>
      <c r="F26" s="148"/>
      <c r="G26" s="149"/>
      <c r="J26" s="136">
        <v>35</v>
      </c>
      <c r="K26" s="136">
        <v>2.0699999999999998</v>
      </c>
    </row>
    <row r="27" spans="1:23" ht="15">
      <c r="F27" s="150"/>
      <c r="G27" s="151"/>
      <c r="J27" s="136">
        <v>40</v>
      </c>
      <c r="K27" s="136">
        <v>2.06</v>
      </c>
    </row>
    <row r="28" spans="1:23">
      <c r="F28" s="152"/>
      <c r="G28" s="153"/>
      <c r="J28" s="136">
        <v>45</v>
      </c>
      <c r="K28" s="136">
        <v>2.06</v>
      </c>
    </row>
    <row r="29" spans="1:23">
      <c r="J29" s="136">
        <v>50</v>
      </c>
      <c r="K29" s="136">
        <v>2.0499999999999998</v>
      </c>
    </row>
    <row r="30" spans="1:23" ht="17.399999999999999">
      <c r="A30" s="144" t="s">
        <v>244</v>
      </c>
      <c r="B30" s="144"/>
      <c r="C30" s="123"/>
      <c r="D30" s="123"/>
      <c r="E30" s="123"/>
      <c r="J30" s="136">
        <v>100</v>
      </c>
      <c r="K30" s="136">
        <v>2.0249999999999999</v>
      </c>
    </row>
    <row r="31" spans="1:23" ht="28.8">
      <c r="A31" s="13" t="s">
        <v>221</v>
      </c>
      <c r="B31" s="124" t="s">
        <v>222</v>
      </c>
      <c r="C31" s="13" t="s">
        <v>223</v>
      </c>
      <c r="D31" s="125" t="s">
        <v>224</v>
      </c>
      <c r="E31" s="125" t="s">
        <v>225</v>
      </c>
      <c r="F31" s="13" t="s">
        <v>226</v>
      </c>
      <c r="G31" s="125" t="s">
        <v>227</v>
      </c>
      <c r="J31" s="131" t="s">
        <v>237</v>
      </c>
      <c r="K31" s="44">
        <v>2</v>
      </c>
    </row>
    <row r="32" spans="1:23">
      <c r="A32" s="126" t="s">
        <v>253</v>
      </c>
      <c r="B32" s="127">
        <f>Resultados!V23</f>
        <v>0</v>
      </c>
      <c r="C32" s="128">
        <f>Resultados!V47</f>
        <v>1.0000238050000001</v>
      </c>
      <c r="D32" s="63">
        <v>1</v>
      </c>
      <c r="E32" s="129">
        <f>B32*C32</f>
        <v>0</v>
      </c>
      <c r="F32" s="130">
        <f>E32^2/$E$39^2*100</f>
        <v>0</v>
      </c>
      <c r="G32" s="131">
        <v>4</v>
      </c>
    </row>
    <row r="33" spans="1:7">
      <c r="A33" s="126" t="s">
        <v>254</v>
      </c>
      <c r="B33" s="134">
        <f>Resultados!W23</f>
        <v>6.6395280956806967E-7</v>
      </c>
      <c r="C33" s="134">
        <f>Resultados!W47</f>
        <v>0</v>
      </c>
      <c r="D33" s="135" t="s">
        <v>233</v>
      </c>
      <c r="E33" s="129">
        <f t="shared" ref="E33:E38" si="4">B33*C33</f>
        <v>0</v>
      </c>
      <c r="F33" s="130">
        <f t="shared" ref="F33:F38" si="5">E33^2/$E$39^2*100</f>
        <v>0</v>
      </c>
      <c r="G33" s="131">
        <v>50</v>
      </c>
    </row>
    <row r="34" spans="1:7" ht="13.8">
      <c r="A34" s="137" t="s">
        <v>255</v>
      </c>
      <c r="B34" s="134">
        <f>Resultados!X23</f>
        <v>1.2956594202695915</v>
      </c>
      <c r="C34" s="134">
        <f>Resultados!X47</f>
        <v>0</v>
      </c>
      <c r="D34" s="138" t="s">
        <v>235</v>
      </c>
      <c r="E34" s="129">
        <f t="shared" si="4"/>
        <v>0</v>
      </c>
      <c r="F34" s="130">
        <f t="shared" si="5"/>
        <v>0</v>
      </c>
      <c r="G34" s="131">
        <v>50</v>
      </c>
    </row>
    <row r="35" spans="1:7">
      <c r="A35" s="126" t="s">
        <v>236</v>
      </c>
      <c r="B35" s="134">
        <f>Resultados!Y23</f>
        <v>0</v>
      </c>
      <c r="C35" s="134">
        <f>Resultados!Y47</f>
        <v>-1.0000020700000001</v>
      </c>
      <c r="D35" s="63">
        <v>1</v>
      </c>
      <c r="E35" s="129">
        <f t="shared" si="4"/>
        <v>0</v>
      </c>
      <c r="F35" s="130">
        <f t="shared" si="5"/>
        <v>0</v>
      </c>
      <c r="G35" s="131" t="s">
        <v>237</v>
      </c>
    </row>
    <row r="36" spans="1:7">
      <c r="A36" s="126" t="s">
        <v>238</v>
      </c>
      <c r="B36" s="134">
        <f>Resultados!Z23</f>
        <v>6.6395280956806967E-7</v>
      </c>
      <c r="C36" s="134">
        <f>Resultados!Z47</f>
        <v>0</v>
      </c>
      <c r="D36" s="135" t="s">
        <v>233</v>
      </c>
      <c r="E36" s="129">
        <f t="shared" si="4"/>
        <v>0</v>
      </c>
      <c r="F36" s="130">
        <f t="shared" si="5"/>
        <v>0</v>
      </c>
      <c r="G36" s="131">
        <v>50</v>
      </c>
    </row>
    <row r="37" spans="1:7" ht="13.8">
      <c r="A37" s="137" t="s">
        <v>239</v>
      </c>
      <c r="B37" s="134">
        <f>Resultados!AA23</f>
        <v>1.2956594202695915</v>
      </c>
      <c r="C37" s="134">
        <f>Resultados!AA47</f>
        <v>0</v>
      </c>
      <c r="D37" s="138" t="s">
        <v>235</v>
      </c>
      <c r="E37" s="129">
        <f t="shared" si="4"/>
        <v>0</v>
      </c>
      <c r="F37" s="130">
        <f t="shared" si="5"/>
        <v>0</v>
      </c>
      <c r="G37" s="131">
        <v>50</v>
      </c>
    </row>
    <row r="38" spans="1:7">
      <c r="A38" s="126" t="s">
        <v>242</v>
      </c>
      <c r="B38" s="139">
        <f>Resultados!AB23</f>
        <v>0.28867513459481292</v>
      </c>
      <c r="C38" s="128">
        <f>Resultados!AB47</f>
        <v>1</v>
      </c>
      <c r="D38" s="63">
        <v>1</v>
      </c>
      <c r="E38" s="129">
        <f t="shared" si="4"/>
        <v>0.28867513459481292</v>
      </c>
      <c r="F38" s="130">
        <f t="shared" si="5"/>
        <v>100</v>
      </c>
      <c r="G38" s="131" t="s">
        <v>237</v>
      </c>
    </row>
    <row r="39" spans="1:7">
      <c r="E39" s="129">
        <f>SQRT(SUMSQ(E32:E38))</f>
        <v>0.28867513459481292</v>
      </c>
      <c r="F39" s="140">
        <f>SUM(F32:F38)</f>
        <v>100</v>
      </c>
      <c r="G39" s="141" t="e">
        <f>(E39^4)/(((E32^4)/G32)+((E33^4)/G33)+((E34^4)/G34)+0+((E36^4)/G36)+0+((E37^4)/G37)+0)</f>
        <v>#DIV/0!</v>
      </c>
    </row>
    <row r="40" spans="1:7" ht="15">
      <c r="F40" s="142" t="s">
        <v>230</v>
      </c>
      <c r="G40" s="143" t="e">
        <f>G39</f>
        <v>#DIV/0!</v>
      </c>
    </row>
    <row r="41" spans="1:7">
      <c r="F41" s="133" t="s">
        <v>231</v>
      </c>
      <c r="G41" s="135" t="e">
        <f>IF(G40&gt;100,2,VLOOKUP(G40,$J$4:$K$30,2))</f>
        <v>#DIV/0!</v>
      </c>
    </row>
    <row r="42" spans="1:7">
      <c r="A42" s="155"/>
      <c r="B42" s="155"/>
      <c r="C42" s="155"/>
      <c r="D42" s="155"/>
      <c r="E42" s="147"/>
      <c r="F42" s="148"/>
      <c r="G42" s="149"/>
    </row>
    <row r="43" spans="1:7" ht="15">
      <c r="A43" s="155"/>
      <c r="B43" s="155"/>
      <c r="C43" s="155"/>
      <c r="D43" s="155"/>
      <c r="E43" s="155"/>
      <c r="F43" s="150"/>
      <c r="G43" s="151"/>
    </row>
    <row r="44" spans="1:7">
      <c r="A44" s="155"/>
      <c r="B44" s="155"/>
      <c r="C44" s="155"/>
      <c r="D44" s="155"/>
      <c r="E44" s="155"/>
      <c r="F44" s="152"/>
      <c r="G44" s="153"/>
    </row>
    <row r="45" spans="1:7" ht="17.399999999999999">
      <c r="A45" s="144" t="s">
        <v>245</v>
      </c>
      <c r="B45" s="144"/>
      <c r="C45" s="123"/>
      <c r="D45" s="123"/>
      <c r="E45" s="123"/>
    </row>
    <row r="46" spans="1:7" ht="28.8">
      <c r="A46" s="13" t="s">
        <v>221</v>
      </c>
      <c r="B46" s="124" t="s">
        <v>222</v>
      </c>
      <c r="C46" s="13" t="s">
        <v>223</v>
      </c>
      <c r="D46" s="125" t="s">
        <v>224</v>
      </c>
      <c r="E46" s="125" t="s">
        <v>225</v>
      </c>
      <c r="F46" s="13" t="s">
        <v>226</v>
      </c>
      <c r="G46" s="125" t="s">
        <v>227</v>
      </c>
    </row>
    <row r="47" spans="1:7">
      <c r="A47" s="126" t="s">
        <v>253</v>
      </c>
      <c r="B47" s="127">
        <f>Resultados!V24</f>
        <v>0</v>
      </c>
      <c r="C47" s="128">
        <f>Resultados!V48</f>
        <v>1.0000238050000001</v>
      </c>
      <c r="D47" s="63">
        <v>1</v>
      </c>
      <c r="E47" s="129">
        <f>B47*C47</f>
        <v>0</v>
      </c>
      <c r="F47" s="130">
        <f>E47^2/$E$54^2*100</f>
        <v>0</v>
      </c>
      <c r="G47" s="131">
        <v>4</v>
      </c>
    </row>
    <row r="48" spans="1:7">
      <c r="A48" s="126" t="s">
        <v>254</v>
      </c>
      <c r="B48" s="134">
        <f>Resultados!W24</f>
        <v>6.6395280956806967E-7</v>
      </c>
      <c r="C48" s="134">
        <f>Resultados!W48</f>
        <v>0</v>
      </c>
      <c r="D48" s="135" t="s">
        <v>233</v>
      </c>
      <c r="E48" s="129">
        <f t="shared" ref="E48:E53" si="6">B48*C48</f>
        <v>0</v>
      </c>
      <c r="F48" s="130">
        <f t="shared" ref="F48:F53" si="7">E48^2/$E$54^2*100</f>
        <v>0</v>
      </c>
      <c r="G48" s="131">
        <v>50</v>
      </c>
    </row>
    <row r="49" spans="1:7" ht="13.8">
      <c r="A49" s="137" t="s">
        <v>255</v>
      </c>
      <c r="B49" s="134">
        <f>Resultados!X24</f>
        <v>1.2956594202695915</v>
      </c>
      <c r="C49" s="134">
        <f>Resultados!X48</f>
        <v>0</v>
      </c>
      <c r="D49" s="138" t="s">
        <v>235</v>
      </c>
      <c r="E49" s="129">
        <f t="shared" si="6"/>
        <v>0</v>
      </c>
      <c r="F49" s="130">
        <f t="shared" si="7"/>
        <v>0</v>
      </c>
      <c r="G49" s="131">
        <v>50</v>
      </c>
    </row>
    <row r="50" spans="1:7">
      <c r="A50" s="126" t="s">
        <v>236</v>
      </c>
      <c r="B50" s="134">
        <f>Resultados!Y24</f>
        <v>0</v>
      </c>
      <c r="C50" s="134">
        <f>Resultados!Y48</f>
        <v>-1.0000020700000001</v>
      </c>
      <c r="D50" s="63">
        <v>1</v>
      </c>
      <c r="E50" s="129">
        <f t="shared" si="6"/>
        <v>0</v>
      </c>
      <c r="F50" s="130">
        <f t="shared" si="7"/>
        <v>0</v>
      </c>
      <c r="G50" s="131" t="s">
        <v>237</v>
      </c>
    </row>
    <row r="51" spans="1:7">
      <c r="A51" s="126" t="s">
        <v>238</v>
      </c>
      <c r="B51" s="134">
        <f>Resultados!Z24</f>
        <v>6.6395280956806967E-7</v>
      </c>
      <c r="C51" s="134">
        <f>Resultados!Z48</f>
        <v>0</v>
      </c>
      <c r="D51" s="135" t="s">
        <v>233</v>
      </c>
      <c r="E51" s="129">
        <f t="shared" si="6"/>
        <v>0</v>
      </c>
      <c r="F51" s="130">
        <f t="shared" si="7"/>
        <v>0</v>
      </c>
      <c r="G51" s="131">
        <v>50</v>
      </c>
    </row>
    <row r="52" spans="1:7" ht="13.8">
      <c r="A52" s="137" t="s">
        <v>239</v>
      </c>
      <c r="B52" s="134">
        <f>Resultados!AA24</f>
        <v>1.2956594202695915</v>
      </c>
      <c r="C52" s="134">
        <f>Resultados!AA48</f>
        <v>0</v>
      </c>
      <c r="D52" s="138" t="s">
        <v>235</v>
      </c>
      <c r="E52" s="129">
        <f t="shared" si="6"/>
        <v>0</v>
      </c>
      <c r="F52" s="130">
        <f t="shared" si="7"/>
        <v>0</v>
      </c>
      <c r="G52" s="131">
        <v>50</v>
      </c>
    </row>
    <row r="53" spans="1:7">
      <c r="A53" s="126" t="s">
        <v>242</v>
      </c>
      <c r="B53" s="139">
        <f>Resultados!AB24</f>
        <v>0.28867513459481292</v>
      </c>
      <c r="C53" s="128">
        <f>Resultados!AB48</f>
        <v>1</v>
      </c>
      <c r="D53" s="63">
        <v>1</v>
      </c>
      <c r="E53" s="129">
        <f t="shared" si="6"/>
        <v>0.28867513459481292</v>
      </c>
      <c r="F53" s="130">
        <f t="shared" si="7"/>
        <v>100</v>
      </c>
      <c r="G53" s="131" t="s">
        <v>237</v>
      </c>
    </row>
    <row r="54" spans="1:7">
      <c r="E54" s="129">
        <f>SQRT(SUMSQ(E47:E53))</f>
        <v>0.28867513459481292</v>
      </c>
      <c r="F54" s="140">
        <f>SUM(F47:F53)</f>
        <v>100</v>
      </c>
      <c r="G54" s="141" t="e">
        <f>(E54^4)/(((E47^4)/G47)+((E48^4)/G48)+((E49^4)/G49)+0+((E51^4)/G51)+0+((E52^4)/G52)+0)</f>
        <v>#DIV/0!</v>
      </c>
    </row>
    <row r="55" spans="1:7" ht="15">
      <c r="F55" s="142" t="s">
        <v>230</v>
      </c>
      <c r="G55" s="143" t="e">
        <f>G54</f>
        <v>#DIV/0!</v>
      </c>
    </row>
    <row r="56" spans="1:7">
      <c r="F56" s="133" t="s">
        <v>231</v>
      </c>
      <c r="G56" s="135" t="e">
        <f>IF(G55&gt;100,2,VLOOKUP(G55,$J$4:$K$30,2))</f>
        <v>#DIV/0!</v>
      </c>
    </row>
    <row r="57" spans="1:7">
      <c r="A57" s="155"/>
      <c r="B57" s="155"/>
      <c r="C57" s="155"/>
      <c r="D57" s="155"/>
      <c r="E57" s="147"/>
      <c r="F57" s="148"/>
      <c r="G57" s="149"/>
    </row>
    <row r="58" spans="1:7" ht="15">
      <c r="A58" s="155"/>
      <c r="B58" s="155"/>
      <c r="C58" s="155"/>
      <c r="D58" s="155"/>
      <c r="E58" s="155"/>
      <c r="F58" s="150"/>
      <c r="G58" s="151"/>
    </row>
    <row r="59" spans="1:7">
      <c r="A59" s="155"/>
      <c r="B59" s="155"/>
      <c r="C59" s="155"/>
      <c r="D59" s="155"/>
      <c r="E59" s="155"/>
      <c r="F59" s="152"/>
      <c r="G59" s="153"/>
    </row>
    <row r="60" spans="1:7" ht="17.399999999999999">
      <c r="A60" s="144" t="s">
        <v>246</v>
      </c>
      <c r="B60" s="144"/>
      <c r="C60" s="123"/>
      <c r="D60" s="123"/>
      <c r="E60" s="123"/>
    </row>
    <row r="61" spans="1:7" ht="28.8">
      <c r="A61" s="13" t="s">
        <v>221</v>
      </c>
      <c r="B61" s="124" t="s">
        <v>222</v>
      </c>
      <c r="C61" s="13" t="s">
        <v>223</v>
      </c>
      <c r="D61" s="125" t="s">
        <v>224</v>
      </c>
      <c r="E61" s="125" t="s">
        <v>225</v>
      </c>
      <c r="F61" s="13" t="s">
        <v>226</v>
      </c>
      <c r="G61" s="125" t="s">
        <v>227</v>
      </c>
    </row>
    <row r="62" spans="1:7">
      <c r="A62" s="126" t="s">
        <v>253</v>
      </c>
      <c r="B62" s="127">
        <f>Resultados!V25</f>
        <v>0</v>
      </c>
      <c r="C62" s="128">
        <f>Resultados!V49</f>
        <v>1.0000238050000001</v>
      </c>
      <c r="D62" s="63">
        <v>1</v>
      </c>
      <c r="E62" s="129">
        <f>B62*C62</f>
        <v>0</v>
      </c>
      <c r="F62" s="130">
        <f>E62^2/$E$69^2*100</f>
        <v>0</v>
      </c>
      <c r="G62" s="131">
        <v>4</v>
      </c>
    </row>
    <row r="63" spans="1:7">
      <c r="A63" s="126" t="s">
        <v>254</v>
      </c>
      <c r="B63" s="134">
        <f>Resultados!W25</f>
        <v>6.6395280956806967E-7</v>
      </c>
      <c r="C63" s="134">
        <f>Resultados!W49</f>
        <v>0</v>
      </c>
      <c r="D63" s="135" t="s">
        <v>233</v>
      </c>
      <c r="E63" s="129">
        <f t="shared" ref="E63:E68" si="8">B63*C63</f>
        <v>0</v>
      </c>
      <c r="F63" s="130">
        <f t="shared" ref="F63:F68" si="9">E63^2/$E$69^2*100</f>
        <v>0</v>
      </c>
      <c r="G63" s="131">
        <v>50</v>
      </c>
    </row>
    <row r="64" spans="1:7" ht="13.8">
      <c r="A64" s="137" t="s">
        <v>255</v>
      </c>
      <c r="B64" s="134">
        <f>Resultados!X25</f>
        <v>1.2956594202695915</v>
      </c>
      <c r="C64" s="134">
        <f>Resultados!X49</f>
        <v>0</v>
      </c>
      <c r="D64" s="138" t="s">
        <v>235</v>
      </c>
      <c r="E64" s="129">
        <f t="shared" si="8"/>
        <v>0</v>
      </c>
      <c r="F64" s="130">
        <f t="shared" si="9"/>
        <v>0</v>
      </c>
      <c r="G64" s="131">
        <v>50</v>
      </c>
    </row>
    <row r="65" spans="1:7">
      <c r="A65" s="126" t="s">
        <v>236</v>
      </c>
      <c r="B65" s="134">
        <f>Resultados!Y25</f>
        <v>0</v>
      </c>
      <c r="C65" s="134">
        <f>Resultados!Y49</f>
        <v>-1.0000020700000001</v>
      </c>
      <c r="D65" s="63">
        <v>1</v>
      </c>
      <c r="E65" s="129">
        <f t="shared" si="8"/>
        <v>0</v>
      </c>
      <c r="F65" s="130">
        <f t="shared" si="9"/>
        <v>0</v>
      </c>
      <c r="G65" s="131" t="s">
        <v>237</v>
      </c>
    </row>
    <row r="66" spans="1:7">
      <c r="A66" s="126" t="s">
        <v>238</v>
      </c>
      <c r="B66" s="134">
        <f>Resultados!Z25</f>
        <v>6.6395280956806967E-7</v>
      </c>
      <c r="C66" s="134">
        <f>Resultados!Z49</f>
        <v>0</v>
      </c>
      <c r="D66" s="135" t="s">
        <v>233</v>
      </c>
      <c r="E66" s="129">
        <f t="shared" si="8"/>
        <v>0</v>
      </c>
      <c r="F66" s="130">
        <f t="shared" si="9"/>
        <v>0</v>
      </c>
      <c r="G66" s="131">
        <v>50</v>
      </c>
    </row>
    <row r="67" spans="1:7" ht="13.8">
      <c r="A67" s="137" t="s">
        <v>239</v>
      </c>
      <c r="B67" s="134">
        <f>Resultados!AA25</f>
        <v>1.2956594202695915</v>
      </c>
      <c r="C67" s="134">
        <f>Resultados!AA49</f>
        <v>0</v>
      </c>
      <c r="D67" s="138" t="s">
        <v>235</v>
      </c>
      <c r="E67" s="129">
        <f t="shared" si="8"/>
        <v>0</v>
      </c>
      <c r="F67" s="130">
        <f t="shared" si="9"/>
        <v>0</v>
      </c>
      <c r="G67" s="131">
        <v>50</v>
      </c>
    </row>
    <row r="68" spans="1:7">
      <c r="A68" s="126" t="s">
        <v>242</v>
      </c>
      <c r="B68" s="139">
        <f>Resultados!AB25</f>
        <v>0.28867513459481292</v>
      </c>
      <c r="C68" s="128">
        <f>Resultados!AB49</f>
        <v>1</v>
      </c>
      <c r="D68" s="63">
        <v>1</v>
      </c>
      <c r="E68" s="129">
        <f t="shared" si="8"/>
        <v>0.28867513459481292</v>
      </c>
      <c r="F68" s="130">
        <f t="shared" si="9"/>
        <v>100</v>
      </c>
      <c r="G68" s="131" t="s">
        <v>237</v>
      </c>
    </row>
    <row r="69" spans="1:7">
      <c r="E69" s="129">
        <f>SQRT(SUMSQ(E62:E68))</f>
        <v>0.28867513459481292</v>
      </c>
      <c r="F69" s="140">
        <f>SUM(F62:F68)</f>
        <v>100</v>
      </c>
      <c r="G69" s="141" t="e">
        <f>(E69^4)/(((E62^4)/G62)+((E63^4)/G63)+((E64^4)/G64)+0+((E66^4)/G66)+0+((E67^4)/G67)+0)</f>
        <v>#DIV/0!</v>
      </c>
    </row>
    <row r="70" spans="1:7" ht="15">
      <c r="F70" s="142" t="s">
        <v>230</v>
      </c>
      <c r="G70" s="143" t="e">
        <f>G69</f>
        <v>#DIV/0!</v>
      </c>
    </row>
    <row r="71" spans="1:7">
      <c r="F71" s="133" t="s">
        <v>231</v>
      </c>
      <c r="G71" s="135" t="e">
        <f>IF(G70&gt;100,2,VLOOKUP(G70,$J$4:$K$30,2))</f>
        <v>#DIV/0!</v>
      </c>
    </row>
    <row r="72" spans="1:7">
      <c r="A72" s="155"/>
      <c r="B72" s="155"/>
      <c r="C72" s="155"/>
      <c r="D72" s="155"/>
      <c r="E72" s="147"/>
      <c r="F72" s="148"/>
      <c r="G72" s="149"/>
    </row>
    <row r="73" spans="1:7" ht="15">
      <c r="A73" s="155"/>
      <c r="B73" s="155"/>
      <c r="C73" s="155"/>
      <c r="D73" s="155"/>
      <c r="E73" s="155"/>
      <c r="F73" s="150"/>
      <c r="G73" s="151"/>
    </row>
    <row r="74" spans="1:7">
      <c r="A74" s="155"/>
      <c r="B74" s="155"/>
      <c r="C74" s="155"/>
      <c r="D74" s="155"/>
      <c r="E74" s="155"/>
      <c r="F74" s="152"/>
      <c r="G74" s="153"/>
    </row>
    <row r="75" spans="1:7" ht="17.399999999999999">
      <c r="A75" s="144" t="s">
        <v>247</v>
      </c>
      <c r="B75" s="144"/>
      <c r="C75" s="123"/>
      <c r="D75" s="123"/>
      <c r="E75" s="123"/>
    </row>
    <row r="76" spans="1:7" ht="28.8">
      <c r="A76" s="13" t="s">
        <v>221</v>
      </c>
      <c r="B76" s="124" t="s">
        <v>222</v>
      </c>
      <c r="C76" s="13" t="s">
        <v>223</v>
      </c>
      <c r="D76" s="125" t="s">
        <v>224</v>
      </c>
      <c r="E76" s="125" t="s">
        <v>225</v>
      </c>
      <c r="F76" s="13" t="s">
        <v>226</v>
      </c>
      <c r="G76" s="125" t="s">
        <v>227</v>
      </c>
    </row>
    <row r="77" spans="1:7">
      <c r="A77" s="126" t="s">
        <v>253</v>
      </c>
      <c r="B77" s="127">
        <f>Resultados!V26</f>
        <v>0</v>
      </c>
      <c r="C77" s="128">
        <f>Resultados!V50</f>
        <v>1.0000238050000001</v>
      </c>
      <c r="D77" s="63">
        <v>1</v>
      </c>
      <c r="E77" s="129">
        <f>B77*C77</f>
        <v>0</v>
      </c>
      <c r="F77" s="130">
        <f>E77^2/$E$84^2*100</f>
        <v>0</v>
      </c>
      <c r="G77" s="131">
        <v>4</v>
      </c>
    </row>
    <row r="78" spans="1:7">
      <c r="A78" s="126" t="s">
        <v>254</v>
      </c>
      <c r="B78" s="134">
        <f>Resultados!W26</f>
        <v>6.6395280956806967E-7</v>
      </c>
      <c r="C78" s="134">
        <f>Resultados!W50</f>
        <v>0</v>
      </c>
      <c r="D78" s="135" t="s">
        <v>233</v>
      </c>
      <c r="E78" s="129">
        <f t="shared" ref="E78:E83" si="10">B78*C78</f>
        <v>0</v>
      </c>
      <c r="F78" s="130">
        <f t="shared" ref="F78:F83" si="11">E78^2/$E$84^2*100</f>
        <v>0</v>
      </c>
      <c r="G78" s="131">
        <v>50</v>
      </c>
    </row>
    <row r="79" spans="1:7" ht="13.8">
      <c r="A79" s="137" t="s">
        <v>255</v>
      </c>
      <c r="B79" s="134">
        <f>Resultados!X26</f>
        <v>1.2956594202695915</v>
      </c>
      <c r="C79" s="134">
        <f>Resultados!X50</f>
        <v>0</v>
      </c>
      <c r="D79" s="138" t="s">
        <v>235</v>
      </c>
      <c r="E79" s="129">
        <f t="shared" si="10"/>
        <v>0</v>
      </c>
      <c r="F79" s="130">
        <f t="shared" si="11"/>
        <v>0</v>
      </c>
      <c r="G79" s="131">
        <v>50</v>
      </c>
    </row>
    <row r="80" spans="1:7">
      <c r="A80" s="126" t="s">
        <v>236</v>
      </c>
      <c r="B80" s="134">
        <f>Resultados!Y26</f>
        <v>0</v>
      </c>
      <c r="C80" s="134">
        <f>Resultados!Y50</f>
        <v>-1.0000020700000001</v>
      </c>
      <c r="D80" s="63">
        <v>1</v>
      </c>
      <c r="E80" s="129">
        <f t="shared" si="10"/>
        <v>0</v>
      </c>
      <c r="F80" s="130">
        <f t="shared" si="11"/>
        <v>0</v>
      </c>
      <c r="G80" s="131" t="s">
        <v>237</v>
      </c>
    </row>
    <row r="81" spans="1:7">
      <c r="A81" s="126" t="s">
        <v>238</v>
      </c>
      <c r="B81" s="134">
        <f>Resultados!Z26</f>
        <v>6.6395280956806967E-7</v>
      </c>
      <c r="C81" s="134">
        <f>Resultados!Z50</f>
        <v>0</v>
      </c>
      <c r="D81" s="135" t="s">
        <v>233</v>
      </c>
      <c r="E81" s="129">
        <f t="shared" si="10"/>
        <v>0</v>
      </c>
      <c r="F81" s="130">
        <f t="shared" si="11"/>
        <v>0</v>
      </c>
      <c r="G81" s="131">
        <v>50</v>
      </c>
    </row>
    <row r="82" spans="1:7" ht="13.8">
      <c r="A82" s="137" t="s">
        <v>239</v>
      </c>
      <c r="B82" s="134">
        <f>Resultados!AA26</f>
        <v>1.2956594202695915</v>
      </c>
      <c r="C82" s="134">
        <f>Resultados!AA50</f>
        <v>0</v>
      </c>
      <c r="D82" s="138" t="s">
        <v>235</v>
      </c>
      <c r="E82" s="129">
        <f t="shared" si="10"/>
        <v>0</v>
      </c>
      <c r="F82" s="130">
        <f t="shared" si="11"/>
        <v>0</v>
      </c>
      <c r="G82" s="131">
        <v>50</v>
      </c>
    </row>
    <row r="83" spans="1:7">
      <c r="A83" s="126" t="s">
        <v>242</v>
      </c>
      <c r="B83" s="139">
        <f>Resultados!AB26</f>
        <v>0.28867513459481292</v>
      </c>
      <c r="C83" s="128">
        <f>Resultados!AB50</f>
        <v>1</v>
      </c>
      <c r="D83" s="63">
        <v>1</v>
      </c>
      <c r="E83" s="129">
        <f t="shared" si="10"/>
        <v>0.28867513459481292</v>
      </c>
      <c r="F83" s="130">
        <f t="shared" si="11"/>
        <v>100</v>
      </c>
      <c r="G83" s="131" t="s">
        <v>237</v>
      </c>
    </row>
    <row r="84" spans="1:7">
      <c r="E84" s="129">
        <f>SQRT(SUMSQ(E77:E83))</f>
        <v>0.28867513459481292</v>
      </c>
      <c r="F84" s="140">
        <f>SUM(F77:F83)</f>
        <v>100</v>
      </c>
      <c r="G84" s="141" t="e">
        <f>(E84^4)/(((E77^4)/G77)+((E78^4)/G78)+((E79^4)/G79)+0+((E81^4)/G81)+0+((E82^4)/G82)+0)</f>
        <v>#DIV/0!</v>
      </c>
    </row>
    <row r="85" spans="1:7" ht="15">
      <c r="F85" s="142" t="s">
        <v>230</v>
      </c>
      <c r="G85" s="143" t="e">
        <f>G84</f>
        <v>#DIV/0!</v>
      </c>
    </row>
    <row r="86" spans="1:7">
      <c r="F86" s="133" t="s">
        <v>231</v>
      </c>
      <c r="G86" s="135" t="e">
        <f>IF(G85&gt;100,2,VLOOKUP(G85,$J$4:$K$30,2))</f>
        <v>#DIV/0!</v>
      </c>
    </row>
    <row r="87" spans="1:7">
      <c r="A87" s="155"/>
      <c r="B87" s="155"/>
      <c r="C87" s="155"/>
      <c r="D87" s="155"/>
      <c r="E87" s="147"/>
      <c r="F87" s="148"/>
      <c r="G87" s="149"/>
    </row>
    <row r="88" spans="1:7" ht="15">
      <c r="A88" s="155"/>
      <c r="B88" s="155"/>
      <c r="C88" s="155"/>
      <c r="D88" s="155"/>
      <c r="E88" s="155"/>
      <c r="F88" s="150"/>
      <c r="G88" s="151"/>
    </row>
    <row r="89" spans="1:7">
      <c r="A89" s="155"/>
      <c r="B89" s="155"/>
      <c r="C89" s="155"/>
      <c r="D89" s="155"/>
      <c r="E89" s="155"/>
      <c r="F89" s="152"/>
      <c r="G89" s="153"/>
    </row>
    <row r="90" spans="1:7" ht="17.399999999999999">
      <c r="A90" s="144" t="s">
        <v>248</v>
      </c>
      <c r="B90" s="144"/>
      <c r="C90" s="123"/>
      <c r="D90" s="123"/>
      <c r="E90" s="123"/>
    </row>
    <row r="91" spans="1:7" ht="28.8">
      <c r="A91" s="13" t="s">
        <v>221</v>
      </c>
      <c r="B91" s="124" t="s">
        <v>222</v>
      </c>
      <c r="C91" s="13" t="s">
        <v>223</v>
      </c>
      <c r="D91" s="125" t="s">
        <v>224</v>
      </c>
      <c r="E91" s="125" t="s">
        <v>225</v>
      </c>
      <c r="F91" s="13" t="s">
        <v>226</v>
      </c>
      <c r="G91" s="125" t="s">
        <v>227</v>
      </c>
    </row>
    <row r="92" spans="1:7">
      <c r="A92" s="126" t="s">
        <v>253</v>
      </c>
      <c r="B92" s="127">
        <f>Resultados!V27</f>
        <v>0</v>
      </c>
      <c r="C92" s="128">
        <f>Resultados!V51</f>
        <v>1.0000238050000001</v>
      </c>
      <c r="D92" s="63">
        <v>1</v>
      </c>
      <c r="E92" s="129">
        <f>B92*C92</f>
        <v>0</v>
      </c>
      <c r="F92" s="130">
        <f>E92^2/$E$99^2*100</f>
        <v>0</v>
      </c>
      <c r="G92" s="131">
        <v>4</v>
      </c>
    </row>
    <row r="93" spans="1:7">
      <c r="A93" s="126" t="s">
        <v>254</v>
      </c>
      <c r="B93" s="134">
        <f>Resultados!W27</f>
        <v>6.6395280956806967E-7</v>
      </c>
      <c r="C93" s="134">
        <f>Resultados!W51</f>
        <v>0</v>
      </c>
      <c r="D93" s="135" t="s">
        <v>233</v>
      </c>
      <c r="E93" s="129">
        <f t="shared" ref="E93:E98" si="12">B93*C93</f>
        <v>0</v>
      </c>
      <c r="F93" s="130">
        <f t="shared" ref="F93:F98" si="13">E93^2/$E$99^2*100</f>
        <v>0</v>
      </c>
      <c r="G93" s="131">
        <v>50</v>
      </c>
    </row>
    <row r="94" spans="1:7" ht="13.8">
      <c r="A94" s="137" t="s">
        <v>255</v>
      </c>
      <c r="B94" s="134">
        <f>Resultados!X27</f>
        <v>1.2956594202695915</v>
      </c>
      <c r="C94" s="134">
        <f>Resultados!X51</f>
        <v>0</v>
      </c>
      <c r="D94" s="138" t="s">
        <v>235</v>
      </c>
      <c r="E94" s="129">
        <f t="shared" si="12"/>
        <v>0</v>
      </c>
      <c r="F94" s="130">
        <f t="shared" si="13"/>
        <v>0</v>
      </c>
      <c r="G94" s="131">
        <v>50</v>
      </c>
    </row>
    <row r="95" spans="1:7">
      <c r="A95" s="126" t="s">
        <v>236</v>
      </c>
      <c r="B95" s="134">
        <f>Resultados!Y27</f>
        <v>0</v>
      </c>
      <c r="C95" s="134">
        <f>Resultados!Y51</f>
        <v>-1.0000020700000001</v>
      </c>
      <c r="D95" s="63">
        <v>1</v>
      </c>
      <c r="E95" s="129">
        <f t="shared" si="12"/>
        <v>0</v>
      </c>
      <c r="F95" s="130">
        <f t="shared" si="13"/>
        <v>0</v>
      </c>
      <c r="G95" s="131" t="s">
        <v>237</v>
      </c>
    </row>
    <row r="96" spans="1:7">
      <c r="A96" s="126" t="s">
        <v>238</v>
      </c>
      <c r="B96" s="134">
        <f>Resultados!Z27</f>
        <v>6.6395280956806967E-7</v>
      </c>
      <c r="C96" s="134">
        <f>Resultados!Z51</f>
        <v>0</v>
      </c>
      <c r="D96" s="135" t="s">
        <v>233</v>
      </c>
      <c r="E96" s="129">
        <f t="shared" si="12"/>
        <v>0</v>
      </c>
      <c r="F96" s="130">
        <f t="shared" si="13"/>
        <v>0</v>
      </c>
      <c r="G96" s="131">
        <v>50</v>
      </c>
    </row>
    <row r="97" spans="1:7" ht="13.8">
      <c r="A97" s="137" t="s">
        <v>239</v>
      </c>
      <c r="B97" s="134">
        <f>Resultados!AA27</f>
        <v>1.2956594202695915</v>
      </c>
      <c r="C97" s="134">
        <f>Resultados!AA51</f>
        <v>0</v>
      </c>
      <c r="D97" s="138" t="s">
        <v>235</v>
      </c>
      <c r="E97" s="129">
        <f t="shared" si="12"/>
        <v>0</v>
      </c>
      <c r="F97" s="130">
        <f t="shared" si="13"/>
        <v>0</v>
      </c>
      <c r="G97" s="131">
        <v>50</v>
      </c>
    </row>
    <row r="98" spans="1:7">
      <c r="A98" s="126" t="s">
        <v>242</v>
      </c>
      <c r="B98" s="139">
        <f>Resultados!AB27</f>
        <v>0.28867513459481292</v>
      </c>
      <c r="C98" s="128">
        <f>Resultados!AB51</f>
        <v>1</v>
      </c>
      <c r="D98" s="63">
        <v>1</v>
      </c>
      <c r="E98" s="129">
        <f t="shared" si="12"/>
        <v>0.28867513459481292</v>
      </c>
      <c r="F98" s="130">
        <f t="shared" si="13"/>
        <v>100</v>
      </c>
      <c r="G98" s="131" t="s">
        <v>237</v>
      </c>
    </row>
    <row r="99" spans="1:7">
      <c r="E99" s="129">
        <f>SQRT(SUMSQ(E92:E98))</f>
        <v>0.28867513459481292</v>
      </c>
      <c r="F99" s="140">
        <f>SUM(F92:F98)</f>
        <v>100</v>
      </c>
      <c r="G99" s="141" t="e">
        <f>(E99^4)/(((E92^4)/G92)+((E93^4)/G93)+((E94^4)/G94)+0+((E96^4)/G96)+0+((E97^4)/G97)+0)</f>
        <v>#DIV/0!</v>
      </c>
    </row>
    <row r="100" spans="1:7" ht="15">
      <c r="F100" s="142" t="s">
        <v>230</v>
      </c>
      <c r="G100" s="143" t="e">
        <f>G99</f>
        <v>#DIV/0!</v>
      </c>
    </row>
    <row r="101" spans="1:7">
      <c r="F101" s="133" t="s">
        <v>231</v>
      </c>
      <c r="G101" s="135" t="e">
        <f>IF(G100&gt;100,2,VLOOKUP(G100,$J$4:$K$30,2))</f>
        <v>#DIV/0!</v>
      </c>
    </row>
    <row r="102" spans="1:7">
      <c r="A102" s="155"/>
      <c r="B102" s="155"/>
      <c r="C102" s="155"/>
      <c r="D102" s="155"/>
      <c r="E102" s="147"/>
      <c r="F102" s="148"/>
      <c r="G102" s="149"/>
    </row>
    <row r="103" spans="1:7" ht="15">
      <c r="A103" s="155"/>
      <c r="B103" s="155"/>
      <c r="C103" s="155"/>
      <c r="D103" s="155"/>
      <c r="E103" s="155"/>
      <c r="F103" s="150"/>
      <c r="G103" s="151"/>
    </row>
    <row r="104" spans="1:7">
      <c r="A104" s="155"/>
      <c r="B104" s="155"/>
      <c r="C104" s="155"/>
      <c r="D104" s="155"/>
      <c r="E104" s="155"/>
      <c r="F104" s="152"/>
      <c r="G104" s="153"/>
    </row>
    <row r="105" spans="1:7" ht="17.399999999999999">
      <c r="A105" s="144" t="s">
        <v>249</v>
      </c>
      <c r="B105" s="144"/>
      <c r="C105" s="227"/>
      <c r="D105" s="227"/>
      <c r="E105" s="227"/>
      <c r="F105" s="234"/>
      <c r="G105" s="234"/>
    </row>
    <row r="106" spans="1:7" ht="28.8">
      <c r="A106" s="235" t="s">
        <v>221</v>
      </c>
      <c r="B106" s="236" t="s">
        <v>222</v>
      </c>
      <c r="C106" s="235" t="s">
        <v>223</v>
      </c>
      <c r="D106" s="237" t="s">
        <v>224</v>
      </c>
      <c r="E106" s="237" t="s">
        <v>225</v>
      </c>
      <c r="F106" s="235" t="s">
        <v>226</v>
      </c>
      <c r="G106" s="237" t="s">
        <v>227</v>
      </c>
    </row>
    <row r="107" spans="1:7">
      <c r="A107" s="238" t="s">
        <v>253</v>
      </c>
      <c r="B107" s="239">
        <f>Resultados!V50</f>
        <v>1.0000238050000001</v>
      </c>
      <c r="C107" s="240">
        <f>Resultados!V40</f>
        <v>0</v>
      </c>
      <c r="D107" s="241">
        <v>1</v>
      </c>
      <c r="E107" s="242">
        <f>B107*C107</f>
        <v>0</v>
      </c>
      <c r="F107" s="243">
        <f t="shared" ref="F107:F113" si="14">E107^2/$E$10^2*100</f>
        <v>0</v>
      </c>
      <c r="G107" s="244">
        <v>4</v>
      </c>
    </row>
    <row r="108" spans="1:7">
      <c r="A108" s="238" t="s">
        <v>254</v>
      </c>
      <c r="B108" s="242">
        <f>Resultados!W50</f>
        <v>0</v>
      </c>
      <c r="C108" s="242">
        <f>Resultados!W40</f>
        <v>0</v>
      </c>
      <c r="D108" s="245" t="s">
        <v>233</v>
      </c>
      <c r="E108" s="242">
        <f t="shared" ref="E108:E113" si="15">B108*C108</f>
        <v>0</v>
      </c>
      <c r="F108" s="243">
        <f t="shared" si="14"/>
        <v>0</v>
      </c>
      <c r="G108" s="244">
        <v>50</v>
      </c>
    </row>
    <row r="109" spans="1:7" ht="13.8">
      <c r="A109" s="246" t="s">
        <v>255</v>
      </c>
      <c r="B109" s="242">
        <f>Resultados!X50</f>
        <v>0</v>
      </c>
      <c r="C109" s="242">
        <f>Resultados!X40</f>
        <v>0</v>
      </c>
      <c r="D109" s="247" t="s">
        <v>235</v>
      </c>
      <c r="E109" s="242">
        <f t="shared" si="15"/>
        <v>0</v>
      </c>
      <c r="F109" s="243">
        <f t="shared" si="14"/>
        <v>0</v>
      </c>
      <c r="G109" s="244">
        <v>50</v>
      </c>
    </row>
    <row r="110" spans="1:7">
      <c r="A110" s="238" t="s">
        <v>236</v>
      </c>
      <c r="B110" s="242">
        <f>Resultados!Y50</f>
        <v>-1.0000020700000001</v>
      </c>
      <c r="C110" s="242">
        <f>Resultados!Y40</f>
        <v>0</v>
      </c>
      <c r="D110" s="241">
        <v>1</v>
      </c>
      <c r="E110" s="242">
        <f t="shared" si="15"/>
        <v>0</v>
      </c>
      <c r="F110" s="243">
        <f t="shared" si="14"/>
        <v>0</v>
      </c>
      <c r="G110" s="244" t="s">
        <v>237</v>
      </c>
    </row>
    <row r="111" spans="1:7">
      <c r="A111" s="238" t="s">
        <v>238</v>
      </c>
      <c r="B111" s="242">
        <f>Resultados!Z50</f>
        <v>0</v>
      </c>
      <c r="C111" s="242">
        <f>Resultados!Z40</f>
        <v>0</v>
      </c>
      <c r="D111" s="245" t="s">
        <v>233</v>
      </c>
      <c r="E111" s="242">
        <f t="shared" si="15"/>
        <v>0</v>
      </c>
      <c r="F111" s="243">
        <f t="shared" si="14"/>
        <v>0</v>
      </c>
      <c r="G111" s="244">
        <v>50</v>
      </c>
    </row>
    <row r="112" spans="1:7" ht="13.8">
      <c r="A112" s="246" t="s">
        <v>239</v>
      </c>
      <c r="B112" s="242">
        <f>Resultados!AA50</f>
        <v>0</v>
      </c>
      <c r="C112" s="242">
        <f>Resultados!AA40</f>
        <v>0</v>
      </c>
      <c r="D112" s="247" t="s">
        <v>235</v>
      </c>
      <c r="E112" s="242">
        <f t="shared" si="15"/>
        <v>0</v>
      </c>
      <c r="F112" s="243">
        <f t="shared" si="14"/>
        <v>0</v>
      </c>
      <c r="G112" s="244">
        <v>50</v>
      </c>
    </row>
    <row r="113" spans="1:7">
      <c r="A113" s="238" t="s">
        <v>242</v>
      </c>
      <c r="B113" s="248">
        <f>Resultados!AB50</f>
        <v>1</v>
      </c>
      <c r="C113" s="240">
        <f>Resultados!AB40</f>
        <v>0</v>
      </c>
      <c r="D113" s="241">
        <v>1</v>
      </c>
      <c r="E113" s="242">
        <f t="shared" si="15"/>
        <v>0</v>
      </c>
      <c r="F113" s="243">
        <f t="shared" si="14"/>
        <v>0</v>
      </c>
      <c r="G113" s="244" t="s">
        <v>237</v>
      </c>
    </row>
    <row r="114" spans="1:7">
      <c r="A114" s="234"/>
      <c r="B114" s="234"/>
      <c r="C114" s="234"/>
      <c r="D114" s="234"/>
      <c r="E114" s="242">
        <f>SQRT(SUMSQ(E107:E113))</f>
        <v>0</v>
      </c>
      <c r="F114" s="249">
        <f>SUM(F107:F113)</f>
        <v>0</v>
      </c>
      <c r="G114" s="250" t="e">
        <f>(E114^4)/(((E107^4)/G107)+((E108^4)/G108)+((E109^4)/G109)+0+((E111^4)/G111)+0+((E112^4)/G112)+0)</f>
        <v>#DIV/0!</v>
      </c>
    </row>
    <row r="115" spans="1:7" ht="15">
      <c r="A115" s="234"/>
      <c r="B115" s="234"/>
      <c r="C115" s="234"/>
      <c r="D115" s="234"/>
      <c r="E115" s="234"/>
      <c r="F115" s="251" t="s">
        <v>230</v>
      </c>
      <c r="G115" s="252" t="e">
        <f>G114</f>
        <v>#DIV/0!</v>
      </c>
    </row>
    <row r="116" spans="1:7">
      <c r="A116" s="234"/>
      <c r="B116" s="234"/>
      <c r="C116" s="234"/>
      <c r="D116" s="234"/>
      <c r="E116" s="234"/>
      <c r="F116" s="253" t="s">
        <v>231</v>
      </c>
      <c r="G116" s="245" t="e">
        <f>IF(G115&gt;100,2,VLOOKUP(G115,$J$4:$K$30,2))</f>
        <v>#DIV/0!</v>
      </c>
    </row>
    <row r="117" spans="1:7">
      <c r="A117" s="155"/>
      <c r="B117" s="155"/>
      <c r="C117" s="155"/>
      <c r="D117" s="155"/>
      <c r="E117" s="147"/>
      <c r="F117" s="148"/>
      <c r="G117" s="149"/>
    </row>
    <row r="118" spans="1:7" ht="15">
      <c r="A118" s="155"/>
      <c r="B118" s="155"/>
      <c r="C118" s="155"/>
      <c r="D118" s="155"/>
      <c r="E118" s="155"/>
      <c r="F118" s="150"/>
      <c r="G118" s="151"/>
    </row>
    <row r="119" spans="1:7">
      <c r="A119" s="155"/>
      <c r="B119" s="155"/>
      <c r="C119" s="155"/>
      <c r="D119" s="155"/>
      <c r="E119" s="155"/>
      <c r="F119" s="152"/>
      <c r="G119" s="153"/>
    </row>
    <row r="120" spans="1:7" ht="17.399999999999999">
      <c r="A120" s="201" t="s">
        <v>250</v>
      </c>
      <c r="B120" s="201"/>
      <c r="C120" s="202"/>
      <c r="D120" s="202"/>
      <c r="E120" s="202"/>
      <c r="F120" s="203"/>
      <c r="G120" s="203"/>
    </row>
    <row r="121" spans="1:7" ht="28.8">
      <c r="A121" s="204" t="s">
        <v>221</v>
      </c>
      <c r="B121" s="205" t="s">
        <v>222</v>
      </c>
      <c r="C121" s="204" t="s">
        <v>223</v>
      </c>
      <c r="D121" s="206" t="s">
        <v>224</v>
      </c>
      <c r="E121" s="206" t="s">
        <v>225</v>
      </c>
      <c r="F121" s="204" t="s">
        <v>226</v>
      </c>
      <c r="G121" s="206" t="s">
        <v>227</v>
      </c>
    </row>
    <row r="122" spans="1:7">
      <c r="A122" s="207" t="s">
        <v>229</v>
      </c>
      <c r="B122" s="208">
        <f>[3]Cálculos!P43</f>
        <v>0</v>
      </c>
      <c r="C122" s="209">
        <f>[3]Cálculos!P55</f>
        <v>0</v>
      </c>
      <c r="D122" s="210">
        <v>1</v>
      </c>
      <c r="E122" s="211">
        <f>B122*C122</f>
        <v>0</v>
      </c>
      <c r="F122" s="212">
        <f t="shared" ref="F122:F131" si="16">E122^2/$E$10^2*100</f>
        <v>0</v>
      </c>
      <c r="G122" s="213">
        <v>4</v>
      </c>
    </row>
    <row r="123" spans="1:7">
      <c r="A123" s="207" t="s">
        <v>232</v>
      </c>
      <c r="B123" s="211">
        <f>[3]Cálculos!Q43</f>
        <v>0</v>
      </c>
      <c r="C123" s="211">
        <f>[3]Cálculos!R55</f>
        <v>1</v>
      </c>
      <c r="D123" s="214" t="s">
        <v>233</v>
      </c>
      <c r="E123" s="211">
        <f t="shared" ref="E123:E131" si="17">B123*C123</f>
        <v>0</v>
      </c>
      <c r="F123" s="212">
        <f t="shared" si="16"/>
        <v>0</v>
      </c>
      <c r="G123" s="213">
        <v>50</v>
      </c>
    </row>
    <row r="124" spans="1:7" ht="13.8">
      <c r="A124" s="215" t="s">
        <v>234</v>
      </c>
      <c r="B124" s="211">
        <f>[3]Cálculos!R43</f>
        <v>0</v>
      </c>
      <c r="C124" s="211">
        <f>[3]Cálculos!R55</f>
        <v>1</v>
      </c>
      <c r="D124" s="216" t="s">
        <v>235</v>
      </c>
      <c r="E124" s="211">
        <f t="shared" si="17"/>
        <v>0</v>
      </c>
      <c r="F124" s="212">
        <f t="shared" si="16"/>
        <v>0</v>
      </c>
      <c r="G124" s="213">
        <v>50</v>
      </c>
    </row>
    <row r="125" spans="1:7">
      <c r="A125" s="207" t="s">
        <v>236</v>
      </c>
      <c r="B125" s="211" t="str">
        <f>[3]Cálculos!S43</f>
        <v>〖Δt〗</v>
      </c>
      <c r="C125" s="211" t="str">
        <f>[3]Cálculos!S55</f>
        <v>NI-MCPPT-01</v>
      </c>
      <c r="D125" s="210">
        <v>1</v>
      </c>
      <c r="E125" s="211" t="e">
        <f t="shared" si="17"/>
        <v>#VALUE!</v>
      </c>
      <c r="F125" s="212" t="e">
        <f t="shared" si="16"/>
        <v>#VALUE!</v>
      </c>
      <c r="G125" s="213" t="s">
        <v>237</v>
      </c>
    </row>
    <row r="126" spans="1:7">
      <c r="A126" s="207" t="s">
        <v>238</v>
      </c>
      <c r="B126" s="211">
        <f>[3]Cálculos!T43</f>
        <v>2.3998550724637653</v>
      </c>
      <c r="C126" s="211" t="str">
        <f>[3]Cálculos!T55</f>
        <v xml:space="preserve">Fluke 971 </v>
      </c>
      <c r="D126" s="214" t="s">
        <v>233</v>
      </c>
      <c r="E126" s="211" t="e">
        <f t="shared" si="17"/>
        <v>#VALUE!</v>
      </c>
      <c r="F126" s="212" t="e">
        <f t="shared" si="16"/>
        <v>#VALUE!</v>
      </c>
      <c r="G126" s="213">
        <v>50</v>
      </c>
    </row>
    <row r="127" spans="1:7" ht="13.8">
      <c r="A127" s="215" t="s">
        <v>239</v>
      </c>
      <c r="B127" s="211" t="str">
        <f>[3]Cálculos!U43</f>
        <v>°C</v>
      </c>
      <c r="C127" s="211">
        <f>[3]Cálculos!U55</f>
        <v>60</v>
      </c>
      <c r="D127" s="216" t="s">
        <v>235</v>
      </c>
      <c r="E127" s="211" t="e">
        <f t="shared" si="17"/>
        <v>#VALUE!</v>
      </c>
      <c r="F127" s="212" t="e">
        <f t="shared" si="16"/>
        <v>#VALUE!</v>
      </c>
      <c r="G127" s="213">
        <v>50</v>
      </c>
    </row>
    <row r="128" spans="1:7">
      <c r="A128" s="207" t="s">
        <v>240</v>
      </c>
      <c r="B128" s="217">
        <f>[3]Cálculos!V43</f>
        <v>0</v>
      </c>
      <c r="C128" s="209">
        <v>1</v>
      </c>
      <c r="D128" s="210">
        <v>1</v>
      </c>
      <c r="E128" s="211">
        <f t="shared" si="17"/>
        <v>0</v>
      </c>
      <c r="F128" s="212">
        <f t="shared" si="16"/>
        <v>0</v>
      </c>
      <c r="G128" s="213" t="s">
        <v>237</v>
      </c>
    </row>
    <row r="129" spans="1:7">
      <c r="A129" s="207" t="s">
        <v>241</v>
      </c>
      <c r="B129" s="217">
        <f>[3]Cálculos!W43</f>
        <v>0</v>
      </c>
      <c r="C129" s="209">
        <v>1</v>
      </c>
      <c r="D129" s="210">
        <v>1</v>
      </c>
      <c r="E129" s="211">
        <f t="shared" si="17"/>
        <v>0</v>
      </c>
      <c r="F129" s="212">
        <f t="shared" si="16"/>
        <v>0</v>
      </c>
      <c r="G129" s="210">
        <v>50</v>
      </c>
    </row>
    <row r="130" spans="1:7">
      <c r="A130" s="207" t="s">
        <v>242</v>
      </c>
      <c r="B130" s="217">
        <f>[3]Cálculos!X43</f>
        <v>0</v>
      </c>
      <c r="C130" s="209">
        <v>1</v>
      </c>
      <c r="D130" s="210">
        <v>1</v>
      </c>
      <c r="E130" s="211">
        <f t="shared" si="17"/>
        <v>0</v>
      </c>
      <c r="F130" s="212">
        <f t="shared" si="16"/>
        <v>0</v>
      </c>
      <c r="G130" s="213" t="s">
        <v>237</v>
      </c>
    </row>
    <row r="131" spans="1:7">
      <c r="A131" s="207" t="str">
        <f>[3]Cálculos!$Y$19</f>
        <v>Error de abbe (µm)</v>
      </c>
      <c r="B131" s="217">
        <f>[3]Cálculos!Y43</f>
        <v>0</v>
      </c>
      <c r="C131" s="209">
        <v>1</v>
      </c>
      <c r="D131" s="210">
        <v>1</v>
      </c>
      <c r="E131" s="211">
        <f t="shared" si="17"/>
        <v>0</v>
      </c>
      <c r="F131" s="212">
        <f t="shared" si="16"/>
        <v>0</v>
      </c>
      <c r="G131" s="213">
        <v>50</v>
      </c>
    </row>
    <row r="132" spans="1:7">
      <c r="A132" s="203"/>
      <c r="B132" s="203"/>
      <c r="C132" s="203"/>
      <c r="D132" s="203"/>
      <c r="E132" s="211" t="e">
        <f>SQRT(SUMSQ(E122:E131))</f>
        <v>#VALUE!</v>
      </c>
      <c r="F132" s="218" t="e">
        <f>SUM(F122:F131)</f>
        <v>#VALUE!</v>
      </c>
      <c r="G132" s="219" t="e">
        <f>(E132^4)/(((E122^4)/G122)+((E123^4)/G123)+((E124^4)/G124)+0+((E126^4)/G126)+0+((E127^4)/G127)+0+((E129^4)/G129)+0+((E131^4)/G131))</f>
        <v>#VALUE!</v>
      </c>
    </row>
    <row r="133" spans="1:7" ht="15">
      <c r="A133" s="203"/>
      <c r="B133" s="203"/>
      <c r="C133" s="203"/>
      <c r="D133" s="203"/>
      <c r="E133" s="203"/>
      <c r="F133" s="220" t="s">
        <v>230</v>
      </c>
      <c r="G133" s="221" t="e">
        <f>G132</f>
        <v>#VALUE!</v>
      </c>
    </row>
    <row r="134" spans="1:7">
      <c r="A134" s="203"/>
      <c r="B134" s="203"/>
      <c r="C134" s="203"/>
      <c r="D134" s="203"/>
      <c r="E134" s="203"/>
      <c r="F134" s="222" t="s">
        <v>231</v>
      </c>
      <c r="G134" s="214" t="e">
        <f>IF(G133&gt;100,2,VLOOKUP(G133,$J$4:$K$30,2))</f>
        <v>#VALUE!</v>
      </c>
    </row>
    <row r="135" spans="1:7" ht="17.399999999999999">
      <c r="A135" s="201" t="s">
        <v>251</v>
      </c>
      <c r="B135" s="201"/>
      <c r="C135" s="202"/>
      <c r="D135" s="202"/>
      <c r="E135" s="202"/>
      <c r="F135" s="203"/>
      <c r="G135" s="203"/>
    </row>
    <row r="136" spans="1:7" ht="28.8">
      <c r="A136" s="204" t="s">
        <v>221</v>
      </c>
      <c r="B136" s="205" t="s">
        <v>222</v>
      </c>
      <c r="C136" s="204" t="s">
        <v>223</v>
      </c>
      <c r="D136" s="206" t="s">
        <v>224</v>
      </c>
      <c r="E136" s="206" t="s">
        <v>225</v>
      </c>
      <c r="F136" s="204" t="s">
        <v>226</v>
      </c>
      <c r="G136" s="206" t="s">
        <v>227</v>
      </c>
    </row>
    <row r="137" spans="1:7">
      <c r="A137" s="207" t="s">
        <v>229</v>
      </c>
      <c r="B137" s="208">
        <f>[3]Cálculos!P58</f>
        <v>0</v>
      </c>
      <c r="C137" s="209">
        <f>[3]Cálculos!P70</f>
        <v>0</v>
      </c>
      <c r="D137" s="210">
        <v>1</v>
      </c>
      <c r="E137" s="211">
        <f>B137*C137</f>
        <v>0</v>
      </c>
      <c r="F137" s="212">
        <f t="shared" ref="F137:F146" si="18">E137^2/$E$10^2*100</f>
        <v>0</v>
      </c>
      <c r="G137" s="213">
        <v>4</v>
      </c>
    </row>
    <row r="138" spans="1:7">
      <c r="A138" s="207" t="s">
        <v>232</v>
      </c>
      <c r="B138" s="211">
        <f>[3]Cálculos!Q58</f>
        <v>0</v>
      </c>
      <c r="C138" s="211">
        <f>[3]Cálculos!R70</f>
        <v>0</v>
      </c>
      <c r="D138" s="214" t="s">
        <v>233</v>
      </c>
      <c r="E138" s="211">
        <f t="shared" ref="E138:E146" si="19">B138*C138</f>
        <v>0</v>
      </c>
      <c r="F138" s="212">
        <f t="shared" si="18"/>
        <v>0</v>
      </c>
      <c r="G138" s="213">
        <v>50</v>
      </c>
    </row>
    <row r="139" spans="1:7" ht="13.8">
      <c r="A139" s="215" t="s">
        <v>234</v>
      </c>
      <c r="B139" s="211">
        <f>[3]Cálculos!R58</f>
        <v>4</v>
      </c>
      <c r="C139" s="211">
        <f>[3]Cálculos!R70</f>
        <v>0</v>
      </c>
      <c r="D139" s="216" t="s">
        <v>235</v>
      </c>
      <c r="E139" s="211">
        <f t="shared" si="19"/>
        <v>0</v>
      </c>
      <c r="F139" s="212">
        <f t="shared" si="18"/>
        <v>0</v>
      </c>
      <c r="G139" s="213">
        <v>50</v>
      </c>
    </row>
    <row r="140" spans="1:7">
      <c r="A140" s="207" t="s">
        <v>236</v>
      </c>
      <c r="B140" s="211" t="str">
        <f>[3]Cálculos!S58</f>
        <v>NI-MCPPT-04</v>
      </c>
      <c r="C140" s="211">
        <f>[3]Cálculos!S70</f>
        <v>0</v>
      </c>
      <c r="D140" s="210">
        <v>1</v>
      </c>
      <c r="E140" s="211" t="e">
        <f t="shared" si="19"/>
        <v>#VALUE!</v>
      </c>
      <c r="F140" s="212" t="e">
        <f t="shared" si="18"/>
        <v>#VALUE!</v>
      </c>
      <c r="G140" s="213" t="s">
        <v>237</v>
      </c>
    </row>
    <row r="141" spans="1:7">
      <c r="A141" s="207" t="s">
        <v>238</v>
      </c>
      <c r="B141" s="211" t="str">
        <f>[3]Cálculos!T58</f>
        <v xml:space="preserve">Fluke 971 </v>
      </c>
      <c r="C141" s="211">
        <f>[3]Cálculos!T70</f>
        <v>0</v>
      </c>
      <c r="D141" s="214" t="s">
        <v>233</v>
      </c>
      <c r="E141" s="211" t="e">
        <f t="shared" si="19"/>
        <v>#VALUE!</v>
      </c>
      <c r="F141" s="212" t="e">
        <f t="shared" si="18"/>
        <v>#VALUE!</v>
      </c>
      <c r="G141" s="213">
        <v>50</v>
      </c>
    </row>
    <row r="142" spans="1:7" ht="13.8">
      <c r="A142" s="215" t="s">
        <v>239</v>
      </c>
      <c r="B142" s="211">
        <f>[3]Cálculos!U58</f>
        <v>60</v>
      </c>
      <c r="C142" s="211">
        <f>[3]Cálculos!U70</f>
        <v>22.22</v>
      </c>
      <c r="D142" s="216" t="s">
        <v>235</v>
      </c>
      <c r="E142" s="211">
        <f t="shared" si="19"/>
        <v>1333.1999999999998</v>
      </c>
      <c r="F142" s="212">
        <f t="shared" si="18"/>
        <v>2132906687.9999988</v>
      </c>
      <c r="G142" s="213">
        <v>50</v>
      </c>
    </row>
    <row r="143" spans="1:7">
      <c r="A143" s="207" t="s">
        <v>240</v>
      </c>
      <c r="B143" s="217">
        <f>[3]Cálculos!V58</f>
        <v>0.1</v>
      </c>
      <c r="C143" s="209">
        <v>1</v>
      </c>
      <c r="D143" s="210">
        <v>1</v>
      </c>
      <c r="E143" s="211">
        <f t="shared" si="19"/>
        <v>0.1</v>
      </c>
      <c r="F143" s="212">
        <f t="shared" si="18"/>
        <v>12</v>
      </c>
      <c r="G143" s="213" t="s">
        <v>237</v>
      </c>
    </row>
    <row r="144" spans="1:7">
      <c r="A144" s="207" t="s">
        <v>241</v>
      </c>
      <c r="B144" s="217">
        <f>[3]Cálculos!W58</f>
        <v>0.1</v>
      </c>
      <c r="C144" s="209">
        <v>1</v>
      </c>
      <c r="D144" s="210">
        <v>1</v>
      </c>
      <c r="E144" s="211">
        <f t="shared" si="19"/>
        <v>0.1</v>
      </c>
      <c r="F144" s="212">
        <f t="shared" si="18"/>
        <v>12</v>
      </c>
      <c r="G144" s="210">
        <v>50</v>
      </c>
    </row>
    <row r="145" spans="1:7">
      <c r="A145" s="207" t="s">
        <v>242</v>
      </c>
      <c r="B145" s="217">
        <f>[3]Cálculos!X58</f>
        <v>0.5</v>
      </c>
      <c r="C145" s="209">
        <v>1</v>
      </c>
      <c r="D145" s="210">
        <v>1</v>
      </c>
      <c r="E145" s="211">
        <f t="shared" si="19"/>
        <v>0.5</v>
      </c>
      <c r="F145" s="212">
        <f t="shared" si="18"/>
        <v>299.99999999999989</v>
      </c>
      <c r="G145" s="213" t="s">
        <v>237</v>
      </c>
    </row>
    <row r="146" spans="1:7">
      <c r="A146" s="207" t="str">
        <f>[3]Cálculos!$Y$19</f>
        <v>Error de abbe (µm)</v>
      </c>
      <c r="B146" s="217">
        <f>[3]Cálculos!Y58</f>
        <v>2.5</v>
      </c>
      <c r="C146" s="209">
        <v>1</v>
      </c>
      <c r="D146" s="210">
        <v>1</v>
      </c>
      <c r="E146" s="211">
        <f t="shared" si="19"/>
        <v>2.5</v>
      </c>
      <c r="F146" s="212">
        <f t="shared" si="18"/>
        <v>7499.9999999999982</v>
      </c>
      <c r="G146" s="213">
        <v>50</v>
      </c>
    </row>
    <row r="147" spans="1:7">
      <c r="A147" s="203"/>
      <c r="B147" s="203"/>
      <c r="C147" s="203"/>
      <c r="D147" s="203"/>
      <c r="E147" s="211" t="e">
        <f>SQRT(SUMSQ(E137:E146))</f>
        <v>#VALUE!</v>
      </c>
      <c r="F147" s="218" t="e">
        <f>SUM(F137:F146)</f>
        <v>#VALUE!</v>
      </c>
      <c r="G147" s="219" t="e">
        <f>(E147^4)/(((E137^4)/G137)+((E138^4)/G138)+((E139^4)/G139)+0+((E141^4)/G141)+0+((E142^4)/G142)+0+((E144^4)/G144)+0+((E146^4)/G146))</f>
        <v>#VALUE!</v>
      </c>
    </row>
    <row r="148" spans="1:7" ht="15">
      <c r="A148" s="203"/>
      <c r="B148" s="203"/>
      <c r="C148" s="203"/>
      <c r="D148" s="203"/>
      <c r="E148" s="203"/>
      <c r="F148" s="220" t="s">
        <v>230</v>
      </c>
      <c r="G148" s="221" t="e">
        <f>G147</f>
        <v>#VALUE!</v>
      </c>
    </row>
    <row r="149" spans="1:7">
      <c r="A149" s="203"/>
      <c r="B149" s="203"/>
      <c r="C149" s="203"/>
      <c r="D149" s="203"/>
      <c r="E149" s="203"/>
      <c r="F149" s="222" t="s">
        <v>231</v>
      </c>
      <c r="G149" s="214" t="e">
        <f>IF(G148&gt;100,2,VLOOKUP(G148,$J$4:$K$30,2))</f>
        <v>#VALUE!</v>
      </c>
    </row>
    <row r="150" spans="1:7" ht="17.399999999999999">
      <c r="A150" s="201" t="s">
        <v>252</v>
      </c>
      <c r="B150" s="201"/>
      <c r="C150" s="202"/>
      <c r="D150" s="202"/>
      <c r="E150" s="202"/>
      <c r="F150" s="203"/>
      <c r="G150" s="203"/>
    </row>
    <row r="151" spans="1:7" ht="28.8">
      <c r="A151" s="204" t="s">
        <v>221</v>
      </c>
      <c r="B151" s="205" t="s">
        <v>222</v>
      </c>
      <c r="C151" s="204" t="s">
        <v>223</v>
      </c>
      <c r="D151" s="206" t="s">
        <v>224</v>
      </c>
      <c r="E151" s="206" t="s">
        <v>225</v>
      </c>
      <c r="F151" s="204" t="s">
        <v>226</v>
      </c>
      <c r="G151" s="206" t="s">
        <v>227</v>
      </c>
    </row>
    <row r="152" spans="1:7">
      <c r="A152" s="207" t="s">
        <v>229</v>
      </c>
      <c r="B152" s="208">
        <f>[3]Cálculos!P73</f>
        <v>0</v>
      </c>
      <c r="C152" s="209">
        <f>[3]Cálculos!P85</f>
        <v>0</v>
      </c>
      <c r="D152" s="210">
        <v>1</v>
      </c>
      <c r="E152" s="211">
        <f>B152*C152</f>
        <v>0</v>
      </c>
      <c r="F152" s="212">
        <f t="shared" ref="F152:F161" si="20">E152^2/$E$10^2*100</f>
        <v>0</v>
      </c>
      <c r="G152" s="213">
        <v>4</v>
      </c>
    </row>
    <row r="153" spans="1:7">
      <c r="A153" s="207" t="s">
        <v>232</v>
      </c>
      <c r="B153" s="211">
        <f>[3]Cálculos!Q73</f>
        <v>0</v>
      </c>
      <c r="C153" s="211">
        <f>[3]Cálculos!R85</f>
        <v>0</v>
      </c>
      <c r="D153" s="214" t="s">
        <v>233</v>
      </c>
      <c r="E153" s="211">
        <f t="shared" ref="E153:E161" si="21">B153*C153</f>
        <v>0</v>
      </c>
      <c r="F153" s="212">
        <f t="shared" si="20"/>
        <v>0</v>
      </c>
      <c r="G153" s="213">
        <v>50</v>
      </c>
    </row>
    <row r="154" spans="1:7" ht="13.8">
      <c r="A154" s="215" t="s">
        <v>234</v>
      </c>
      <c r="B154" s="211">
        <f>[3]Cálculos!R73</f>
        <v>0</v>
      </c>
      <c r="C154" s="211">
        <f>[3]Cálculos!R85</f>
        <v>0</v>
      </c>
      <c r="D154" s="216" t="s">
        <v>235</v>
      </c>
      <c r="E154" s="211">
        <f t="shared" si="21"/>
        <v>0</v>
      </c>
      <c r="F154" s="212">
        <f t="shared" si="20"/>
        <v>0</v>
      </c>
      <c r="G154" s="213">
        <v>50</v>
      </c>
    </row>
    <row r="155" spans="1:7">
      <c r="A155" s="207" t="s">
        <v>236</v>
      </c>
      <c r="B155" s="211" t="str">
        <f>[3]Cálculos!S73</f>
        <v xml:space="preserve">Fluke 971 </v>
      </c>
      <c r="C155" s="211">
        <f>[3]Cálculos!S85</f>
        <v>0</v>
      </c>
      <c r="D155" s="210">
        <v>1</v>
      </c>
      <c r="E155" s="211" t="e">
        <f t="shared" si="21"/>
        <v>#VALUE!</v>
      </c>
      <c r="F155" s="212" t="e">
        <f t="shared" si="20"/>
        <v>#VALUE!</v>
      </c>
      <c r="G155" s="213" t="s">
        <v>237</v>
      </c>
    </row>
    <row r="156" spans="1:7">
      <c r="A156" s="207" t="s">
        <v>238</v>
      </c>
      <c r="B156" s="211">
        <f>[3]Cálculos!T73</f>
        <v>0</v>
      </c>
      <c r="C156" s="211" t="str">
        <f>[3]Cálculos!T85</f>
        <v>termometro</v>
      </c>
      <c r="D156" s="214" t="s">
        <v>233</v>
      </c>
      <c r="E156" s="211" t="e">
        <f t="shared" si="21"/>
        <v>#VALUE!</v>
      </c>
      <c r="F156" s="212" t="e">
        <f t="shared" si="20"/>
        <v>#VALUE!</v>
      </c>
      <c r="G156" s="213">
        <v>50</v>
      </c>
    </row>
    <row r="157" spans="1:7" ht="13.8">
      <c r="A157" s="215" t="s">
        <v>239</v>
      </c>
      <c r="B157" s="211">
        <f>[3]Cálculos!U73</f>
        <v>0</v>
      </c>
      <c r="C157" s="211">
        <f>[3]Cálculos!U85</f>
        <v>0</v>
      </c>
      <c r="D157" s="216" t="s">
        <v>235</v>
      </c>
      <c r="E157" s="211">
        <f t="shared" si="21"/>
        <v>0</v>
      </c>
      <c r="F157" s="212">
        <f t="shared" si="20"/>
        <v>0</v>
      </c>
      <c r="G157" s="213">
        <v>50</v>
      </c>
    </row>
    <row r="158" spans="1:7">
      <c r="A158" s="207" t="s">
        <v>240</v>
      </c>
      <c r="B158" s="217">
        <f>[3]Cálculos!V73</f>
        <v>0</v>
      </c>
      <c r="C158" s="209">
        <v>1</v>
      </c>
      <c r="D158" s="210">
        <v>1</v>
      </c>
      <c r="E158" s="211">
        <f t="shared" si="21"/>
        <v>0</v>
      </c>
      <c r="F158" s="212">
        <f t="shared" si="20"/>
        <v>0</v>
      </c>
      <c r="G158" s="213" t="s">
        <v>237</v>
      </c>
    </row>
    <row r="159" spans="1:7">
      <c r="A159" s="207" t="s">
        <v>241</v>
      </c>
      <c r="B159" s="217">
        <f>[3]Cálculos!W73</f>
        <v>0</v>
      </c>
      <c r="C159" s="209">
        <v>1</v>
      </c>
      <c r="D159" s="210">
        <v>1</v>
      </c>
      <c r="E159" s="211">
        <f t="shared" si="21"/>
        <v>0</v>
      </c>
      <c r="F159" s="212">
        <f t="shared" si="20"/>
        <v>0</v>
      </c>
      <c r="G159" s="210">
        <v>50</v>
      </c>
    </row>
    <row r="160" spans="1:7">
      <c r="A160" s="207" t="s">
        <v>242</v>
      </c>
      <c r="B160" s="217">
        <f>[3]Cálculos!X73</f>
        <v>0</v>
      </c>
      <c r="C160" s="209">
        <v>1</v>
      </c>
      <c r="D160" s="210">
        <v>1</v>
      </c>
      <c r="E160" s="211">
        <f t="shared" si="21"/>
        <v>0</v>
      </c>
      <c r="F160" s="212">
        <f t="shared" si="20"/>
        <v>0</v>
      </c>
      <c r="G160" s="213" t="s">
        <v>237</v>
      </c>
    </row>
    <row r="161" spans="1:7">
      <c r="A161" s="207" t="str">
        <f>[3]Cálculos!$Y$19</f>
        <v>Error de abbe (µm)</v>
      </c>
      <c r="B161" s="217">
        <f>[3]Cálculos!Y73</f>
        <v>0</v>
      </c>
      <c r="C161" s="209">
        <v>1</v>
      </c>
      <c r="D161" s="210">
        <v>1</v>
      </c>
      <c r="E161" s="211">
        <f t="shared" si="21"/>
        <v>0</v>
      </c>
      <c r="F161" s="212">
        <f t="shared" si="20"/>
        <v>0</v>
      </c>
      <c r="G161" s="213">
        <v>50</v>
      </c>
    </row>
    <row r="162" spans="1:7">
      <c r="A162" s="203"/>
      <c r="B162" s="203"/>
      <c r="C162" s="203"/>
      <c r="D162" s="203"/>
      <c r="E162" s="211" t="e">
        <f>SQRT(SUMSQ(E152:E161))</f>
        <v>#VALUE!</v>
      </c>
      <c r="F162" s="218" t="e">
        <f>SUM(F152:F161)</f>
        <v>#VALUE!</v>
      </c>
      <c r="G162" s="219" t="e">
        <f>(E162^4)/(((E152^4)/G152)+((E153^4)/G153)+((E154^4)/G154)+0+((E156^4)/G156)+0+((E157^4)/G157)+0+((E159^4)/G159)+0+((E161^4)/G161))</f>
        <v>#VALUE!</v>
      </c>
    </row>
    <row r="163" spans="1:7" ht="15">
      <c r="A163" s="203"/>
      <c r="B163" s="203"/>
      <c r="C163" s="203"/>
      <c r="D163" s="203"/>
      <c r="E163" s="203"/>
      <c r="F163" s="220" t="s">
        <v>230</v>
      </c>
      <c r="G163" s="221" t="e">
        <f>G162</f>
        <v>#VALUE!</v>
      </c>
    </row>
    <row r="164" spans="1:7">
      <c r="A164" s="203"/>
      <c r="B164" s="203"/>
      <c r="C164" s="203"/>
      <c r="D164" s="203"/>
      <c r="E164" s="203"/>
      <c r="F164" s="222" t="s">
        <v>231</v>
      </c>
      <c r="G164" s="214" t="e">
        <f>IF(G163&gt;100,2,VLOOKUP(G163,$J$4:$K$30,2))</f>
        <v>#VALUE!</v>
      </c>
    </row>
  </sheetData>
  <mergeCells count="2">
    <mergeCell ref="A1:B1"/>
    <mergeCell ref="J2:K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C3:F4"/>
  <sheetViews>
    <sheetView workbookViewId="0">
      <selection activeCell="H25" sqref="H25"/>
    </sheetView>
  </sheetViews>
  <sheetFormatPr baseColWidth="10" defaultColWidth="9.109375" defaultRowHeight="13.2"/>
  <cols>
    <col min="3" max="3" width="16.6640625" bestFit="1" customWidth="1"/>
    <col min="4" max="4" width="18.44140625" bestFit="1" customWidth="1"/>
    <col min="5" max="5" width="22.109375" bestFit="1" customWidth="1"/>
    <col min="6" max="6" width="19.6640625" bestFit="1" customWidth="1"/>
  </cols>
  <sheetData>
    <row r="3" spans="3:6" ht="14.4">
      <c r="C3" s="281" t="s">
        <v>298</v>
      </c>
      <c r="D3" s="281" t="s">
        <v>62</v>
      </c>
      <c r="E3" s="281" t="s">
        <v>318</v>
      </c>
      <c r="F3" s="281" t="s">
        <v>319</v>
      </c>
    </row>
    <row r="4" spans="3:6" ht="14.4">
      <c r="C4" s="282" t="str">
        <f>Identificaciones!D25</f>
        <v>Micrómetro digital</v>
      </c>
      <c r="D4" s="283" t="str">
        <f>Identificaciones!D6</f>
        <v>2023-11-25</v>
      </c>
      <c r="E4" s="283" t="str">
        <f>Identificaciones!L30</f>
        <v>33236972</v>
      </c>
      <c r="F4" s="282" t="str">
        <f>Identificaciones!E4</f>
        <v>NI-MC-D-02-Testificación Auditoría Interna-2023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Identificaciones</vt:lpstr>
      <vt:lpstr>BD Clientes</vt:lpstr>
      <vt:lpstr>NI-R01-MCIT-D-02</vt:lpstr>
      <vt:lpstr>Resultados</vt:lpstr>
      <vt:lpstr>Datos Generales</vt:lpstr>
      <vt:lpstr>Patrones</vt:lpstr>
      <vt:lpstr>Grados de Libertad</vt:lpstr>
      <vt:lpstr>Hoja1</vt:lpstr>
      <vt:lpstr>Datos de Etiquetas</vt:lpstr>
      <vt:lpstr>DA (mm)</vt:lpstr>
      <vt:lpstr>FA (mm)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</dc:creator>
  <cp:lastModifiedBy>User</cp:lastModifiedBy>
  <cp:lastPrinted>2019-02-04T16:29:47Z</cp:lastPrinted>
  <dcterms:created xsi:type="dcterms:W3CDTF">1998-09-28T20:02:57Z</dcterms:created>
  <dcterms:modified xsi:type="dcterms:W3CDTF">2024-05-03T02:26:02Z</dcterms:modified>
</cp:coreProperties>
</file>