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drawings/drawing2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showInkAnnotation="0"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MSI GF63\Desktop\REGXI\Metrocal-admin-backend\src\modules\mail\templates\excels\"/>
    </mc:Choice>
  </mc:AlternateContent>
  <xr:revisionPtr revIDLastSave="0" documentId="13_ncr:1_{7BADBE90-F0DB-4D1C-9848-284390E6DC24}" xr6:coauthVersionLast="47" xr6:coauthVersionMax="47" xr10:uidLastSave="{00000000-0000-0000-0000-000000000000}"/>
  <bookViews>
    <workbookView xWindow="-108" yWindow="-108" windowWidth="23256" windowHeight="12456" tabRatio="887" firstSheet="3" activeTab="7" xr2:uid="{00000000-000D-0000-FFFF-FFFF00000000}"/>
  </bookViews>
  <sheets>
    <sheet name="Usuarios &amp; Privilegios" sheetId="16" r:id="rId1"/>
    <sheet name="Home" sheetId="17" r:id="rId2"/>
    <sheet name="NI-R01-MCIT-P-01" sheetId="19" r:id="rId3"/>
    <sheet name="General" sheetId="2" r:id="rId4"/>
    <sheet name="Calibración" sheetId="10" r:id="rId5"/>
    <sheet name="kU(E)" sheetId="20" r:id="rId6"/>
    <sheet name="Datos Etiquetas" sheetId="13" r:id="rId7"/>
    <sheet name="DA Unid-kPa (5 ptos)" sheetId="14" r:id="rId8"/>
    <sheet name="FA Unid-kPa (5 ptos)" sheetId="11" r:id="rId9"/>
    <sheet name="CMC Presión" sheetId="15" r:id="rId10"/>
    <sheet name="Trazabilidad" sheetId="12" r:id="rId11"/>
    <sheet name="BD Patron" sheetId="8" r:id="rId12"/>
    <sheet name="BD Clientes" sheetId="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CertCode">General!$F$4</definedName>
    <definedName name="CertDate" localSheetId="2">General!$F$5</definedName>
    <definedName name="CertDate">General!$F$5</definedName>
    <definedName name="CertHR" localSheetId="5">[1]General!$I$13</definedName>
    <definedName name="CertHR" localSheetId="2">General!$I$13</definedName>
    <definedName name="CertHR">General!$I$13</definedName>
    <definedName name="CertHRIncerti" localSheetId="2">General!$I$14</definedName>
    <definedName name="CertHRIncerti">General!$I$14</definedName>
    <definedName name="CertNum" localSheetId="2">General!$F$3</definedName>
    <definedName name="CertNum">General!$F$3</definedName>
    <definedName name="CertPres" localSheetId="5">[1]General!$I$18</definedName>
    <definedName name="CertPres" localSheetId="2">General!$I$18</definedName>
    <definedName name="CertPres">General!$I$18</definedName>
    <definedName name="CertPresIncert" localSheetId="2">General!$I$19</definedName>
    <definedName name="CertPresIncert">General!$I$19</definedName>
    <definedName name="CertTempC" localSheetId="5">[1]General!$I$8</definedName>
    <definedName name="CertTempC" localSheetId="2">General!$I$8</definedName>
    <definedName name="CertTempC">General!$I$8</definedName>
    <definedName name="CertTempFin" localSheetId="5">[1]General!$I$7</definedName>
    <definedName name="CertTempFin" localSheetId="2">General!$I$7</definedName>
    <definedName name="CertTempFin">General!$I$7</definedName>
    <definedName name="CertTempIncerti" localSheetId="2">General!$I$9</definedName>
    <definedName name="CertTempIncerti">General!$I$9</definedName>
    <definedName name="CertTempIni" localSheetId="5">[1]General!$I$6</definedName>
    <definedName name="CertTempIni" localSheetId="2">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5">[1]Calibración!$D$8</definedName>
    <definedName name="coef_unidad" localSheetId="2">Calibración!$D$8</definedName>
    <definedName name="coef_unidad">Calibración!$D$8</definedName>
    <definedName name="decim" localSheetId="5">[1]Calibración!$E$9</definedName>
    <definedName name="decim" localSheetId="2">Calibración!$E$9</definedName>
    <definedName name="decim">Calibración!$E$9</definedName>
    <definedName name="dif_alt" localSheetId="5">[1]Calibración!$M$4</definedName>
    <definedName name="dif_alt" localSheetId="2">Calibración!$M$4</definedName>
    <definedName name="dif_alt">Calibración!$M$4</definedName>
    <definedName name="DivEscala" localSheetId="5">[1]General!$F$15</definedName>
    <definedName name="DivEscala" localSheetId="2">General!$F$15</definedName>
    <definedName name="DivEscala">General!$F$15</definedName>
    <definedName name="DivEscalaPatr" localSheetId="2">Calibración!$I$4</definedName>
    <definedName name="DivEscalaPatr">Calibración!$I$4</definedName>
    <definedName name="EquipoCode" localSheetId="2">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2">General!$F$7</definedName>
    <definedName name="EquipoTipo">General!$F$7</definedName>
    <definedName name="Histeresis">Calibración!$S$2</definedName>
    <definedName name="Incert_Pozo" localSheetId="7">Calibración!#REF!</definedName>
    <definedName name="Incert_Pozo" localSheetId="5">[1]Calibración!#REF!</definedName>
    <definedName name="Incert_Pozo" localSheetId="2">Calibración!#REF!</definedName>
    <definedName name="Incert_Pozo">Calibración!#REF!</definedName>
    <definedName name="medio" localSheetId="5">[1]Calibración!$M$5</definedName>
    <definedName name="medio" localSheetId="2">Calibración!$M$5</definedName>
    <definedName name="medio">Calibración!$M$5</definedName>
    <definedName name="NumPuntosCalib" localSheetId="5">[1]Calibración!$V$52</definedName>
    <definedName name="NumPuntosCalib" localSheetId="2">Calibración!$V$52</definedName>
    <definedName name="NumPuntosCalib">Calibración!$V$52</definedName>
    <definedName name="NumPuntosCalib2" localSheetId="5">[1]Calibración!$AB$52</definedName>
    <definedName name="NumPuntosCalib2" localSheetId="2">Calibración!$AB$52</definedName>
    <definedName name="NumPuntosCalib2">Calibración!$AB$52</definedName>
    <definedName name="RangoMed_max" localSheetId="5">[1]General!$F$14</definedName>
    <definedName name="RangoMed_max" localSheetId="2">General!$F$14</definedName>
    <definedName name="RangoMed_max">General!$F$14</definedName>
    <definedName name="RangoMed_min" localSheetId="5">[1]General!$F$13</definedName>
    <definedName name="RangoMed_min" localSheetId="2">General!$F$13</definedName>
    <definedName name="RangoMed_min">General!$F$13</definedName>
    <definedName name="Rcuadrado">Calibración!$U$53</definedName>
    <definedName name="ResolInst" localSheetId="5">[1]Calibración!$E$4</definedName>
    <definedName name="ResolInst" localSheetId="2">Calibración!$E$4</definedName>
    <definedName name="ResolInst">Calibración!$E$4</definedName>
    <definedName name="tblComp_U" localSheetId="7">#REF!</definedName>
    <definedName name="tblComp_U" localSheetId="5">#REF!</definedName>
    <definedName name="tblComp_U" localSheetId="2">#REF!</definedName>
    <definedName name="tblComp_U">#REF!</definedName>
    <definedName name="uni" localSheetId="7">'[2]Entrada de datos'!$L$1:$L$3</definedName>
    <definedName name="uni" localSheetId="8">'[2]Entrada de datos'!$L$1:$L$3</definedName>
    <definedName name="uni" localSheetId="10">'[2]Entrada de datos'!$L$1:$L$3</definedName>
    <definedName name="uni">'[3]Entrada de datos'!$L$1:$L$3</definedName>
    <definedName name="unidad" localSheetId="5">[1]Calibración!$E$8</definedName>
    <definedName name="unidad" localSheetId="2">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13" i="14" l="1"/>
  <c r="A119" i="14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C61" i="8"/>
  <c r="C86" i="8" s="1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C44" i="8"/>
  <c r="C55" i="8" s="1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C26" i="8"/>
  <c r="C42" i="8" s="1"/>
  <c r="U16" i="12"/>
  <c r="U14" i="12"/>
  <c r="U10" i="12"/>
  <c r="J10" i="12"/>
  <c r="U9" i="12"/>
  <c r="J9" i="12"/>
  <c r="I93" i="11"/>
  <c r="A79" i="11"/>
  <c r="W46" i="11"/>
  <c r="R38" i="11"/>
  <c r="L38" i="11"/>
  <c r="F38" i="11"/>
  <c r="D38" i="11"/>
  <c r="N11" i="11"/>
  <c r="I127" i="14"/>
  <c r="W80" i="14"/>
  <c r="R64" i="14"/>
  <c r="L64" i="14"/>
  <c r="F64" i="14"/>
  <c r="D64" i="14"/>
  <c r="N11" i="14"/>
  <c r="F43" i="20"/>
  <c r="F44" i="20" s="1"/>
  <c r="E36" i="20"/>
  <c r="E35" i="20"/>
  <c r="E34" i="20"/>
  <c r="E33" i="20"/>
  <c r="E31" i="20"/>
  <c r="E30" i="20"/>
  <c r="E29" i="20"/>
  <c r="E27" i="20"/>
  <c r="E19" i="20"/>
  <c r="E18" i="20"/>
  <c r="AI17" i="20"/>
  <c r="E17" i="20"/>
  <c r="AI16" i="20"/>
  <c r="E16" i="20"/>
  <c r="AI15" i="20"/>
  <c r="E15" i="20"/>
  <c r="AI14" i="20"/>
  <c r="AI13" i="20"/>
  <c r="E13" i="20"/>
  <c r="AI12" i="20"/>
  <c r="E12" i="20"/>
  <c r="AI11" i="20"/>
  <c r="E11" i="20"/>
  <c r="AI10" i="20"/>
  <c r="AI9" i="20"/>
  <c r="E9" i="20"/>
  <c r="AI8" i="20"/>
  <c r="AI7" i="20"/>
  <c r="AI6" i="20"/>
  <c r="AI5" i="20"/>
  <c r="AC5" i="20"/>
  <c r="AI4" i="20"/>
  <c r="AI3" i="20"/>
  <c r="AA35" i="10"/>
  <c r="U35" i="10"/>
  <c r="W29" i="10"/>
  <c r="T29" i="10"/>
  <c r="Z29" i="10" s="1"/>
  <c r="W28" i="10"/>
  <c r="T28" i="10"/>
  <c r="Y28" i="10" s="1"/>
  <c r="W27" i="10"/>
  <c r="D50" i="10" s="1"/>
  <c r="T27" i="10"/>
  <c r="Y27" i="10" s="1"/>
  <c r="W26" i="10"/>
  <c r="T26" i="10"/>
  <c r="Y26" i="10" s="1"/>
  <c r="W25" i="10"/>
  <c r="T25" i="10"/>
  <c r="W24" i="10"/>
  <c r="D47" i="10" s="1"/>
  <c r="F37" i="14" s="1"/>
  <c r="T24" i="10"/>
  <c r="W23" i="10"/>
  <c r="T23" i="10"/>
  <c r="W22" i="10"/>
  <c r="D45" i="10" s="1"/>
  <c r="F35" i="14" s="1"/>
  <c r="T22" i="10"/>
  <c r="W21" i="10"/>
  <c r="T21" i="10"/>
  <c r="W20" i="10"/>
  <c r="T20" i="10"/>
  <c r="W19" i="10"/>
  <c r="D42" i="10" s="1"/>
  <c r="T19" i="10"/>
  <c r="W18" i="10"/>
  <c r="T18" i="10"/>
  <c r="W17" i="10"/>
  <c r="T17" i="10"/>
  <c r="W16" i="10"/>
  <c r="T16" i="10"/>
  <c r="W15" i="10"/>
  <c r="T15" i="10"/>
  <c r="T7" i="10"/>
  <c r="X7" i="10" s="1"/>
  <c r="T6" i="10"/>
  <c r="W6" i="10" s="1"/>
  <c r="P6" i="10"/>
  <c r="I6" i="10"/>
  <c r="E6" i="10"/>
  <c r="T5" i="10"/>
  <c r="W5" i="10" s="1"/>
  <c r="E5" i="10"/>
  <c r="M4" i="10"/>
  <c r="I4" i="10"/>
  <c r="E3" i="10"/>
  <c r="O21" i="10" s="1"/>
  <c r="I18" i="2"/>
  <c r="F18" i="2"/>
  <c r="F16" i="2"/>
  <c r="E8" i="10" s="1"/>
  <c r="F15" i="2"/>
  <c r="E9" i="10" s="1"/>
  <c r="F12" i="2"/>
  <c r="F11" i="2"/>
  <c r="F10" i="2"/>
  <c r="R8" i="2"/>
  <c r="Q8" i="2"/>
  <c r="P8" i="2"/>
  <c r="R7" i="2"/>
  <c r="Q7" i="2"/>
  <c r="P7" i="2"/>
  <c r="F7" i="2"/>
  <c r="R6" i="2"/>
  <c r="Q6" i="2"/>
  <c r="P6" i="2"/>
  <c r="L6" i="2"/>
  <c r="F6" i="2"/>
  <c r="R5" i="2"/>
  <c r="Q5" i="2"/>
  <c r="P5" i="2"/>
  <c r="F5" i="2"/>
  <c r="R4" i="2"/>
  <c r="Q4" i="2"/>
  <c r="P4" i="2"/>
  <c r="I4" i="2"/>
  <c r="I5" i="2" s="1"/>
  <c r="F4" i="2"/>
  <c r="R3" i="2"/>
  <c r="Q3" i="2"/>
  <c r="P3" i="2"/>
  <c r="L3" i="2"/>
  <c r="L4" i="2" s="1"/>
  <c r="F3" i="2"/>
  <c r="Y5" i="10" l="1"/>
  <c r="Q11" i="2"/>
  <c r="I12" i="2" s="1"/>
  <c r="X5" i="10"/>
  <c r="E4" i="10"/>
  <c r="Y7" i="10"/>
  <c r="P11" i="2"/>
  <c r="I7" i="2" s="1"/>
  <c r="R11" i="2"/>
  <c r="I15" i="2"/>
  <c r="C31" i="8"/>
  <c r="C57" i="8"/>
  <c r="D8" i="10"/>
  <c r="U6" i="10" s="1"/>
  <c r="AI2" i="10"/>
  <c r="C52" i="8"/>
  <c r="R10" i="2"/>
  <c r="C45" i="8"/>
  <c r="E7" i="10"/>
  <c r="Q19" i="10" s="1"/>
  <c r="C46" i="8"/>
  <c r="C37" i="8"/>
  <c r="C58" i="8"/>
  <c r="P10" i="2"/>
  <c r="I6" i="2" s="1"/>
  <c r="I8" i="2" s="1"/>
  <c r="I9" i="2"/>
  <c r="G80" i="14" s="1"/>
  <c r="Q10" i="2"/>
  <c r="I11" i="2" s="1"/>
  <c r="C51" i="8"/>
  <c r="N20" i="11"/>
  <c r="N20" i="14"/>
  <c r="O15" i="10"/>
  <c r="B3" i="13"/>
  <c r="N12" i="11"/>
  <c r="N12" i="14"/>
  <c r="P15" i="10"/>
  <c r="G16" i="20" s="1"/>
  <c r="H43" i="10"/>
  <c r="F70" i="14" s="1"/>
  <c r="H49" i="10"/>
  <c r="N10" i="11"/>
  <c r="N10" i="14"/>
  <c r="C3" i="13"/>
  <c r="N16" i="14"/>
  <c r="N16" i="11"/>
  <c r="W7" i="10"/>
  <c r="D40" i="10"/>
  <c r="H40" i="10"/>
  <c r="H44" i="10"/>
  <c r="F71" i="14" s="1"/>
  <c r="AF5" i="10" a="1"/>
  <c r="H42" i="10"/>
  <c r="P21" i="10"/>
  <c r="M16" i="20" s="1"/>
  <c r="N17" i="11"/>
  <c r="N17" i="14"/>
  <c r="P16" i="10"/>
  <c r="H16" i="20" s="1"/>
  <c r="C11" i="10"/>
  <c r="A85" i="11"/>
  <c r="P17" i="11"/>
  <c r="P17" i="14"/>
  <c r="N8" i="11"/>
  <c r="N58" i="11" s="1"/>
  <c r="N8" i="14"/>
  <c r="N92" i="14" s="1"/>
  <c r="E3" i="13"/>
  <c r="N15" i="14"/>
  <c r="N15" i="11"/>
  <c r="T46" i="11"/>
  <c r="T80" i="14"/>
  <c r="AF61" i="10" a="1"/>
  <c r="P18" i="10"/>
  <c r="J16" i="20" s="1"/>
  <c r="N19" i="11"/>
  <c r="N19" i="14"/>
  <c r="E37" i="10"/>
  <c r="AI58" i="10"/>
  <c r="D37" i="10"/>
  <c r="C37" i="10"/>
  <c r="AI36" i="10"/>
  <c r="AB33" i="10"/>
  <c r="W33" i="10"/>
  <c r="AI25" i="10"/>
  <c r="AI47" i="10"/>
  <c r="K37" i="10"/>
  <c r="F37" i="10"/>
  <c r="AI14" i="10"/>
  <c r="S13" i="10"/>
  <c r="D38" i="10"/>
  <c r="H38" i="10"/>
  <c r="H46" i="10"/>
  <c r="F73" i="14" s="1"/>
  <c r="N18" i="11"/>
  <c r="N18" i="14"/>
  <c r="D3" i="13"/>
  <c r="AF17" i="10" a="1"/>
  <c r="D41" i="10"/>
  <c r="H41" i="10"/>
  <c r="O19" i="10"/>
  <c r="H51" i="10"/>
  <c r="H39" i="10"/>
  <c r="D39" i="10"/>
  <c r="N9" i="11"/>
  <c r="N9" i="14"/>
  <c r="N14" i="11"/>
  <c r="N14" i="14"/>
  <c r="O17" i="10"/>
  <c r="P22" i="10"/>
  <c r="N16" i="20" s="1"/>
  <c r="J45" i="11"/>
  <c r="J79" i="14"/>
  <c r="I14" i="2"/>
  <c r="I10" i="2"/>
  <c r="N21" i="11"/>
  <c r="N21" i="14"/>
  <c r="P17" i="10"/>
  <c r="I16" i="20" s="1"/>
  <c r="O20" i="10"/>
  <c r="Z25" i="10"/>
  <c r="Y25" i="10"/>
  <c r="U25" i="10"/>
  <c r="V25" i="10" s="1"/>
  <c r="H48" i="10"/>
  <c r="H52" i="10"/>
  <c r="P28" i="10"/>
  <c r="P27" i="10"/>
  <c r="P26" i="10"/>
  <c r="O22" i="10"/>
  <c r="P29" i="10"/>
  <c r="O28" i="10"/>
  <c r="O27" i="10"/>
  <c r="O26" i="10"/>
  <c r="P25" i="10"/>
  <c r="P24" i="10"/>
  <c r="P16" i="20" s="1"/>
  <c r="P23" i="10"/>
  <c r="O16" i="20" s="1"/>
  <c r="O29" i="10"/>
  <c r="O25" i="10"/>
  <c r="O24" i="10"/>
  <c r="O23" i="10"/>
  <c r="O18" i="10"/>
  <c r="L11" i="10"/>
  <c r="P19" i="10"/>
  <c r="K16" i="20" s="1"/>
  <c r="X6" i="10"/>
  <c r="O16" i="10"/>
  <c r="P20" i="10"/>
  <c r="L16" i="20" s="1"/>
  <c r="N13" i="11"/>
  <c r="N13" i="14"/>
  <c r="Y6" i="10"/>
  <c r="Z26" i="10"/>
  <c r="Z27" i="10"/>
  <c r="Z28" i="10"/>
  <c r="D51" i="10"/>
  <c r="D52" i="10"/>
  <c r="D43" i="10"/>
  <c r="F33" i="14" s="1"/>
  <c r="H47" i="10"/>
  <c r="F74" i="14" s="1"/>
  <c r="H50" i="10"/>
  <c r="AF50" i="10" a="1"/>
  <c r="D44" i="10"/>
  <c r="F34" i="14" s="1"/>
  <c r="D48" i="10"/>
  <c r="AF28" i="10" a="1"/>
  <c r="U29" i="10"/>
  <c r="V29" i="10" s="1"/>
  <c r="U26" i="10"/>
  <c r="V26" i="10" s="1"/>
  <c r="U27" i="10"/>
  <c r="V27" i="10" s="1"/>
  <c r="U28" i="10"/>
  <c r="V28" i="10" s="1"/>
  <c r="H45" i="10"/>
  <c r="F72" i="14" s="1"/>
  <c r="D46" i="10"/>
  <c r="F36" i="14" s="1"/>
  <c r="D49" i="10"/>
  <c r="AF39" i="10" a="1"/>
  <c r="Y29" i="10"/>
  <c r="C43" i="8"/>
  <c r="C63" i="8"/>
  <c r="C69" i="8"/>
  <c r="C75" i="8"/>
  <c r="C81" i="8"/>
  <c r="C30" i="8"/>
  <c r="C36" i="8"/>
  <c r="C50" i="8"/>
  <c r="C56" i="8"/>
  <c r="C64" i="8"/>
  <c r="C70" i="8"/>
  <c r="C76" i="8"/>
  <c r="C82" i="8"/>
  <c r="C65" i="8"/>
  <c r="C71" i="8"/>
  <c r="C77" i="8"/>
  <c r="C83" i="8"/>
  <c r="C32" i="8"/>
  <c r="C38" i="8"/>
  <c r="C59" i="8"/>
  <c r="C66" i="8"/>
  <c r="C72" i="8"/>
  <c r="C78" i="8"/>
  <c r="C84" i="8"/>
  <c r="C27" i="8"/>
  <c r="C33" i="8"/>
  <c r="C39" i="8"/>
  <c r="C47" i="8"/>
  <c r="C53" i="8"/>
  <c r="C60" i="8"/>
  <c r="C67" i="8"/>
  <c r="C73" i="8"/>
  <c r="C79" i="8"/>
  <c r="C85" i="8"/>
  <c r="C28" i="8"/>
  <c r="C34" i="8"/>
  <c r="C40" i="8"/>
  <c r="C48" i="8"/>
  <c r="C54" i="8"/>
  <c r="C41" i="8"/>
  <c r="C62" i="8"/>
  <c r="C68" i="8"/>
  <c r="C74" i="8"/>
  <c r="C80" i="8"/>
  <c r="C29" i="8"/>
  <c r="C35" i="8"/>
  <c r="C49" i="8"/>
  <c r="P5" i="10" l="1"/>
  <c r="I13" i="2"/>
  <c r="Q23" i="10"/>
  <c r="Q25" i="10"/>
  <c r="Q24" i="10"/>
  <c r="Q17" i="10"/>
  <c r="K11" i="10"/>
  <c r="Q29" i="10"/>
  <c r="Q15" i="10"/>
  <c r="Q27" i="10"/>
  <c r="G11" i="10"/>
  <c r="Q26" i="10"/>
  <c r="Q18" i="10"/>
  <c r="Q16" i="10"/>
  <c r="Q28" i="10"/>
  <c r="Q22" i="10"/>
  <c r="Q20" i="10"/>
  <c r="P4" i="10"/>
  <c r="Q21" i="10"/>
  <c r="U7" i="10"/>
  <c r="G46" i="11"/>
  <c r="V7" i="10"/>
  <c r="V6" i="10"/>
  <c r="U5" i="10"/>
  <c r="V5" i="10"/>
  <c r="P3" i="10"/>
  <c r="V43" i="10"/>
  <c r="X25" i="10"/>
  <c r="G48" i="10"/>
  <c r="C48" i="10"/>
  <c r="G52" i="10"/>
  <c r="X29" i="10"/>
  <c r="C52" i="10"/>
  <c r="AK50" i="10"/>
  <c r="AO50" i="10"/>
  <c r="AN50" i="10"/>
  <c r="AM50" i="10"/>
  <c r="AL50" i="10"/>
  <c r="AJ50" i="10"/>
  <c r="AI50" i="10"/>
  <c r="AH50" i="10"/>
  <c r="AG50" i="10"/>
  <c r="AF50" i="10"/>
  <c r="F32" i="11"/>
  <c r="F32" i="14"/>
  <c r="Z51" i="10"/>
  <c r="C51" i="10"/>
  <c r="X28" i="10"/>
  <c r="G51" i="10"/>
  <c r="AB38" i="10"/>
  <c r="G47" i="11"/>
  <c r="G81" i="14"/>
  <c r="AA43" i="10"/>
  <c r="Z40" i="10"/>
  <c r="AC43" i="10"/>
  <c r="W49" i="10"/>
  <c r="Z44" i="10"/>
  <c r="U46" i="10"/>
  <c r="U41" i="10"/>
  <c r="AC46" i="10"/>
  <c r="T45" i="10"/>
  <c r="X27" i="10"/>
  <c r="C50" i="10"/>
  <c r="G50" i="10"/>
  <c r="AA47" i="10"/>
  <c r="F40" i="11"/>
  <c r="F66" i="14"/>
  <c r="T43" i="10"/>
  <c r="AC40" i="10"/>
  <c r="AA46" i="10"/>
  <c r="AC48" i="10"/>
  <c r="T40" i="10"/>
  <c r="F65" i="14"/>
  <c r="F39" i="11"/>
  <c r="W45" i="10"/>
  <c r="AA48" i="10"/>
  <c r="AB46" i="10"/>
  <c r="W47" i="10"/>
  <c r="U48" i="10"/>
  <c r="AB47" i="10"/>
  <c r="AA49" i="10"/>
  <c r="U44" i="10"/>
  <c r="Z41" i="10"/>
  <c r="Z38" i="10"/>
  <c r="T50" i="10"/>
  <c r="W46" i="10"/>
  <c r="Z39" i="10"/>
  <c r="AB51" i="10"/>
  <c r="AA51" i="10"/>
  <c r="F28" i="14"/>
  <c r="F28" i="11"/>
  <c r="D27" i="11"/>
  <c r="D27" i="14"/>
  <c r="T39" i="10"/>
  <c r="T46" i="10"/>
  <c r="U49" i="10"/>
  <c r="V47" i="10"/>
  <c r="Z50" i="10"/>
  <c r="U42" i="10"/>
  <c r="AA41" i="10"/>
  <c r="AC49" i="10"/>
  <c r="AB44" i="10"/>
  <c r="AA45" i="10"/>
  <c r="W51" i="10"/>
  <c r="T47" i="10"/>
  <c r="AC45" i="10"/>
  <c r="V37" i="10"/>
  <c r="W48" i="10"/>
  <c r="Z49" i="10"/>
  <c r="F27" i="11"/>
  <c r="F27" i="14"/>
  <c r="W43" i="10"/>
  <c r="Z48" i="10"/>
  <c r="T38" i="10"/>
  <c r="AB49" i="10"/>
  <c r="V51" i="10"/>
  <c r="AC39" i="10"/>
  <c r="V45" i="10"/>
  <c r="W40" i="10"/>
  <c r="AA50" i="10"/>
  <c r="Z46" i="10"/>
  <c r="U40" i="10"/>
  <c r="AC50" i="10"/>
  <c r="T49" i="10"/>
  <c r="W50" i="10"/>
  <c r="W38" i="10"/>
  <c r="Z47" i="10"/>
  <c r="AA37" i="10"/>
  <c r="V40" i="10"/>
  <c r="AA39" i="10"/>
  <c r="W44" i="10"/>
  <c r="V48" i="10"/>
  <c r="L27" i="11"/>
  <c r="L27" i="14"/>
  <c r="F43" i="11"/>
  <c r="F69" i="14"/>
  <c r="U45" i="10"/>
  <c r="AC51" i="10"/>
  <c r="T41" i="10"/>
  <c r="U51" i="10"/>
  <c r="W41" i="10"/>
  <c r="AH5" i="10"/>
  <c r="AJ5" i="10"/>
  <c r="AF5" i="10"/>
  <c r="AI5" i="10"/>
  <c r="AG5" i="10"/>
  <c r="AO5" i="10"/>
  <c r="AK5" i="10"/>
  <c r="AN5" i="10"/>
  <c r="AM5" i="10"/>
  <c r="AL5" i="10"/>
  <c r="T37" i="10"/>
  <c r="U37" i="10"/>
  <c r="U47" i="10"/>
  <c r="AC37" i="10"/>
  <c r="V42" i="10"/>
  <c r="AM28" i="10"/>
  <c r="AL28" i="10"/>
  <c r="AK28" i="10"/>
  <c r="AJ28" i="10"/>
  <c r="AI28" i="10"/>
  <c r="AH28" i="10"/>
  <c r="AF28" i="10"/>
  <c r="AO28" i="10"/>
  <c r="AN28" i="10"/>
  <c r="AG28" i="10"/>
  <c r="V44" i="10"/>
  <c r="AB40" i="10"/>
  <c r="AC44" i="10"/>
  <c r="AB39" i="10"/>
  <c r="W37" i="10"/>
  <c r="Z43" i="10"/>
  <c r="AC47" i="10"/>
  <c r="F68" i="14"/>
  <c r="F42" i="11"/>
  <c r="Z45" i="10"/>
  <c r="Z37" i="10"/>
  <c r="V49" i="10"/>
  <c r="AA42" i="10"/>
  <c r="Z42" i="10"/>
  <c r="F31" i="14"/>
  <c r="F31" i="11"/>
  <c r="R27" i="11"/>
  <c r="R27" i="14"/>
  <c r="E46" i="11"/>
  <c r="E80" i="14"/>
  <c r="AA21" i="10"/>
  <c r="AB22" i="10"/>
  <c r="AB28" i="10"/>
  <c r="AB27" i="10"/>
  <c r="AB26" i="10"/>
  <c r="AA22" i="10"/>
  <c r="AB29" i="10"/>
  <c r="AA28" i="10"/>
  <c r="AA27" i="10"/>
  <c r="AA26" i="10"/>
  <c r="AB25" i="10"/>
  <c r="AB24" i="10"/>
  <c r="AB23" i="10"/>
  <c r="AA29" i="10"/>
  <c r="AA25" i="10"/>
  <c r="AA24" i="10"/>
  <c r="AA23" i="10"/>
  <c r="AB17" i="10"/>
  <c r="AB16" i="10"/>
  <c r="AB15" i="10"/>
  <c r="AB18" i="10"/>
  <c r="AA17" i="10"/>
  <c r="AA16" i="10"/>
  <c r="AA15" i="10"/>
  <c r="AB20" i="10"/>
  <c r="AB21" i="10"/>
  <c r="AA20" i="10"/>
  <c r="AB19" i="10"/>
  <c r="AA18" i="10"/>
  <c r="AA19" i="10"/>
  <c r="AC38" i="10"/>
  <c r="W39" i="10"/>
  <c r="U50" i="10"/>
  <c r="V38" i="10"/>
  <c r="U43" i="10"/>
  <c r="AH17" i="10"/>
  <c r="AO17" i="10"/>
  <c r="AL17" i="10"/>
  <c r="AK17" i="10"/>
  <c r="AJ17" i="10"/>
  <c r="AI17" i="10"/>
  <c r="AG17" i="10"/>
  <c r="AF17" i="10"/>
  <c r="AN17" i="10"/>
  <c r="AM17" i="10"/>
  <c r="F41" i="11"/>
  <c r="F67" i="14"/>
  <c r="V39" i="10"/>
  <c r="AC42" i="10"/>
  <c r="T51" i="10"/>
  <c r="AA40" i="10"/>
  <c r="T44" i="10"/>
  <c r="AF61" i="10"/>
  <c r="AO61" i="10"/>
  <c r="AN61" i="10"/>
  <c r="AM61" i="10"/>
  <c r="AL61" i="10"/>
  <c r="AK61" i="10"/>
  <c r="AJ61" i="10"/>
  <c r="AI61" i="10"/>
  <c r="AH61" i="10"/>
  <c r="AG61" i="10"/>
  <c r="F30" i="11"/>
  <c r="F30" i="14"/>
  <c r="E81" i="14"/>
  <c r="E47" i="11"/>
  <c r="BA7" i="10"/>
  <c r="AC41" i="10"/>
  <c r="AB43" i="10"/>
  <c r="AB37" i="10"/>
  <c r="V41" i="10"/>
  <c r="W42" i="10"/>
  <c r="AH39" i="10"/>
  <c r="AG39" i="10"/>
  <c r="AF39" i="10"/>
  <c r="AO39" i="10"/>
  <c r="AN39" i="10"/>
  <c r="AM39" i="10"/>
  <c r="AL39" i="10"/>
  <c r="AK39" i="10"/>
  <c r="AJ39" i="10"/>
  <c r="AI39" i="10"/>
  <c r="AB48" i="10"/>
  <c r="T48" i="10"/>
  <c r="V46" i="10"/>
  <c r="AB41" i="10"/>
  <c r="AA38" i="10"/>
  <c r="AB50" i="10"/>
  <c r="G49" i="10"/>
  <c r="X26" i="10"/>
  <c r="C49" i="10"/>
  <c r="V50" i="10"/>
  <c r="AB45" i="10"/>
  <c r="U39" i="10"/>
  <c r="F29" i="11"/>
  <c r="F29" i="14"/>
  <c r="AB42" i="10"/>
  <c r="AA44" i="10"/>
  <c r="U38" i="10"/>
  <c r="T42" i="10"/>
  <c r="P7" i="10" l="1"/>
  <c r="I49" i="10"/>
  <c r="E49" i="10"/>
  <c r="E50" i="10"/>
  <c r="I50" i="10"/>
  <c r="F49" i="10"/>
  <c r="J49" i="10" s="1"/>
  <c r="K49" i="10"/>
  <c r="V53" i="10" a="1"/>
  <c r="V53" i="10" s="1"/>
  <c r="U53" i="10" a="1"/>
  <c r="U53" i="10" s="1"/>
  <c r="V52" i="10"/>
  <c r="AM20" i="10" s="1"/>
  <c r="W53" i="10" a="1"/>
  <c r="W53" i="10" s="1"/>
  <c r="K48" i="10"/>
  <c r="F48" i="10"/>
  <c r="I51" i="10"/>
  <c r="E51" i="10"/>
  <c r="K51" i="10"/>
  <c r="F51" i="10"/>
  <c r="J51" i="10" s="1"/>
  <c r="AC53" i="10" a="1"/>
  <c r="AC53" i="10" s="1"/>
  <c r="AB53" i="10" a="1"/>
  <c r="AB53" i="10" s="1"/>
  <c r="I48" i="10"/>
  <c r="E48" i="10"/>
  <c r="K52" i="10"/>
  <c r="F52" i="10"/>
  <c r="J52" i="10" s="1"/>
  <c r="AA53" i="10" a="1"/>
  <c r="AA53" i="10" s="1"/>
  <c r="AB52" i="10"/>
  <c r="AK63" i="10" s="1"/>
  <c r="K50" i="10"/>
  <c r="F50" i="10"/>
  <c r="J50" i="10" s="1"/>
  <c r="I52" i="10"/>
  <c r="E52" i="10"/>
  <c r="J48" i="10" l="1"/>
  <c r="AF6" i="10"/>
  <c r="AF21" i="10" s="1"/>
  <c r="AK32" i="10"/>
  <c r="AN9" i="10"/>
  <c r="AF32" i="10"/>
  <c r="AF7" i="10"/>
  <c r="AK6" i="10"/>
  <c r="AK21" i="10" s="1"/>
  <c r="AJ31" i="10"/>
  <c r="AF19" i="10"/>
  <c r="AG9" i="10"/>
  <c r="AK31" i="10"/>
  <c r="AJ30" i="10"/>
  <c r="AF18" i="10"/>
  <c r="AM32" i="10"/>
  <c r="AF20" i="10"/>
  <c r="AI42" i="10"/>
  <c r="AK30" i="10"/>
  <c r="AG42" i="10"/>
  <c r="AK29" i="10"/>
  <c r="AJ29" i="10"/>
  <c r="AN19" i="10"/>
  <c r="AH30" i="10"/>
  <c r="AJ20" i="10"/>
  <c r="AN20" i="10"/>
  <c r="AJ6" i="10"/>
  <c r="AJ21" i="10" s="1"/>
  <c r="AH29" i="10"/>
  <c r="AL9" i="10"/>
  <c r="AH9" i="10"/>
  <c r="AM7" i="10"/>
  <c r="AH32" i="10"/>
  <c r="AK18" i="10"/>
  <c r="AG18" i="10"/>
  <c r="AL8" i="10"/>
  <c r="AN29" i="10"/>
  <c r="AG29" i="10"/>
  <c r="AK19" i="10"/>
  <c r="AG19" i="10"/>
  <c r="AN42" i="10"/>
  <c r="AG32" i="10"/>
  <c r="AF42" i="10"/>
  <c r="AL7" i="10"/>
  <c r="AH7" i="10"/>
  <c r="AO6" i="10"/>
  <c r="AO21" i="10" s="1"/>
  <c r="AF9" i="10"/>
  <c r="AN7" i="10"/>
  <c r="AN8" i="10"/>
  <c r="AJ7" i="10"/>
  <c r="AO29" i="10"/>
  <c r="AJ8" i="10"/>
  <c r="AO8" i="10"/>
  <c r="AG31" i="10"/>
  <c r="AK7" i="10"/>
  <c r="AJ18" i="10"/>
  <c r="AH6" i="10"/>
  <c r="AH21" i="10" s="1"/>
  <c r="AF30" i="10"/>
  <c r="AM18" i="10"/>
  <c r="AK8" i="10"/>
  <c r="AH42" i="10"/>
  <c r="AH8" i="10"/>
  <c r="AF29" i="10"/>
  <c r="AM19" i="10"/>
  <c r="AI41" i="10"/>
  <c r="AG64" i="10"/>
  <c r="AN40" i="10"/>
  <c r="AF65" i="10"/>
  <c r="AO43" i="10"/>
  <c r="AJ65" i="10"/>
  <c r="AH62" i="10"/>
  <c r="AL62" i="10"/>
  <c r="AO63" i="10"/>
  <c r="AO54" i="10"/>
  <c r="AN53" i="10"/>
  <c r="AJ63" i="10"/>
  <c r="AG41" i="10"/>
  <c r="AK20" i="10"/>
  <c r="AK9" i="10"/>
  <c r="AG20" i="10"/>
  <c r="AG51" i="10"/>
  <c r="AJ19" i="10"/>
  <c r="AL6" i="10"/>
  <c r="AL21" i="10" s="1"/>
  <c r="AL65" i="10"/>
  <c r="AO62" i="10"/>
  <c r="AN52" i="10"/>
  <c r="AF31" i="10"/>
  <c r="AJ9" i="10"/>
  <c r="AK52" i="10"/>
  <c r="AL42" i="10"/>
  <c r="AK64" i="10"/>
  <c r="AM30" i="10"/>
  <c r="AL31" i="10"/>
  <c r="AM8" i="10"/>
  <c r="AN63" i="10"/>
  <c r="AG54" i="10"/>
  <c r="AL64" i="10"/>
  <c r="AO65" i="10"/>
  <c r="AN51" i="10"/>
  <c r="AL43" i="10"/>
  <c r="AJ40" i="10"/>
  <c r="AM29" i="10"/>
  <c r="AL30" i="10"/>
  <c r="AM6" i="10"/>
  <c r="AM21" i="10" s="1"/>
  <c r="AN62" i="10"/>
  <c r="AI8" i="10"/>
  <c r="AJ41" i="10"/>
  <c r="AL29" i="10"/>
  <c r="AI31" i="10"/>
  <c r="AN65" i="10"/>
  <c r="AG43" i="10"/>
  <c r="AM51" i="10"/>
  <c r="AG53" i="10"/>
  <c r="AL63" i="10"/>
  <c r="AO64" i="10"/>
  <c r="AN54" i="10"/>
  <c r="AJ54" i="10"/>
  <c r="AI40" i="10"/>
  <c r="AM54" i="10"/>
  <c r="AF40" i="10"/>
  <c r="AG52" i="10"/>
  <c r="AG65" i="10"/>
  <c r="AN43" i="10"/>
  <c r="AK40" i="10"/>
  <c r="AI6" i="10"/>
  <c r="AI21" i="10" s="1"/>
  <c r="AJ42" i="10"/>
  <c r="AL18" i="10"/>
  <c r="AI30" i="10"/>
  <c r="AN64" i="10"/>
  <c r="AI9" i="10"/>
  <c r="AJ43" i="10"/>
  <c r="AO18" i="10"/>
  <c r="AL20" i="10"/>
  <c r="AI29" i="10"/>
  <c r="AM40" i="10"/>
  <c r="AL53" i="10"/>
  <c r="AI7" i="10"/>
  <c r="AO19" i="10"/>
  <c r="AL19" i="10"/>
  <c r="AI32" i="10"/>
  <c r="AM41" i="10"/>
  <c r="AI51" i="10"/>
  <c r="AF43" i="10"/>
  <c r="AN6" i="10"/>
  <c r="AN21" i="10" s="1"/>
  <c r="AG62" i="10"/>
  <c r="AN41" i="10"/>
  <c r="AK42" i="10"/>
  <c r="AF53" i="10"/>
  <c r="AN32" i="10"/>
  <c r="AF63" i="10"/>
  <c r="AO32" i="10"/>
  <c r="AL52" i="10"/>
  <c r="AH18" i="10"/>
  <c r="AG6" i="10"/>
  <c r="AG21" i="10" s="1"/>
  <c r="AO20" i="10"/>
  <c r="AI65" i="10"/>
  <c r="AI19" i="10"/>
  <c r="AM42" i="10"/>
  <c r="AJ51" i="10"/>
  <c r="AM53" i="10"/>
  <c r="AK43" i="10"/>
  <c r="AF64" i="10"/>
  <c r="AI43" i="10"/>
  <c r="AH65" i="10"/>
  <c r="AI54" i="10"/>
  <c r="AH40" i="10"/>
  <c r="AO31" i="10"/>
  <c r="AL51" i="10"/>
  <c r="AH20" i="10"/>
  <c r="AG8" i="10"/>
  <c r="AO7" i="10"/>
  <c r="AI64" i="10"/>
  <c r="AI18" i="10"/>
  <c r="AM43" i="10"/>
  <c r="AM63" i="10"/>
  <c r="AF52" i="10"/>
  <c r="AN31" i="10"/>
  <c r="AF62" i="10"/>
  <c r="AH64" i="10"/>
  <c r="AG30" i="10"/>
  <c r="AF8" i="10"/>
  <c r="AI53" i="10"/>
  <c r="AH52" i="10"/>
  <c r="AH31" i="10"/>
  <c r="AJ32" i="10"/>
  <c r="AH41" i="10"/>
  <c r="AM62" i="10"/>
  <c r="AN18" i="10"/>
  <c r="AO53" i="10"/>
  <c r="AN30" i="10"/>
  <c r="AO42" i="10"/>
  <c r="AO30" i="10"/>
  <c r="AL54" i="10"/>
  <c r="AH19" i="10"/>
  <c r="AG7" i="10"/>
  <c r="AO9" i="10"/>
  <c r="AI62" i="10"/>
  <c r="AI20" i="10"/>
  <c r="AH63" i="10"/>
  <c r="AO52" i="10"/>
  <c r="AI63" i="10"/>
  <c r="AK41" i="10"/>
  <c r="AI52" i="10"/>
  <c r="AH54" i="10"/>
  <c r="AM64" i="10"/>
  <c r="AK51" i="10"/>
  <c r="AK62" i="10"/>
  <c r="AO40" i="10"/>
  <c r="AK54" i="10"/>
  <c r="AK65" i="10"/>
  <c r="AJ52" i="10"/>
  <c r="AM52" i="10"/>
  <c r="AJ53" i="10"/>
  <c r="AF41" i="10"/>
  <c r="AF51" i="10"/>
  <c r="AG63" i="10"/>
  <c r="AF54" i="10"/>
  <c r="AJ62" i="10"/>
  <c r="AH53" i="10"/>
  <c r="AH43" i="10"/>
  <c r="AM65" i="10"/>
  <c r="AO51" i="10"/>
  <c r="AL40" i="10"/>
  <c r="AJ64" i="10"/>
  <c r="AG40" i="10"/>
  <c r="AH51" i="10"/>
  <c r="AO41" i="10"/>
  <c r="AK53" i="10"/>
  <c r="AL41" i="10"/>
  <c r="AM31" i="10"/>
  <c r="AL32" i="10"/>
  <c r="AM9" i="10"/>
  <c r="AK22" i="10" l="1"/>
  <c r="AF11" i="10"/>
  <c r="AH33" i="10"/>
  <c r="AF22" i="10"/>
  <c r="AK33" i="10"/>
  <c r="AJ33" i="10"/>
  <c r="AN11" i="10"/>
  <c r="AG22" i="10"/>
  <c r="AF33" i="10"/>
  <c r="AM22" i="10"/>
  <c r="AN33" i="10"/>
  <c r="AI66" i="10"/>
  <c r="AN22" i="10"/>
  <c r="AM55" i="10"/>
  <c r="AG33" i="10"/>
  <c r="AL22" i="10"/>
  <c r="AK11" i="10"/>
  <c r="AK66" i="10"/>
  <c r="AL11" i="10"/>
  <c r="AJ11" i="10"/>
  <c r="AO55" i="10"/>
  <c r="AL55" i="10"/>
  <c r="AG55" i="10"/>
  <c r="AG66" i="10"/>
  <c r="AL33" i="10"/>
  <c r="AM44" i="10"/>
  <c r="AM11" i="10"/>
  <c r="AI11" i="10"/>
  <c r="AJ22" i="10"/>
  <c r="AO33" i="10"/>
  <c r="AK44" i="10"/>
  <c r="AH11" i="10"/>
  <c r="AJ44" i="10"/>
  <c r="AN55" i="10"/>
  <c r="AO44" i="10"/>
  <c r="AI55" i="10"/>
  <c r="AG11" i="10"/>
  <c r="AF55" i="10"/>
  <c r="AO22" i="10"/>
  <c r="AO66" i="10"/>
  <c r="AH22" i="10"/>
  <c r="AM66" i="10"/>
  <c r="AM33" i="10"/>
  <c r="AH55" i="10"/>
  <c r="AI22" i="10"/>
  <c r="AN44" i="10"/>
  <c r="AK55" i="10"/>
  <c r="AL66" i="10"/>
  <c r="AF44" i="10"/>
  <c r="AH66" i="10"/>
  <c r="AO11" i="10"/>
  <c r="AG44" i="10"/>
  <c r="AI44" i="10"/>
  <c r="AJ66" i="10"/>
  <c r="Z19" i="10" s="1"/>
  <c r="AL44" i="10"/>
  <c r="AF66" i="10"/>
  <c r="AI33" i="10"/>
  <c r="AN66" i="10"/>
  <c r="AJ55" i="10"/>
  <c r="AH44" i="10"/>
  <c r="K12" i="20"/>
  <c r="Z24" i="10" l="1"/>
  <c r="Y22" i="10"/>
  <c r="U24" i="10"/>
  <c r="Y24" i="10"/>
  <c r="U23" i="10"/>
  <c r="Y23" i="10"/>
  <c r="Z23" i="10"/>
  <c r="Y21" i="10"/>
  <c r="Z22" i="10"/>
  <c r="U22" i="10"/>
  <c r="Z21" i="10"/>
  <c r="Z20" i="10"/>
  <c r="U21" i="10"/>
  <c r="U20" i="10"/>
  <c r="V20" i="10" s="1"/>
  <c r="Y20" i="10"/>
  <c r="U15" i="10"/>
  <c r="V15" i="10" s="1"/>
  <c r="Z17" i="10"/>
  <c r="Y15" i="10"/>
  <c r="U19" i="10"/>
  <c r="Y16" i="10"/>
  <c r="Z15" i="10"/>
  <c r="U17" i="10"/>
  <c r="V17" i="10" s="1"/>
  <c r="Y19" i="10"/>
  <c r="Z18" i="10"/>
  <c r="Z16" i="10"/>
  <c r="U16" i="10"/>
  <c r="U18" i="10"/>
  <c r="V18" i="10" s="1"/>
  <c r="Y17" i="10"/>
  <c r="Y18" i="10"/>
  <c r="N11" i="20"/>
  <c r="M12" i="20"/>
  <c r="I12" i="20"/>
  <c r="O12" i="20"/>
  <c r="G12" i="20"/>
  <c r="G11" i="20"/>
  <c r="M10" i="20"/>
  <c r="I11" i="20"/>
  <c r="J10" i="20"/>
  <c r="K10" i="20"/>
  <c r="M11" i="20"/>
  <c r="H11" i="20"/>
  <c r="L12" i="20"/>
  <c r="G10" i="20"/>
  <c r="N10" i="20"/>
  <c r="H12" i="20"/>
  <c r="J12" i="20"/>
  <c r="H10" i="20"/>
  <c r="O10" i="20"/>
  <c r="N12" i="20"/>
  <c r="P12" i="20"/>
  <c r="O11" i="20"/>
  <c r="P10" i="20"/>
  <c r="I10" i="20"/>
  <c r="J11" i="20"/>
  <c r="L10" i="20"/>
  <c r="L11" i="20"/>
  <c r="P11" i="20"/>
  <c r="K11" i="20"/>
  <c r="N13" i="20" l="1"/>
  <c r="AB3" i="20"/>
  <c r="AB6" i="20" s="1"/>
  <c r="N14" i="20" s="1"/>
  <c r="N9" i="20"/>
  <c r="N17" i="20"/>
  <c r="N45" i="20" s="1"/>
  <c r="N47" i="20" s="1"/>
  <c r="N18" i="20"/>
  <c r="N15" i="20"/>
  <c r="AD3" i="20"/>
  <c r="AD6" i="20" s="1"/>
  <c r="P14" i="20" s="1"/>
  <c r="P17" i="20"/>
  <c r="P15" i="20"/>
  <c r="P18" i="20"/>
  <c r="P9" i="20"/>
  <c r="P13" i="20"/>
  <c r="V24" i="10"/>
  <c r="O18" i="20"/>
  <c r="O15" i="20"/>
  <c r="O9" i="20"/>
  <c r="O13" i="20"/>
  <c r="O17" i="20"/>
  <c r="AC3" i="20"/>
  <c r="AC6" i="20" s="1"/>
  <c r="O14" i="20" s="1"/>
  <c r="V23" i="10"/>
  <c r="M9" i="20"/>
  <c r="M18" i="20"/>
  <c r="M13" i="20"/>
  <c r="M15" i="20"/>
  <c r="M17" i="20"/>
  <c r="M45" i="20" s="1"/>
  <c r="M47" i="20" s="1"/>
  <c r="AA3" i="20"/>
  <c r="AA6" i="20" s="1"/>
  <c r="M14" i="20" s="1"/>
  <c r="V22" i="10"/>
  <c r="V21" i="10"/>
  <c r="L18" i="20"/>
  <c r="Z3" i="20"/>
  <c r="Z6" i="20" s="1"/>
  <c r="L14" i="20" s="1"/>
  <c r="L17" i="20"/>
  <c r="L9" i="20"/>
  <c r="L15" i="20"/>
  <c r="L13" i="20"/>
  <c r="G43" i="10"/>
  <c r="D70" i="14" s="1"/>
  <c r="X20" i="10"/>
  <c r="C43" i="10"/>
  <c r="D33" i="14" s="1"/>
  <c r="K18" i="20"/>
  <c r="J18" i="20"/>
  <c r="I18" i="20"/>
  <c r="H18" i="20"/>
  <c r="G18" i="20"/>
  <c r="K9" i="20"/>
  <c r="J9" i="20"/>
  <c r="I9" i="20"/>
  <c r="H9" i="20"/>
  <c r="G9" i="20"/>
  <c r="G13" i="20"/>
  <c r="G17" i="20"/>
  <c r="G45" i="20" s="1"/>
  <c r="G47" i="20" s="1"/>
  <c r="G15" i="20"/>
  <c r="U3" i="20"/>
  <c r="U6" i="20" s="1"/>
  <c r="G14" i="20" s="1"/>
  <c r="V3" i="20"/>
  <c r="V6" i="20" s="1"/>
  <c r="H14" i="20" s="1"/>
  <c r="W3" i="20"/>
  <c r="W6" i="20" s="1"/>
  <c r="I14" i="20" s="1"/>
  <c r="X3" i="20"/>
  <c r="X6" i="20" s="1"/>
  <c r="J14" i="20" s="1"/>
  <c r="Y3" i="20"/>
  <c r="Y6" i="20" s="1"/>
  <c r="K14" i="20" s="1"/>
  <c r="H15" i="20"/>
  <c r="H17" i="20"/>
  <c r="H45" i="20" s="1"/>
  <c r="H47" i="20" s="1"/>
  <c r="H13" i="20"/>
  <c r="V19" i="10"/>
  <c r="C42" i="10" s="1"/>
  <c r="K17" i="20"/>
  <c r="K45" i="20" s="1"/>
  <c r="K47" i="20" s="1"/>
  <c r="K13" i="20"/>
  <c r="K15" i="20"/>
  <c r="V16" i="10"/>
  <c r="X16" i="10" s="1"/>
  <c r="I17" i="20"/>
  <c r="I45" i="20" s="1"/>
  <c r="I47" i="20" s="1"/>
  <c r="I13" i="20"/>
  <c r="I15" i="20"/>
  <c r="J13" i="20"/>
  <c r="J17" i="20"/>
  <c r="J15" i="20"/>
  <c r="C41" i="10"/>
  <c r="G41" i="10"/>
  <c r="X18" i="10"/>
  <c r="C38" i="10"/>
  <c r="G7" i="20" s="1"/>
  <c r="G25" i="20" s="1"/>
  <c r="G38" i="10"/>
  <c r="X15" i="10"/>
  <c r="G40" i="10"/>
  <c r="C40" i="10"/>
  <c r="X17" i="10"/>
  <c r="N34" i="20" l="1" a="1"/>
  <c r="N34" i="20" s="1"/>
  <c r="N33" i="20" a="1"/>
  <c r="N33" i="20" s="1"/>
  <c r="J7" i="20"/>
  <c r="J25" i="20" s="1"/>
  <c r="P28" i="20" a="1"/>
  <c r="P28" i="20" s="1"/>
  <c r="N27" i="20" a="1"/>
  <c r="N27" i="20" s="1"/>
  <c r="N36" i="20" a="1"/>
  <c r="N36" i="20" s="1"/>
  <c r="N32" i="20" a="1"/>
  <c r="N32" i="20" s="1"/>
  <c r="I7" i="20"/>
  <c r="I25" i="20" s="1"/>
  <c r="N31" i="20" a="1"/>
  <c r="N31" i="20" s="1"/>
  <c r="P31" i="20" a="1"/>
  <c r="P31" i="20" s="1"/>
  <c r="N30" i="20" a="1"/>
  <c r="N30" i="20" s="1"/>
  <c r="N35" i="20" a="1"/>
  <c r="N35" i="20" s="1"/>
  <c r="N29" i="20" a="1"/>
  <c r="N29" i="20" s="1"/>
  <c r="N28" i="20" a="1"/>
  <c r="N28" i="20" s="1"/>
  <c r="M32" i="20" a="1"/>
  <c r="M32" i="20" s="1"/>
  <c r="N19" i="20"/>
  <c r="F53" i="20" s="1"/>
  <c r="F63" i="20" s="1"/>
  <c r="G63" i="20" s="1"/>
  <c r="G47" i="10"/>
  <c r="D74" i="14" s="1"/>
  <c r="X24" i="10"/>
  <c r="C47" i="10"/>
  <c r="D37" i="14" s="1"/>
  <c r="P29" i="20" a="1"/>
  <c r="P29" i="20" s="1"/>
  <c r="P34" i="20" a="1"/>
  <c r="P34" i="20" s="1"/>
  <c r="P19" i="20"/>
  <c r="F55" i="20" s="1"/>
  <c r="P27" i="20" a="1"/>
  <c r="P27" i="20" s="1"/>
  <c r="P30" i="20" a="1"/>
  <c r="P30" i="20" s="1"/>
  <c r="P36" i="20" a="1"/>
  <c r="P36" i="20" s="1"/>
  <c r="O32" i="20" a="1"/>
  <c r="O32" i="20" s="1"/>
  <c r="P33" i="20" a="1"/>
  <c r="P33" i="20" s="1"/>
  <c r="P45" i="20"/>
  <c r="P47" i="20" s="1"/>
  <c r="P35" i="20" a="1"/>
  <c r="P35" i="20" s="1"/>
  <c r="P32" i="20" a="1"/>
  <c r="P32" i="20" s="1"/>
  <c r="M36" i="20" a="1"/>
  <c r="M36" i="20" s="1"/>
  <c r="G46" i="10"/>
  <c r="D73" i="14" s="1"/>
  <c r="X23" i="10"/>
  <c r="C46" i="10"/>
  <c r="D36" i="14" s="1"/>
  <c r="O29" i="20" a="1"/>
  <c r="O29" i="20" s="1"/>
  <c r="O30" i="20" a="1"/>
  <c r="O30" i="20" s="1"/>
  <c r="M19" i="20"/>
  <c r="F52" i="20" s="1"/>
  <c r="F62" i="20" s="1"/>
  <c r="G62" i="20" s="1"/>
  <c r="O28" i="20" a="1"/>
  <c r="O28" i="20" s="1"/>
  <c r="O45" i="20"/>
  <c r="O47" i="20" s="1"/>
  <c r="O35" i="20" a="1"/>
  <c r="O35" i="20" s="1"/>
  <c r="O31" i="20" a="1"/>
  <c r="O31" i="20" s="1"/>
  <c r="M29" i="20" a="1"/>
  <c r="M29" i="20" s="1"/>
  <c r="M28" i="20" a="1"/>
  <c r="M28" i="20" s="1"/>
  <c r="O34" i="20" a="1"/>
  <c r="O34" i="20" s="1"/>
  <c r="O27" i="20" a="1"/>
  <c r="O27" i="20" s="1"/>
  <c r="O19" i="20"/>
  <c r="F54" i="20" s="1"/>
  <c r="O33" i="20" a="1"/>
  <c r="O33" i="20" s="1"/>
  <c r="O36" i="20" a="1"/>
  <c r="O36" i="20" s="1"/>
  <c r="M31" i="20" a="1"/>
  <c r="M31" i="20" s="1"/>
  <c r="M27" i="20" a="1"/>
  <c r="M27" i="20" s="1"/>
  <c r="M34" i="20" a="1"/>
  <c r="M34" i="20" s="1"/>
  <c r="X22" i="10"/>
  <c r="G45" i="10"/>
  <c r="D72" i="14" s="1"/>
  <c r="C45" i="10"/>
  <c r="D35" i="14" s="1"/>
  <c r="M35" i="20" a="1"/>
  <c r="M35" i="20" s="1"/>
  <c r="M30" i="20" a="1"/>
  <c r="M30" i="20" s="1"/>
  <c r="M33" i="20" a="1"/>
  <c r="M33" i="20" s="1"/>
  <c r="L31" i="20" a="1"/>
  <c r="L31" i="20" s="1"/>
  <c r="G44" i="10"/>
  <c r="D71" i="14" s="1"/>
  <c r="C44" i="10"/>
  <c r="D34" i="14" s="1"/>
  <c r="X21" i="10"/>
  <c r="K43" i="10"/>
  <c r="L7" i="20"/>
  <c r="L25" i="20" s="1"/>
  <c r="I43" i="10"/>
  <c r="L70" i="14" s="1"/>
  <c r="E43" i="10"/>
  <c r="L33" i="14" s="1"/>
  <c r="Q21" i="15"/>
  <c r="AE21" i="15"/>
  <c r="J21" i="15"/>
  <c r="X21" i="15"/>
  <c r="L28" i="20" a="1"/>
  <c r="L28" i="20" s="1"/>
  <c r="L33" i="20" a="1"/>
  <c r="L33" i="20" s="1"/>
  <c r="L34" i="20" a="1"/>
  <c r="L34" i="20" s="1"/>
  <c r="L27" i="20" a="1"/>
  <c r="L27" i="20" s="1"/>
  <c r="L19" i="20"/>
  <c r="F51" i="20" s="1"/>
  <c r="L30" i="20" a="1"/>
  <c r="L30" i="20" s="1"/>
  <c r="L29" i="20" a="1"/>
  <c r="L29" i="20" s="1"/>
  <c r="L45" i="20"/>
  <c r="L47" i="20" s="1"/>
  <c r="L35" i="20" a="1"/>
  <c r="L35" i="20" s="1"/>
  <c r="L32" i="20" a="1"/>
  <c r="L32" i="20" s="1"/>
  <c r="L36" i="20" a="1"/>
  <c r="L36" i="20" s="1"/>
  <c r="G19" i="20"/>
  <c r="F46" i="20" s="1"/>
  <c r="F56" i="20" s="1"/>
  <c r="G56" i="20" s="1"/>
  <c r="G29" i="20" a="1"/>
  <c r="G29" i="20" s="1"/>
  <c r="G31" i="20" a="1"/>
  <c r="G31" i="20" s="1"/>
  <c r="G30" i="20" a="1"/>
  <c r="G30" i="20" s="1"/>
  <c r="G33" i="20" a="1"/>
  <c r="G33" i="20" s="1"/>
  <c r="G35" i="20" a="1"/>
  <c r="G35" i="20" s="1"/>
  <c r="G34" i="20" a="1"/>
  <c r="G34" i="20" s="1"/>
  <c r="G28" i="20" a="1"/>
  <c r="G28" i="20" s="1"/>
  <c r="G27" i="20" a="1"/>
  <c r="G27" i="20" s="1"/>
  <c r="G36" i="20" a="1"/>
  <c r="G36" i="20" s="1"/>
  <c r="G32" i="20" a="1"/>
  <c r="G32" i="20" s="1"/>
  <c r="K7" i="20"/>
  <c r="K25" i="20" s="1"/>
  <c r="X19" i="10"/>
  <c r="I42" i="10" s="1"/>
  <c r="G42" i="10"/>
  <c r="AE20" i="15" s="1"/>
  <c r="H35" i="20" a="1"/>
  <c r="H35" i="20" s="1"/>
  <c r="H19" i="20"/>
  <c r="F47" i="20" s="1"/>
  <c r="F57" i="20" s="1"/>
  <c r="G57" i="20" s="1"/>
  <c r="H36" i="20" a="1"/>
  <c r="H36" i="20" s="1"/>
  <c r="I27" i="20" a="1"/>
  <c r="I27" i="20" s="1"/>
  <c r="H29" i="20" a="1"/>
  <c r="H29" i="20" s="1"/>
  <c r="H30" i="20" a="1"/>
  <c r="H30" i="20" s="1"/>
  <c r="K29" i="20" a="1"/>
  <c r="K29" i="20" s="1"/>
  <c r="H32" i="20" a="1"/>
  <c r="H32" i="20" s="1"/>
  <c r="H33" i="20" a="1"/>
  <c r="H33" i="20" s="1"/>
  <c r="H31" i="20" a="1"/>
  <c r="H31" i="20" s="1"/>
  <c r="H28" i="20" a="1"/>
  <c r="H28" i="20" s="1"/>
  <c r="H34" i="20" a="1"/>
  <c r="H34" i="20" s="1"/>
  <c r="H27" i="20" a="1"/>
  <c r="H27" i="20" s="1"/>
  <c r="K28" i="20" a="1"/>
  <c r="K28" i="20" s="1"/>
  <c r="K31" i="20" a="1"/>
  <c r="K31" i="20" s="1"/>
  <c r="C39" i="10"/>
  <c r="G39" i="10"/>
  <c r="Q17" i="15" s="1"/>
  <c r="K34" i="20" a="1"/>
  <c r="K34" i="20" s="1"/>
  <c r="K36" i="20" a="1"/>
  <c r="K36" i="20" s="1"/>
  <c r="K35" i="20" a="1"/>
  <c r="K35" i="20" s="1"/>
  <c r="K19" i="20"/>
  <c r="F50" i="20" s="1"/>
  <c r="F60" i="20" s="1"/>
  <c r="G60" i="20" s="1"/>
  <c r="K33" i="20" a="1"/>
  <c r="K33" i="20" s="1"/>
  <c r="K30" i="20" a="1"/>
  <c r="K30" i="20" s="1"/>
  <c r="K32" i="20" a="1"/>
  <c r="K32" i="20" s="1"/>
  <c r="K27" i="20" a="1"/>
  <c r="K27" i="20" s="1"/>
  <c r="I36" i="20" a="1"/>
  <c r="I36" i="20" s="1"/>
  <c r="I19" i="20"/>
  <c r="F48" i="20" s="1"/>
  <c r="F58" i="20" s="1"/>
  <c r="G58" i="20" s="1"/>
  <c r="J36" i="20" a="1"/>
  <c r="J36" i="20" s="1"/>
  <c r="I33" i="20" a="1"/>
  <c r="I33" i="20" s="1"/>
  <c r="I30" i="20" a="1"/>
  <c r="I30" i="20" s="1"/>
  <c r="I28" i="20" a="1"/>
  <c r="I28" i="20" s="1"/>
  <c r="I29" i="20" a="1"/>
  <c r="I29" i="20" s="1"/>
  <c r="I31" i="20" a="1"/>
  <c r="I31" i="20" s="1"/>
  <c r="I34" i="20" a="1"/>
  <c r="I34" i="20" s="1"/>
  <c r="I32" i="20" a="1"/>
  <c r="I32" i="20" s="1"/>
  <c r="J28" i="20" a="1"/>
  <c r="J28" i="20" s="1"/>
  <c r="I35" i="20" a="1"/>
  <c r="I35" i="20" s="1"/>
  <c r="D31" i="14"/>
  <c r="D31" i="11"/>
  <c r="K41" i="10"/>
  <c r="J31" i="20" a="1"/>
  <c r="J31" i="20" s="1"/>
  <c r="E40" i="10"/>
  <c r="I40" i="10"/>
  <c r="D30" i="11"/>
  <c r="D30" i="14"/>
  <c r="K40" i="10"/>
  <c r="Q19" i="15"/>
  <c r="D68" i="14"/>
  <c r="AE19" i="15"/>
  <c r="J19" i="15"/>
  <c r="X19" i="15"/>
  <c r="D42" i="11"/>
  <c r="I38" i="10"/>
  <c r="E38" i="10"/>
  <c r="Q16" i="15"/>
  <c r="D65" i="14"/>
  <c r="AE16" i="15"/>
  <c r="J16" i="15"/>
  <c r="X16" i="15"/>
  <c r="D39" i="11"/>
  <c r="D28" i="14"/>
  <c r="D28" i="11"/>
  <c r="K38" i="10"/>
  <c r="J32" i="20" a="1"/>
  <c r="J32" i="20" s="1"/>
  <c r="X18" i="15"/>
  <c r="D41" i="11"/>
  <c r="Q18" i="15"/>
  <c r="D67" i="14"/>
  <c r="AE18" i="15"/>
  <c r="J18" i="15"/>
  <c r="I39" i="10"/>
  <c r="E39" i="10"/>
  <c r="J27" i="20" a="1"/>
  <c r="J27" i="20" s="1"/>
  <c r="J19" i="20"/>
  <c r="F49" i="20" s="1"/>
  <c r="J34" i="20" a="1"/>
  <c r="J34" i="20" s="1"/>
  <c r="J30" i="20" a="1"/>
  <c r="J30" i="20" s="1"/>
  <c r="J29" i="20" a="1"/>
  <c r="J29" i="20" s="1"/>
  <c r="J33" i="20" a="1"/>
  <c r="J33" i="20" s="1"/>
  <c r="I41" i="10"/>
  <c r="E41" i="10"/>
  <c r="J35" i="20" a="1"/>
  <c r="J35" i="20" s="1"/>
  <c r="J45" i="20"/>
  <c r="J47" i="20" s="1"/>
  <c r="D32" i="11"/>
  <c r="D32" i="14"/>
  <c r="K42" i="10"/>
  <c r="F45" i="10" l="1"/>
  <c r="R35" i="14" s="1"/>
  <c r="F44" i="10"/>
  <c r="R34" i="14" s="1"/>
  <c r="F42" i="10"/>
  <c r="J42" i="10" s="1"/>
  <c r="N37" i="20"/>
  <c r="P37" i="20"/>
  <c r="F40" i="10"/>
  <c r="R30" i="11" s="1"/>
  <c r="M37" i="20"/>
  <c r="F65" i="20"/>
  <c r="G65" i="20" s="1"/>
  <c r="F47" i="10" s="1"/>
  <c r="R37" i="14" s="1"/>
  <c r="K47" i="10"/>
  <c r="P7" i="20"/>
  <c r="P25" i="20" s="1"/>
  <c r="I47" i="10"/>
  <c r="L74" i="14" s="1"/>
  <c r="E47" i="10"/>
  <c r="L37" i="14" s="1"/>
  <c r="Q25" i="15"/>
  <c r="X25" i="15"/>
  <c r="AE25" i="15"/>
  <c r="J25" i="15"/>
  <c r="F64" i="20"/>
  <c r="G64" i="20" s="1"/>
  <c r="F46" i="10" s="1"/>
  <c r="R36" i="14" s="1"/>
  <c r="K46" i="10"/>
  <c r="O7" i="20"/>
  <c r="O25" i="20" s="1"/>
  <c r="O37" i="20"/>
  <c r="I46" i="10"/>
  <c r="L73" i="14" s="1"/>
  <c r="E46" i="10"/>
  <c r="L36" i="14" s="1"/>
  <c r="X24" i="15"/>
  <c r="Q24" i="15"/>
  <c r="AE24" i="15"/>
  <c r="J24" i="15"/>
  <c r="K45" i="10"/>
  <c r="N7" i="20"/>
  <c r="N25" i="20" s="1"/>
  <c r="X23" i="15"/>
  <c r="Q23" i="15"/>
  <c r="AE23" i="15"/>
  <c r="J23" i="15"/>
  <c r="I45" i="10"/>
  <c r="L72" i="14" s="1"/>
  <c r="E45" i="10"/>
  <c r="L35" i="14" s="1"/>
  <c r="I44" i="10"/>
  <c r="L71" i="14" s="1"/>
  <c r="E44" i="10"/>
  <c r="L34" i="14" s="1"/>
  <c r="K44" i="10"/>
  <c r="M7" i="20"/>
  <c r="M25" i="20" s="1"/>
  <c r="Q22" i="15"/>
  <c r="AE22" i="15"/>
  <c r="J22" i="15"/>
  <c r="X22" i="15"/>
  <c r="L37" i="20"/>
  <c r="AA21" i="15"/>
  <c r="Z21" i="15"/>
  <c r="M21" i="15"/>
  <c r="L21" i="15"/>
  <c r="AG21" i="15"/>
  <c r="AH21" i="15"/>
  <c r="T21" i="15"/>
  <c r="S21" i="15"/>
  <c r="F61" i="20"/>
  <c r="G61" i="20" s="1"/>
  <c r="F43" i="10" s="1"/>
  <c r="R33" i="14" s="1"/>
  <c r="F39" i="10"/>
  <c r="R29" i="14" s="1"/>
  <c r="G37" i="20"/>
  <c r="K39" i="10"/>
  <c r="H7" i="20"/>
  <c r="H25" i="20" s="1"/>
  <c r="E42" i="10"/>
  <c r="L32" i="11" s="1"/>
  <c r="D43" i="11"/>
  <c r="J20" i="15"/>
  <c r="M20" i="15" s="1"/>
  <c r="D69" i="14"/>
  <c r="Q20" i="15"/>
  <c r="T20" i="15" s="1"/>
  <c r="X20" i="15"/>
  <c r="AA20" i="15" s="1"/>
  <c r="D29" i="14"/>
  <c r="D29" i="11"/>
  <c r="K37" i="20"/>
  <c r="H37" i="20"/>
  <c r="D40" i="11"/>
  <c r="D66" i="14"/>
  <c r="X17" i="15"/>
  <c r="Z17" i="15" s="1"/>
  <c r="AE17" i="15"/>
  <c r="AG17" i="15" s="1"/>
  <c r="J17" i="15"/>
  <c r="M17" i="15" s="1"/>
  <c r="I37" i="20"/>
  <c r="F38" i="10"/>
  <c r="R28" i="11" s="1"/>
  <c r="L28" i="11"/>
  <c r="L28" i="14"/>
  <c r="AH20" i="15"/>
  <c r="AG20" i="15"/>
  <c r="F59" i="20"/>
  <c r="G59" i="20" s="1"/>
  <c r="F41" i="10" s="1"/>
  <c r="J41" i="10" s="1"/>
  <c r="L39" i="11"/>
  <c r="L65" i="14"/>
  <c r="L41" i="11"/>
  <c r="L67" i="14"/>
  <c r="AA18" i="15"/>
  <c r="Z18" i="15"/>
  <c r="T16" i="15"/>
  <c r="S16" i="15"/>
  <c r="L30" i="11"/>
  <c r="L30" i="14"/>
  <c r="T17" i="15"/>
  <c r="S17" i="15"/>
  <c r="L29" i="11"/>
  <c r="L29" i="14"/>
  <c r="L40" i="11"/>
  <c r="L66" i="14"/>
  <c r="AA19" i="15"/>
  <c r="Z19" i="15"/>
  <c r="L42" i="11"/>
  <c r="L68" i="14"/>
  <c r="J37" i="20"/>
  <c r="M19" i="15"/>
  <c r="L19" i="15"/>
  <c r="M18" i="15"/>
  <c r="L18" i="15"/>
  <c r="AH19" i="15"/>
  <c r="AG19" i="15"/>
  <c r="AA16" i="15"/>
  <c r="Z16" i="15"/>
  <c r="AH18" i="15"/>
  <c r="AG18" i="15"/>
  <c r="M16" i="15"/>
  <c r="L16" i="15"/>
  <c r="T19" i="15"/>
  <c r="S19" i="15"/>
  <c r="L31" i="11"/>
  <c r="L31" i="14"/>
  <c r="T18" i="15"/>
  <c r="S18" i="15"/>
  <c r="AH16" i="15"/>
  <c r="AG16" i="15"/>
  <c r="L43" i="11"/>
  <c r="L69" i="14"/>
  <c r="J47" i="10" l="1"/>
  <c r="J46" i="10"/>
  <c r="J43" i="10"/>
  <c r="J44" i="10"/>
  <c r="J45" i="10"/>
  <c r="L25" i="15"/>
  <c r="M25" i="15"/>
  <c r="AH25" i="15"/>
  <c r="AG25" i="15"/>
  <c r="Z25" i="15"/>
  <c r="AA25" i="15"/>
  <c r="T25" i="15"/>
  <c r="S25" i="15"/>
  <c r="M24" i="15"/>
  <c r="L24" i="15"/>
  <c r="AG24" i="15"/>
  <c r="AH24" i="15"/>
  <c r="T24" i="15"/>
  <c r="S24" i="15"/>
  <c r="AA24" i="15"/>
  <c r="Z24" i="15"/>
  <c r="M23" i="15"/>
  <c r="L23" i="15"/>
  <c r="AH23" i="15"/>
  <c r="AG23" i="15"/>
  <c r="S23" i="15"/>
  <c r="T23" i="15"/>
  <c r="Z23" i="15"/>
  <c r="AA23" i="15"/>
  <c r="AA22" i="15"/>
  <c r="Z22" i="15"/>
  <c r="M22" i="15"/>
  <c r="L22" i="15"/>
  <c r="AH22" i="15"/>
  <c r="AG22" i="15"/>
  <c r="T22" i="15"/>
  <c r="S22" i="15"/>
  <c r="S20" i="15"/>
  <c r="L32" i="14"/>
  <c r="L20" i="15"/>
  <c r="AA17" i="15"/>
  <c r="Z20" i="15"/>
  <c r="R31" i="14"/>
  <c r="R32" i="11"/>
  <c r="L17" i="15"/>
  <c r="AH17" i="15"/>
  <c r="R31" i="11"/>
  <c r="R32" i="14"/>
  <c r="J38" i="10"/>
  <c r="Y16" i="15" s="1"/>
  <c r="R28" i="14"/>
  <c r="R29" i="11"/>
  <c r="J40" i="10"/>
  <c r="R41" i="11" s="1"/>
  <c r="R30" i="14"/>
  <c r="J39" i="10"/>
  <c r="Y17" i="15" s="1"/>
  <c r="Y20" i="15"/>
  <c r="R43" i="11"/>
  <c r="R69" i="14"/>
  <c r="R20" i="15"/>
  <c r="AF20" i="15"/>
  <c r="K20" i="15"/>
  <c r="AF19" i="15"/>
  <c r="K19" i="15"/>
  <c r="Y19" i="15"/>
  <c r="R42" i="11"/>
  <c r="R68" i="14"/>
  <c r="R19" i="15"/>
  <c r="Y23" i="15" l="1"/>
  <c r="R72" i="14"/>
  <c r="Y22" i="15"/>
  <c r="R71" i="14"/>
  <c r="Y21" i="15"/>
  <c r="R70" i="14"/>
  <c r="K24" i="15"/>
  <c r="R73" i="14"/>
  <c r="AF25" i="15"/>
  <c r="R74" i="14"/>
  <c r="Y24" i="15"/>
  <c r="R24" i="15"/>
  <c r="R22" i="15"/>
  <c r="K22" i="15"/>
  <c r="AF21" i="15"/>
  <c r="R21" i="15"/>
  <c r="K21" i="15"/>
  <c r="AF22" i="15"/>
  <c r="R25" i="15"/>
  <c r="Y25" i="15"/>
  <c r="AF23" i="15"/>
  <c r="R23" i="15"/>
  <c r="K23" i="15"/>
  <c r="K25" i="15"/>
  <c r="AF24" i="15"/>
  <c r="R16" i="15"/>
  <c r="AF16" i="15"/>
  <c r="K16" i="15"/>
  <c r="K18" i="15"/>
  <c r="R65" i="14"/>
  <c r="R39" i="11"/>
  <c r="K17" i="15"/>
  <c r="Y18" i="15"/>
  <c r="R17" i="15"/>
  <c r="AF18" i="15"/>
  <c r="AF17" i="15"/>
  <c r="R66" i="14"/>
  <c r="R18" i="15"/>
  <c r="R40" i="11"/>
  <c r="R67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<sst xmlns="http://schemas.openxmlformats.org/spreadsheetml/2006/main" count="2177" uniqueCount="1405">
  <si>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</si>
  <si>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</si>
  <si>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</si>
  <si>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</si>
  <si>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</si>
  <si>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</si>
  <si>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</si>
  <si>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</si>
  <si>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</si>
  <si>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</si>
  <si>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</si>
  <si>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</si>
  <si>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</si>
  <si>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</si>
  <si>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</si>
  <si>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</si>
  <si>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</si>
  <si>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</si>
  <si>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</si>
  <si>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</si>
  <si>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</si>
  <si>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</si>
  <si>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</si>
  <si>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</si>
  <si>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</si>
  <si>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</si>
  <si>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</si>
  <si>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</si>
  <si>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</si>
  <si>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</si>
  <si>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</si>
  <si>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</si>
  <si>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</si>
  <si>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</si>
  <si>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</si>
  <si>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</si>
  <si>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</si>
  <si>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</si>
  <si>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</si>
  <si>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</si>
  <si>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</si>
  <si>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</si>
  <si>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</si>
  <si>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</si>
  <si>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</si>
  <si>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</si>
  <si>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</si>
  <si>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</si>
  <si>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</si>
  <si>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</si>
  <si>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</si>
  <si>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</si>
  <si>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</si>
  <si>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</si>
  <si>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No Aplica (N/A)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</si>
  <si>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</si>
  <si>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</si>
  <si>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</si>
  <si>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</si>
  <si>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</si>
  <si>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</si>
  <si>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</si>
  <si>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</si>
  <si>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</si>
  <si>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</si>
  <si>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</si>
  <si>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</si>
  <si>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</si>
  <si>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</si>
  <si>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km 6 Carretera Norte, Managua.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</si>
  <si>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</si>
  <si>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</si>
  <si>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</si>
  <si>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</si>
  <si>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</si>
  <si>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</si>
  <si>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</si>
  <si>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</si>
  <si>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</si>
  <si>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</si>
  <si>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</si>
  <si>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</si>
  <si>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</si>
  <si>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</si>
  <si>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</si>
  <si>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</si>
  <si>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</si>
  <si>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</si>
  <si>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</si>
  <si>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</si>
  <si>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</si>
  <si>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</si>
  <si>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</si>
  <si>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</si>
  <si>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</si>
  <si>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</si>
  <si>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</si>
  <si>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</si>
  <si>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</si>
  <si>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</si>
  <si>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</si>
  <si>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</si>
  <si>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</si>
  <si>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</si>
  <si>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</si>
  <si>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</si>
  <si>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</si>
  <si>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</si>
  <si>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</si>
  <si>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</si>
  <si>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</si>
  <si>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</si>
  <si>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</si>
  <si>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</si>
  <si>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</si>
  <si>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</si>
  <si>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</si>
  <si>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</si>
  <si>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</si>
  <si>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</si>
  <si>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</si>
  <si>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</si>
  <si>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</si>
  <si>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</si>
  <si>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</si>
  <si>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</si>
  <si>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</si>
  <si>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</si>
  <si>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</si>
  <si>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</si>
  <si>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</si>
  <si>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</si>
  <si>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</si>
  <si>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</si>
  <si>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</si>
  <si>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</si>
  <si>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</si>
  <si>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</si>
  <si>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</si>
  <si>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</si>
  <si>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</si>
  <si>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</si>
  <si>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</si>
  <si>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</si>
  <si>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</si>
  <si>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</si>
  <si>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</si>
  <si>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</si>
  <si>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</si>
  <si>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</si>
  <si>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</si>
  <si>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</si>
  <si>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</si>
  <si>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</si>
  <si>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</si>
  <si>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</si>
  <si>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</si>
  <si>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</si>
  <si>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</si>
  <si>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</si>
  <si>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t>Correccion.ant</t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</si>
  <si>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</si>
  <si>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</si>
  <si>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</si>
  <si>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</si>
  <si>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</si>
  <si>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</si>
  <si>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</si>
  <si>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</si>
  <si>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</si>
  <si>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</si>
  <si>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</si>
  <si>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</si>
  <si>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</si>
  <si>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</si>
  <si>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</si>
  <si>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t xml:space="preserve">Interpolación corrección del patrón </t>
  </si>
  <si>
    <t>Triangular</t>
  </si>
  <si>
    <t>Datos del patrón</t>
  </si>
  <si>
    <t>Contribuciones incert. combinada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</si>
  <si>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</si>
  <si>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</si>
  <si>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</si>
  <si>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</si>
  <si>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</si>
  <si>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</si>
  <si>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</si>
  <si>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</si>
  <si>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</si>
  <si>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</si>
  <si>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</si>
  <si>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</si>
  <si>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t>Formula</t>
  </si>
  <si>
    <t>-</t>
  </si>
  <si>
    <t>n-1</t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</si>
  <si>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</si>
  <si>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</si>
  <si>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</si>
  <si>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</si>
  <si>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</si>
  <si>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</si>
  <si>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</si>
  <si>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</si>
  <si>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</si>
  <si>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</si>
  <si>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</si>
  <si>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</si>
  <si>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</si>
  <si>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</si>
  <si>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</si>
  <si>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</si>
  <si>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</si>
  <si>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</si>
  <si>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</si>
  <si>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</si>
  <si>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</si>
  <si>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t>Corrección de medición</t>
  </si>
  <si>
    <t>Correccion Certificado</t>
  </si>
  <si>
    <t>Raíz de la</t>
  </si>
  <si>
    <t>suma cuadr.</t>
  </si>
  <si>
    <t>Decim.:</t>
  </si>
  <si>
    <t>Fecha Calibración</t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</si>
  <si>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</si>
  <si>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</si>
  <si>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</si>
  <si>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</si>
  <si>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</si>
  <si>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</si>
  <si>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</si>
  <si>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</si>
  <si>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</si>
  <si>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</si>
  <si>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</si>
  <si>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</si>
  <si>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</si>
  <si>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</si>
  <si>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</si>
  <si>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</si>
  <si>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</si>
  <si>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</si>
  <si>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</si>
  <si>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</si>
  <si>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</si>
  <si>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</si>
  <si>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</si>
  <si>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</si>
  <si>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</si>
  <si>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</si>
  <si>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</si>
  <si>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</si>
  <si>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</si>
  <si>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</si>
  <si>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</si>
  <si>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</si>
  <si>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</si>
  <si>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</si>
  <si>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</si>
  <si>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</si>
  <si>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</si>
  <si>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>FS = fondo de escala</t>
  </si>
  <si>
    <t>Presión positiva</t>
  </si>
  <si>
    <t>Vacío</t>
  </si>
  <si>
    <t>Manómetro digital</t>
  </si>
  <si>
    <t>NI-MCPVE-01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</si>
  <si>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</si>
  <si>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</si>
  <si>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</si>
  <si>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</si>
  <si>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</si>
  <si>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</si>
  <si>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</si>
  <si>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</si>
  <si>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</si>
  <si>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#CC-SST-118-40ED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</si>
  <si>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</si>
  <si>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</si>
  <si>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</si>
  <si>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</si>
  <si>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</si>
  <si>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</si>
  <si>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</si>
  <si>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</si>
  <si>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</si>
  <si>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</si>
  <si>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</si>
  <si>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</si>
  <si>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</si>
  <si>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</si>
  <si>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t>Resolución [psi]</t>
  </si>
  <si>
    <t>Resolución [kPa]</t>
  </si>
  <si>
    <t>Rango optimo</t>
  </si>
  <si>
    <t>t min. funcionamiento</t>
  </si>
  <si>
    <t>t max. funcionamiento</t>
  </si>
  <si>
    <t>t min. compensada</t>
  </si>
  <si>
    <t>t max. compensada</t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</si>
  <si>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</si>
  <si>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</si>
  <si>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</si>
  <si>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</si>
  <si>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</si>
  <si>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</si>
  <si>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</si>
  <si>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</si>
  <si>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</si>
  <si>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</si>
  <si>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</si>
  <si>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</si>
  <si>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</si>
  <si>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</si>
  <si>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</si>
  <si>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</si>
  <si>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</si>
  <si>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</si>
  <si>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</si>
  <si>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</si>
  <si>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</si>
  <si>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</si>
  <si>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</si>
  <si>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</si>
  <si>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</si>
  <si>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t>Influencia ambiental patron</t>
  </si>
  <si>
    <t>Diferencia de altura entre referencia y equipo</t>
  </si>
  <si>
    <t>Diferencia de altura</t>
  </si>
  <si>
    <t>NI-MCPD-01</t>
  </si>
  <si>
    <t>Diferencia de altura (m)</t>
  </si>
  <si>
    <t>Fluido utilizado</t>
  </si>
  <si>
    <t>Aire</t>
  </si>
  <si>
    <t>Agua</t>
  </si>
  <si>
    <t>Division de escala (m)</t>
  </si>
  <si>
    <t>u(t)</t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</si>
  <si>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</si>
  <si>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</si>
  <si>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</si>
  <si>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</si>
  <si>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Histéresis del instrumento</t>
  </si>
  <si>
    <t>Influencia temperatura instrumeto</t>
  </si>
  <si>
    <t>% de intervalo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</si>
  <si>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</si>
  <si>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</si>
  <si>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</si>
  <si>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</si>
  <si>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</si>
  <si>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</si>
  <si>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</si>
  <si>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</si>
  <si>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</si>
  <si>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</si>
  <si>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</si>
  <si>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</si>
  <si>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</si>
  <si>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</si>
  <si>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t>k2=</t>
  </si>
  <si>
    <t>k3=</t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</si>
  <si>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</si>
  <si>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</si>
  <si>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</si>
  <si>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</si>
  <si>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</si>
  <si>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</si>
  <si>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</si>
  <si>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</si>
  <si>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</si>
  <si>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</si>
  <si>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</si>
  <si>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</si>
  <si>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</si>
  <si>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</si>
  <si>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</si>
  <si>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</si>
  <si>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</si>
  <si>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</si>
  <si>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</si>
  <si>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</si>
  <si>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</si>
  <si>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</si>
  <si>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Presión (kPa):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</si>
  <si>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</si>
  <si>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</si>
  <si>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</si>
  <si>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</si>
  <si>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</si>
  <si>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</si>
  <si>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</si>
  <si>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</si>
  <si>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</si>
  <si>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</si>
  <si>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</si>
  <si>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</si>
  <si>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</si>
  <si>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</si>
  <si>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</si>
  <si>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</si>
  <si>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</si>
  <si>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</si>
  <si>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</si>
  <si>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</si>
  <si>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</si>
  <si>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</si>
  <si>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</si>
  <si>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</si>
  <si>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</si>
  <si>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</si>
  <si>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 xml:space="preserve">Cinta métrica </t>
  </si>
  <si>
    <t>NI-MCPD-05</t>
  </si>
  <si>
    <t>201710-18-97-7</t>
  </si>
  <si>
    <t>Barómetro-Termohigrometro</t>
  </si>
  <si>
    <t>NI-MCPPT-06</t>
  </si>
  <si>
    <t>201710-18-97-8</t>
  </si>
  <si>
    <t>Laboratorio Metrocal (Metrología Consultores S.A)</t>
  </si>
  <si>
    <t>Laboratorio #2, Metrocal</t>
  </si>
  <si>
    <t>Calibrador de proceso</t>
  </si>
  <si>
    <t>El factor de conversión al SI corresponde a 1 bar = 100 kPa</t>
  </si>
  <si>
    <t>Iniciales</t>
  </si>
  <si>
    <t>Finales</t>
  </si>
  <si>
    <t>Presión</t>
  </si>
  <si>
    <t>%HR</t>
  </si>
  <si>
    <t>Temp (º C)</t>
  </si>
  <si>
    <t>Extech</t>
  </si>
  <si>
    <t>SCM Metrología y Laboratorios 20181106-28-2</t>
  </si>
  <si>
    <t>20181106-28-1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</si>
  <si>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</si>
  <si>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</si>
  <si>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</si>
  <si>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</si>
  <si>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</si>
  <si>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</si>
  <si>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</si>
  <si>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</si>
  <si>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</si>
  <si>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</si>
  <si>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</si>
  <si>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</si>
  <si>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</si>
  <si>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</si>
  <si>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</si>
  <si>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</si>
  <si>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</si>
  <si>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</si>
  <si>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</si>
  <si>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</si>
  <si>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</si>
  <si>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</si>
  <si>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</si>
  <si>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</si>
  <si>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t>El factor de conversión al SI corresponde a 1 mPa = 0,000001 kPa</t>
  </si>
  <si>
    <t>El factor de conversión al SI corresponde a 1 ftH₂O = 2,989 07 kPa</t>
  </si>
  <si>
    <t>El factor de conversión al SI corresponde a 1 mmH₂O = 0,0098 kPa</t>
  </si>
  <si>
    <t>El factor de conversión al SI corresponde a 1 cmH₂O = 0,098 kPa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</si>
  <si>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</si>
  <si>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</si>
  <si>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</si>
  <si>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El factor de conversión al SI corresponde a 1 kgf/cm² = 98,0665 kPa</t>
  </si>
  <si>
    <t>El factor de conversión al SI corresponde a 1 cmHg = 1,33322 kPa</t>
  </si>
  <si>
    <t>El factor de conversión al SI corresponde a 1 mH₂O = 9,8 kPa</t>
  </si>
  <si>
    <t>Rango</t>
  </si>
  <si>
    <t>Incertidumbre</t>
  </si>
  <si>
    <t>Valor Nominal</t>
  </si>
  <si>
    <t>Expresada como función</t>
  </si>
  <si>
    <t>Punto #</t>
  </si>
  <si>
    <t>CMC min</t>
  </si>
  <si>
    <t>Punto 1</t>
  </si>
  <si>
    <t>Punto 2</t>
  </si>
  <si>
    <t>Punto 3</t>
  </si>
  <si>
    <t>Punto 4</t>
  </si>
  <si>
    <t>Punto 5</t>
  </si>
  <si>
    <t>Punto 6</t>
  </si>
  <si>
    <t>Punto 7</t>
  </si>
  <si>
    <t>Punto 8</t>
  </si>
  <si>
    <t>Punto 9</t>
  </si>
  <si>
    <t>Punto 10</t>
  </si>
  <si>
    <t>CMC's Instrumentos de Presión</t>
  </si>
  <si>
    <t>min (kPa)</t>
  </si>
  <si>
    <t>max (kPa)</t>
  </si>
  <si>
    <t>CMC (kPa)</t>
  </si>
  <si>
    <t>CMC's Presión</t>
  </si>
  <si>
    <t>Todo en [kPa]</t>
  </si>
  <si>
    <t>27 a 33</t>
  </si>
  <si>
    <t>7 a 17</t>
  </si>
  <si>
    <t>0 psi a 100 psi</t>
  </si>
  <si>
    <t>0,50 %</t>
  </si>
  <si>
    <t>Pref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</si>
  <si>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</si>
  <si>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</si>
  <si>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</si>
  <si>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</si>
  <si>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SCM Metrología y Laboratorios 20190513-102-3</t>
  </si>
  <si>
    <t>SCM Metrología y Laboratorios 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</si>
  <si>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</si>
  <si>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</si>
  <si>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</si>
  <si>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</si>
  <si>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</si>
  <si>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kgf/cm²</t>
  </si>
  <si>
    <t>mmH₂O (4°C)</t>
  </si>
  <si>
    <t>cmH₂O (4°C)</t>
  </si>
  <si>
    <t>inH₂O (4°C)</t>
  </si>
  <si>
    <t>mH₂O (4°C)</t>
  </si>
  <si>
    <t>20190513-102-7</t>
  </si>
  <si>
    <t>20190819-28-40</t>
  </si>
  <si>
    <t>20170925-97-2</t>
  </si>
  <si>
    <t xml:space="preserve">Higrotermometro </t>
  </si>
  <si>
    <t>20181106-28-2</t>
  </si>
  <si>
    <t>20190513-102-3</t>
  </si>
  <si>
    <t>20190513-102-2</t>
  </si>
  <si>
    <t>Las pruebas se realizaron según NI-MCIT-P-01 Instrucción para calibración de instrumentos de presión.</t>
  </si>
  <si>
    <t>NI-MCPVE-16</t>
  </si>
  <si>
    <t>20191129-110-43</t>
  </si>
  <si>
    <t>20180625-48-1-2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</si>
  <si>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</si>
  <si>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</si>
  <si>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</si>
  <si>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</si>
  <si>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</si>
  <si>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</si>
  <si>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</si>
  <si>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</si>
  <si>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</si>
  <si>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</si>
  <si>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</si>
  <si>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</si>
  <si>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</si>
  <si>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</si>
  <si>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</si>
  <si>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</si>
  <si>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</si>
  <si>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</si>
  <si>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</si>
  <si>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</si>
  <si>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</si>
  <si>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</si>
  <si>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</si>
  <si>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</si>
  <si>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</si>
  <si>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</si>
  <si>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</si>
  <si>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</si>
  <si>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</si>
  <si>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</si>
  <si>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</si>
  <si>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</si>
  <si>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</si>
  <si>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</si>
  <si>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</si>
  <si>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</si>
  <si>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</si>
  <si>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</si>
  <si>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</si>
  <si>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</si>
  <si>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</si>
  <si>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</si>
  <si>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</si>
  <si>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</si>
  <si>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</si>
  <si>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</si>
  <si>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</si>
  <si>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</si>
  <si>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</si>
  <si>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</si>
  <si>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</si>
  <si>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</si>
  <si>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</si>
  <si>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</si>
  <si>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</si>
  <si>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</si>
  <si>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</si>
  <si>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</si>
  <si>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</si>
  <si>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</si>
  <si>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</si>
  <si>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</si>
  <si>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</si>
  <si>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</si>
  <si>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</si>
  <si>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</si>
  <si>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</si>
  <si>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</si>
  <si>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</si>
  <si>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Instituto Mechnikov S.A.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</si>
  <si>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</si>
  <si>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</si>
  <si>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</si>
  <si>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</si>
  <si>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</si>
  <si>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</si>
  <si>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</si>
  <si>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</si>
  <si>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</si>
  <si>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</si>
  <si>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</si>
  <si>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</si>
  <si>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</si>
  <si>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</si>
  <si>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</si>
  <si>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</si>
  <si>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</si>
  <si>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</si>
  <si>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</si>
  <si>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</si>
  <si>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</si>
  <si>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</si>
  <si>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</si>
  <si>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</si>
  <si>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</si>
  <si>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</si>
  <si>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</si>
  <si>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</si>
  <si>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</si>
  <si>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</si>
  <si>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</si>
  <si>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</si>
  <si>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</si>
  <si>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</si>
  <si>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</si>
  <si>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</si>
  <si>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</si>
  <si>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</si>
  <si>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</si>
  <si>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</si>
  <si>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</si>
  <si>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</si>
  <si>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</si>
  <si>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</si>
  <si>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</si>
  <si>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</si>
  <si>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</si>
  <si>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</si>
  <si>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</si>
  <si>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</si>
  <si>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</si>
  <si>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</si>
  <si>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</si>
  <si>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</si>
  <si>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</si>
  <si>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</si>
  <si>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</si>
  <si>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</si>
  <si>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</si>
  <si>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</si>
  <si>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</si>
  <si>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</si>
  <si>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</si>
  <si>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</si>
  <si>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</si>
  <si>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</si>
  <si>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f(kPa)= 6,9350E-03*(kPa) + 7,2933E-01</t>
  </si>
  <si>
    <t>f(kPa)= 3,4982E-04*(kPa) + 1,9987E-01</t>
  </si>
  <si>
    <t>f(kPa)=5,128E-04 * (kPa) + 3,112E+01</t>
  </si>
  <si>
    <t>f(kPa)= 2,3412E-04*(kPa) + 9,0003E+00</t>
  </si>
  <si>
    <t>-82,74 kPa a 0 kPa</t>
  </si>
  <si>
    <t>0 kPa a 699,75 kPa</t>
  </si>
  <si>
    <t>700 kPa a 7 000 kPa</t>
  </si>
  <si>
    <t>7001 kPa a 34 500 kPa</t>
  </si>
  <si>
    <t>f(kPa) = 3,4982E-04*(kPa) + 1,9987E-01</t>
  </si>
  <si>
    <t>f(kPa) = 6,9350E-03*(kPa) + 7,2933E-01</t>
  </si>
  <si>
    <t>f(kPa) = 5,128E-04 * (kPa) + 3,112E+01</t>
  </si>
  <si>
    <t>0,16 a 0,44</t>
  </si>
  <si>
    <t>0,17 a 0,39</t>
  </si>
  <si>
    <t>CMC's de presión en el alcance acreditado según anexo técnico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</si>
  <si>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</si>
  <si>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</si>
  <si>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</si>
  <si>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</si>
  <si>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</si>
  <si>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</si>
  <si>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</si>
  <si>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</si>
  <si>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</si>
  <si>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</si>
  <si>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</si>
  <si>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</si>
  <si>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</si>
  <si>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</si>
  <si>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</si>
  <si>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</si>
  <si>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</si>
  <si>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</si>
  <si>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</si>
  <si>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</si>
  <si>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</si>
  <si>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</si>
  <si>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</si>
  <si>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</si>
  <si>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</si>
  <si>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</si>
  <si>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</si>
  <si>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</si>
  <si>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</si>
  <si>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</si>
  <si>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</si>
  <si>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</si>
  <si>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</si>
  <si>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</si>
  <si>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</si>
  <si>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</si>
  <si>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</si>
  <si>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</si>
  <si>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</si>
  <si>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</si>
  <si>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</si>
  <si>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</si>
  <si>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</si>
  <si>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</si>
  <si>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</si>
  <si>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</si>
  <si>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</si>
  <si>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</si>
  <si>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</si>
  <si>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</si>
  <si>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</si>
  <si>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</si>
  <si>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</si>
  <si>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</si>
  <si>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</si>
  <si>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</si>
  <si>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</si>
  <si>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</si>
  <si>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</si>
  <si>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</si>
  <si>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</si>
  <si>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</si>
  <si>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</si>
  <si>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</si>
  <si>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</si>
  <si>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</si>
  <si>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</si>
  <si>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</si>
  <si>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</si>
  <si>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</si>
  <si>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</si>
  <si>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</si>
  <si>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</si>
  <si>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</si>
  <si>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</si>
  <si>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</si>
  <si>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</si>
  <si>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</si>
  <si>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</si>
  <si>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</si>
  <si>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</si>
  <si>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</si>
  <si>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</si>
  <si>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</si>
  <si>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</si>
  <si>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</si>
  <si>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</si>
  <si>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</si>
  <si>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</si>
  <si>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</si>
  <si>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</si>
  <si>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</si>
  <si>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</si>
  <si>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</si>
  <si>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</si>
  <si>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</si>
  <si>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</si>
  <si>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</si>
  <si>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</si>
  <si>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</si>
  <si>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</si>
  <si>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</si>
  <si>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</si>
  <si>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</si>
  <si>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</si>
  <si>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</si>
  <si>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</si>
  <si>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</si>
  <si>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</si>
  <si>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</si>
  <si>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</si>
  <si>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</si>
  <si>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</si>
  <si>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</si>
  <si>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</si>
  <si>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</si>
  <si>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</si>
  <si>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</si>
  <si>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</si>
  <si>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</si>
  <si>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</si>
  <si>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</si>
  <si>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</si>
  <si>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</si>
  <si>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</si>
  <si>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</si>
  <si>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</si>
  <si>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</si>
  <si>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</si>
  <si>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</si>
  <si>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</si>
  <si>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</si>
  <si>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</si>
  <si>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</si>
  <si>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</si>
  <si>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</si>
  <si>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</si>
  <si>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</si>
  <si>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</si>
  <si>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</si>
  <si>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</si>
  <si>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</si>
  <si>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</si>
  <si>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</si>
  <si>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</si>
  <si>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</si>
  <si>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</si>
  <si>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</si>
  <si>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</si>
  <si>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</si>
  <si>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</si>
  <si>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</si>
  <si>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</si>
  <si>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</si>
  <si>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</si>
  <si>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</si>
  <si>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</si>
  <si>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</si>
  <si>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</si>
  <si>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</si>
  <si>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</si>
  <si>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</si>
  <si>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</si>
  <si>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</si>
  <si>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</si>
  <si>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</si>
  <si>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</si>
  <si>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</si>
  <si>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</si>
  <si>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</si>
  <si>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</si>
  <si>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</si>
  <si>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</si>
  <si>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</si>
  <si>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</si>
  <si>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</si>
  <si>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</si>
  <si>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</si>
  <si>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</si>
  <si>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</si>
  <si>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</si>
  <si>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</si>
  <si>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</si>
  <si>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</si>
  <si>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</si>
  <si>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</si>
  <si>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</si>
  <si>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</si>
  <si>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</si>
  <si>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</si>
  <si>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</si>
  <si>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</si>
  <si>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</si>
  <si>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</si>
  <si>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</si>
  <si>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</si>
  <si>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</si>
  <si>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</si>
  <si>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</si>
  <si>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</si>
  <si>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</si>
  <si>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</si>
  <si>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</si>
  <si>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</si>
  <si>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</si>
  <si>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</si>
  <si>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</si>
  <si>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</si>
  <si>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</si>
  <si>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</si>
  <si>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</si>
  <si>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</si>
  <si>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</si>
  <si>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</si>
  <si>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</si>
  <si>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</si>
  <si>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</si>
  <si>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</si>
  <si>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</si>
  <si>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</si>
  <si>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</si>
  <si>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</si>
  <si>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</si>
  <si>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</si>
  <si>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</si>
  <si>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</si>
  <si>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</si>
  <si>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</si>
  <si>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</si>
  <si>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</si>
  <si>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</si>
  <si>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</si>
  <si>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</si>
  <si>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</si>
  <si>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</si>
  <si>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</si>
  <si>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</si>
  <si>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</si>
  <si>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</si>
  <si>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</si>
  <si>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</si>
  <si>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</si>
  <si>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</si>
  <si>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</si>
  <si>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</si>
  <si>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</si>
  <si>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</si>
  <si>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</si>
  <si>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</si>
  <si>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</si>
  <si>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</si>
  <si>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</si>
  <si>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</si>
  <si>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</si>
  <si>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</si>
  <si>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</si>
  <si>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</si>
  <si>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</si>
  <si>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</si>
  <si>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</si>
  <si>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</si>
  <si>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</si>
  <si>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</si>
  <si>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</si>
  <si>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</si>
  <si>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</si>
  <si>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</si>
  <si>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</si>
  <si>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</si>
  <si>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</si>
  <si>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</si>
  <si>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</si>
  <si>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</si>
  <si>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</si>
  <si>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</si>
  <si>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</si>
  <si>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</si>
  <si>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</si>
  <si>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</si>
  <si>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</si>
  <si>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</si>
  <si>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</si>
  <si>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</si>
  <si>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</si>
  <si>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</si>
  <si>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</si>
  <si>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</si>
  <si>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</si>
  <si>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</si>
  <si>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</si>
  <si>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</si>
  <si>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</si>
  <si>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</si>
  <si>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</si>
  <si>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</si>
  <si>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</si>
  <si>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</si>
  <si>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</si>
  <si>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</si>
  <si>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</si>
  <si>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</si>
  <si>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</si>
  <si>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</si>
  <si>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</si>
  <si>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</si>
  <si>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</si>
  <si>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</si>
  <si>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</si>
  <si>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</si>
  <si>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</si>
  <si>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</si>
  <si>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</si>
  <si>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</si>
  <si>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</si>
  <si>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</si>
  <si>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</si>
  <si>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</si>
  <si>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</si>
  <si>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</si>
  <si>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</si>
  <si>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</si>
  <si>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</si>
  <si>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</si>
  <si>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</si>
  <si>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</si>
  <si>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</si>
  <si>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</si>
  <si>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</si>
  <si>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</si>
  <si>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</si>
  <si>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</si>
  <si>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</si>
  <si>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</si>
  <si>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</si>
  <si>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</si>
  <si>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</si>
  <si>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</si>
  <si>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</si>
  <si>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</si>
  <si>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</si>
  <si>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</si>
  <si>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</si>
  <si>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</si>
  <si>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</si>
  <si>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</si>
  <si>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</si>
  <si>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</si>
  <si>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</si>
  <si>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</si>
  <si>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</si>
  <si>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</si>
  <si>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</si>
  <si>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</si>
  <si>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</si>
  <si>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</si>
  <si>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</si>
  <si>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</si>
  <si>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</si>
  <si>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</si>
  <si>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</si>
  <si>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</si>
  <si>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</si>
  <si>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</si>
  <si>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</si>
  <si>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</si>
  <si>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</si>
  <si>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</si>
  <si>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</si>
  <si>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</si>
  <si>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</si>
  <si>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</si>
  <si>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</si>
  <si>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</si>
  <si>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</si>
  <si>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</si>
  <si>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</si>
  <si>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</si>
  <si>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</si>
  <si>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</si>
  <si>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</si>
  <si>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</si>
  <si>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</si>
  <si>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</si>
  <si>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</si>
  <si>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</si>
  <si>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</si>
  <si>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</si>
  <si>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</si>
  <si>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</si>
  <si>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</si>
  <si>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</si>
  <si>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</si>
  <si>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</si>
  <si>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</si>
  <si>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</si>
  <si>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</si>
  <si>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</si>
  <si>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</si>
  <si>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</si>
  <si>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</si>
  <si>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</si>
  <si>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</si>
  <si>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</si>
  <si>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</si>
  <si>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</si>
  <si>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</si>
  <si>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</si>
  <si>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</si>
  <si>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</si>
  <si>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</si>
  <si>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</si>
  <si>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</si>
  <si>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</si>
  <si>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</si>
  <si>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</si>
  <si>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</si>
  <si>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</si>
  <si>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</si>
  <si>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</si>
  <si>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</si>
  <si>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</si>
  <si>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</si>
  <si>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</si>
  <si>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</si>
  <si>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</si>
  <si>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</si>
  <si>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</si>
  <si>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</si>
  <si>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</si>
  <si>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</si>
  <si>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</si>
  <si>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</si>
  <si>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</si>
  <si>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</si>
  <si>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</si>
  <si>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</si>
  <si>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</si>
  <si>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</si>
  <si>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</si>
  <si>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</si>
  <si>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</si>
  <si>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</si>
  <si>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</si>
  <si>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</si>
  <si>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</si>
  <si>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</si>
  <si>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</si>
  <si>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</si>
  <si>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</si>
  <si>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</si>
  <si>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</si>
  <si>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</si>
  <si>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</si>
  <si>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</si>
  <si>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</si>
  <si>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</si>
  <si>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</si>
  <si>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</si>
  <si>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</si>
  <si>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</si>
  <si>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</si>
  <si>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</si>
  <si>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</si>
  <si>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</si>
  <si>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</si>
  <si>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</si>
  <si>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</si>
  <si>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</si>
  <si>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</si>
  <si>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</si>
  <si>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</si>
  <si>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</si>
  <si>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</si>
  <si>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</si>
  <si>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</si>
  <si>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</si>
  <si>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</si>
  <si>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</si>
  <si>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</si>
  <si>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</si>
  <si>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</si>
  <si>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</si>
  <si>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</si>
  <si>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</si>
  <si>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</si>
  <si>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</si>
  <si>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</si>
  <si>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</si>
  <si>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</si>
  <si>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</si>
  <si>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</si>
  <si>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</si>
  <si>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</si>
  <si>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</si>
  <si>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</si>
  <si>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</si>
  <si>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</si>
  <si>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</si>
  <si>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</si>
  <si>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</si>
  <si>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</si>
  <si>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</si>
  <si>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</si>
  <si>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</si>
  <si>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</si>
  <si>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</si>
  <si>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</si>
  <si>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</si>
  <si>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</si>
  <si>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</si>
  <si>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</si>
  <si>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</si>
  <si>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</si>
  <si>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</si>
  <si>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</si>
  <si>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</si>
  <si>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SCM-00039462</t>
  </si>
  <si>
    <t>SCM-00039463</t>
  </si>
  <si>
    <t>SCM Metrología y Laboratorios SCM-00039467</t>
  </si>
  <si>
    <t>SCM Metrología y Laboratorios SCM-00039468</t>
  </si>
  <si>
    <t>SCM-00039468</t>
  </si>
  <si>
    <t>SCM-00039467</t>
  </si>
  <si>
    <t>Nombre del usuario</t>
  </si>
  <si>
    <t>Usuario</t>
  </si>
  <si>
    <t>Contrasena</t>
  </si>
  <si>
    <t>Ver</t>
  </si>
  <si>
    <t>Fredman A. Méndez</t>
  </si>
  <si>
    <t>Admin</t>
  </si>
  <si>
    <t>Alyihad1020</t>
  </si>
  <si>
    <t>Sheet1</t>
  </si>
  <si>
    <t>Luis Guevara</t>
  </si>
  <si>
    <t>TC1</t>
  </si>
  <si>
    <t>Metrocal2023</t>
  </si>
  <si>
    <t>Sheet2</t>
  </si>
  <si>
    <t>Ronald Zambrana</t>
  </si>
  <si>
    <t>TC2</t>
  </si>
  <si>
    <t>Joel Estrella</t>
  </si>
  <si>
    <t>TC3</t>
  </si>
  <si>
    <t>Sheet4</t>
  </si>
  <si>
    <t>Pablo Morales</t>
  </si>
  <si>
    <t>AT1</t>
  </si>
  <si>
    <t>20Metroc@l23</t>
  </si>
  <si>
    <t>Sheet5</t>
  </si>
  <si>
    <t xml:space="preserve">Maynor Bermudez </t>
  </si>
  <si>
    <t>AT2</t>
  </si>
  <si>
    <t>Sheet6</t>
  </si>
  <si>
    <t>Sheet7</t>
  </si>
  <si>
    <t>Sheet8</t>
  </si>
  <si>
    <t>Sheet9</t>
  </si>
  <si>
    <t>Sheet10</t>
  </si>
  <si>
    <t>Sheet11</t>
  </si>
  <si>
    <t>Sheet12</t>
  </si>
  <si>
    <t>Sheet13</t>
  </si>
  <si>
    <t>Sheet14</t>
  </si>
  <si>
    <t>Empresa</t>
  </si>
  <si>
    <t>Fecha</t>
  </si>
  <si>
    <t>NI-CS-</t>
  </si>
  <si>
    <t>Descripción dispositivo</t>
  </si>
  <si>
    <t>Fabricante/Marca</t>
  </si>
  <si>
    <t>No de serie</t>
  </si>
  <si>
    <t>Rango de medida</t>
  </si>
  <si>
    <t>Res. de escala</t>
  </si>
  <si>
    <t>T. A. (ºC):</t>
  </si>
  <si>
    <t>H R (%):</t>
  </si>
  <si>
    <t>P. A.(hPa):</t>
  </si>
  <si>
    <t>Equipo utilizado:</t>
  </si>
  <si>
    <t>Ciclo 1 (             )</t>
  </si>
  <si>
    <t>Ciclo 2 (             )</t>
  </si>
  <si>
    <t>Ciclo 3 (             )</t>
  </si>
  <si>
    <t>Ascendente</t>
  </si>
  <si>
    <t>Descendente</t>
  </si>
  <si>
    <t>NI-MCPP-</t>
  </si>
  <si>
    <t>REVISADO Y APROBADO</t>
  </si>
  <si>
    <t xml:space="preserve">EMITIÓ </t>
  </si>
  <si>
    <t xml:space="preserve">   FECHA</t>
  </si>
  <si>
    <t>AIVEPET Inspecciones Nicaragua, S.A</t>
  </si>
  <si>
    <t>Alfa Industrial, S.A</t>
  </si>
  <si>
    <t>Anatomic Solutions</t>
  </si>
  <si>
    <t>Bolsa de comercio S.A</t>
  </si>
  <si>
    <t>Borinquen, S.A</t>
  </si>
  <si>
    <t>Cooperativa de Producción Industrial Nicarao, R.L.</t>
  </si>
  <si>
    <t>Doselva, S.A</t>
  </si>
  <si>
    <t>GD MAQUILADOR DE NICARAGUA S.A</t>
  </si>
  <si>
    <t>Gildan Activewear Chinandega S.A</t>
  </si>
  <si>
    <t>Grupo Delpin Nicaragua, S.A</t>
  </si>
  <si>
    <t>Hansae International S.A</t>
  </si>
  <si>
    <t>Harley Moreno</t>
  </si>
  <si>
    <t>ICTSA CONSULTORES</t>
  </si>
  <si>
    <t>Ingenieria de Materiales y Pavimento</t>
  </si>
  <si>
    <t>INPESA</t>
  </si>
  <si>
    <t>Ingenieria de Calidad, S.A</t>
  </si>
  <si>
    <t>INELCON, S.A</t>
  </si>
  <si>
    <t>Josué Arauz</t>
  </si>
  <si>
    <t>Kuali prosis</t>
  </si>
  <si>
    <t>Lácteos la Norteña</t>
  </si>
  <si>
    <t>MANUQUINSA (H&amp;H Manufacturas Químicas y Servicios S.A.)</t>
  </si>
  <si>
    <t>Marsa, S.A</t>
  </si>
  <si>
    <t>MEDLAB</t>
  </si>
  <si>
    <t>Mombacho Cigars</t>
  </si>
  <si>
    <t>Mundotex de Nicaragua, S.A</t>
  </si>
  <si>
    <t>Mt Cargo Express Nicaragua, S.A</t>
  </si>
  <si>
    <t xml:space="preserve">Natalia Molina </t>
  </si>
  <si>
    <t>NIMAC</t>
  </si>
  <si>
    <t>PAME, S.A</t>
  </si>
  <si>
    <t>Plastimaq Nicaragua, S.A.</t>
  </si>
  <si>
    <t>Productos e Inversiones Industriales S.A</t>
  </si>
  <si>
    <t>Recicladora y Exportadores Cielo, S.A</t>
  </si>
  <si>
    <t>ARTURO JOSE CASTELLON LOTHROP </t>
  </si>
  <si>
    <t>Signature Apparel Group, S.A</t>
  </si>
  <si>
    <t xml:space="preserve">Transporte la Luz </t>
  </si>
  <si>
    <t>TRANSCARGO LTD</t>
  </si>
  <si>
    <t>WOOJOO TEXTIL NICARAGUA S.A</t>
  </si>
  <si>
    <t>Yolanda Eugenia Sevilla Luco</t>
  </si>
  <si>
    <t>EINS,S.A</t>
  </si>
  <si>
    <t>Reparto Las Palmas, del Banpro 2 cuadras al Norte, 1 Cuadra al Oeste y 0.5 cuadras al Sur, Casa #123, Managua, Nicaragua.</t>
  </si>
  <si>
    <t>De los semáforos de los rieles de Sabana Grande 2.1 km al sur 600 metros. Managua, Nicaragua</t>
  </si>
  <si>
    <t>Edificio Discover II, 2do piso, Módulo 2D, Villa Fontana, Managua Nicaragua.</t>
  </si>
  <si>
    <t>Sabana Grande, del puente Villa Sol 500 m al Sur-Oeste</t>
  </si>
  <si>
    <t>Km 179, carretera a Muy Muy, El Plomo, San Ramón, Matagalpa</t>
  </si>
  <si>
    <t>Carretera Panamericana Sur, Rivas, Nicaragua</t>
  </si>
  <si>
    <t>km 212.5 carretera hacia el Ayote. Santo Domingo, Chontales</t>
  </si>
  <si>
    <t>Granada, de Laboratorio Ceguel 300 metros carretera los malacos</t>
  </si>
  <si>
    <t>Km 19 ctra. Vieja Tipitapa. Tipitapa - Nicaragua</t>
  </si>
  <si>
    <t>KM 14.10 Carretera Norte, entrada a San Cristobal 626.50 metros al Sur</t>
  </si>
  <si>
    <t xml:space="preserve">km 124 Carretera a León, Chinandega   </t>
  </si>
  <si>
    <t>Semáforos Hospital Vivian Pellas 100 metros al Oeste. Managua-Reparto Elizabeth Casa #103</t>
  </si>
  <si>
    <t>Niquinohomo, Km. 53 carretera hacia Catarina, costado este del nuevo cementerio</t>
  </si>
  <si>
    <t>Terminar de la Ruta 118, 1 1/2 al sur, Managua</t>
  </si>
  <si>
    <t>Veracruz, Managua</t>
  </si>
  <si>
    <t>Del madroño 1 cuadra abajo, 2 al lago.</t>
  </si>
  <si>
    <t>De la rotonda de Bello Horizonte 1 c al este, 1 c al sur, 0.5 c al este, 1 c al sur, casa BIV40, Managua, Nicaragua</t>
  </si>
  <si>
    <t>Semaforos Colegio Americano, 100m oeste 600m norte, Managua Nicaragua</t>
  </si>
  <si>
    <t>Somoto</t>
  </si>
  <si>
    <t>Frente Iglesia el Calvario 75 varas abajo, Chinandega</t>
  </si>
  <si>
    <t xml:space="preserve">Jinotega </t>
  </si>
  <si>
    <t xml:space="preserve"> Km 8 carretera sur enfrente de los tanques de ENACAL</t>
  </si>
  <si>
    <t>De los semaforos del Jonathan González 20 mts al sur.</t>
  </si>
  <si>
    <t>Granada, Parque Sandino 1 c al Sur.</t>
  </si>
  <si>
    <t>Puente Desnivel Portezuelo 900 mts al Norte</t>
  </si>
  <si>
    <t>De los semaforos de la entrada a Sabana Grande 200mts al Este, mano derecha sobre la pista portón crema - Bodegas generales</t>
  </si>
  <si>
    <t>Nicaragua</t>
  </si>
  <si>
    <t>KM 7 1/2 Carretera Norte, Estación de servicio UNO , 150 metros al sur</t>
  </si>
  <si>
    <t>km 90.6 By Pass ½ KM al Este Carretera Comarca Chacraseca, León- Nicaragua</t>
  </si>
  <si>
    <t>km 15.5 Carretera vieja a Tipitapa 1400 mts al sur Camino a Cofradía, Tipitapa</t>
  </si>
  <si>
    <t>Km 17 Carretera Nueva a León Bodegas Grupo Prolacsa, 800 mts al Norte</t>
  </si>
  <si>
    <t>Km 45 Carretera la Boquita Carazo</t>
  </si>
  <si>
    <t>Cementerio milagro de Dios 4c Este. 1c al sur 2c este 1c sur 2c este</t>
  </si>
  <si>
    <t>Km 9 ½  carretera Nueva a Leon, Frente a Residencial Satelite de Asososca, Complejo de Bodegas Martinez</t>
  </si>
  <si>
    <t>Km 12.5 Carretera Norte, Zona Franca Industrial Las Mercedes, Módulo 33</t>
  </si>
  <si>
    <t>Catarina, Masaya</t>
  </si>
  <si>
    <t>Km 48 ½ carretera Masaya- Tipitapa</t>
  </si>
  <si>
    <t>NI-CS-0062-23</t>
  </si>
  <si>
    <t>SAJHJLF54564+SD</t>
  </si>
  <si>
    <t>Ashcroft</t>
  </si>
  <si>
    <t>asdfadfdfdssd</t>
  </si>
  <si>
    <t>asdfart547657</t>
  </si>
  <si>
    <t>Dif. de altura (m)</t>
  </si>
  <si>
    <t>Additel</t>
  </si>
  <si>
    <t>NI-MCPP-05</t>
  </si>
  <si>
    <t>Calibrador de manómetro de Precisión</t>
  </si>
  <si>
    <t>DT681-02-CP300PSI-N</t>
  </si>
  <si>
    <t>SCM-00039464</t>
  </si>
  <si>
    <t>Posición del Manómetro</t>
  </si>
  <si>
    <t>Horizontal</t>
  </si>
  <si>
    <t>Vertical</t>
  </si>
  <si>
    <t>Tipo de Manómetro</t>
  </si>
  <si>
    <t>Precargas</t>
  </si>
  <si>
    <t>Valor nominal</t>
  </si>
  <si>
    <t>Precarga #1</t>
  </si>
  <si>
    <t>Precarga #2</t>
  </si>
  <si>
    <t>NI-MCIT-P-01</t>
  </si>
  <si>
    <t>NI-MC-P-XXXX-2024</t>
  </si>
  <si>
    <r>
      <t>1.</t>
    </r>
    <r>
      <rPr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DEL CLIENTE</t>
    </r>
    <r>
      <rPr>
        <sz val="8"/>
        <color theme="1"/>
        <rFont val="Arial"/>
        <family val="2"/>
      </rPr>
      <t xml:space="preserve"> </t>
    </r>
  </si>
  <si>
    <r>
      <t>2.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INFORMACIÓN EQUIPO</t>
    </r>
  </si>
  <si>
    <r>
      <t>3.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CONDICIONES AMBIENTALES</t>
    </r>
  </si>
  <si>
    <r>
      <t>4.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PREVIOS</t>
    </r>
  </si>
  <si>
    <r>
      <t>5.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RESULTADOS DE LA CALIBRACIÓN</t>
    </r>
  </si>
  <si>
    <r>
      <t>6.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DEL METODO.</t>
    </r>
  </si>
  <si>
    <r>
      <t>7.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>DESCRIPCIÓN DE LOS PATRONES UTILIZADOS</t>
    </r>
  </si>
  <si>
    <r>
      <t>8.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OBSERVACIONES</t>
    </r>
  </si>
  <si>
    <r>
      <t>9.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 REALIZADO POR </t>
    </r>
  </si>
  <si>
    <r>
      <t>Firma</t>
    </r>
    <r>
      <rPr>
        <sz val="8"/>
        <color theme="1"/>
        <rFont val="Segoe UI Symbol"/>
        <family val="2"/>
      </rPr>
      <t>:</t>
    </r>
  </si>
  <si>
    <r>
      <t>10.</t>
    </r>
    <r>
      <rPr>
        <b/>
        <sz val="8"/>
        <color theme="1"/>
        <rFont val="Times New Roman"/>
        <family val="1"/>
      </rPr>
      <t xml:space="preserve">    </t>
    </r>
    <r>
      <rPr>
        <b/>
        <sz val="8"/>
        <color theme="1"/>
        <rFont val="Arial"/>
        <family val="2"/>
      </rPr>
      <t xml:space="preserve">NÚMERO DE CERTIFICADO </t>
    </r>
  </si>
  <si>
    <r>
      <t>Firma</t>
    </r>
    <r>
      <rPr>
        <sz val="10"/>
        <color theme="1"/>
        <rFont val="Segoe UI Symbol"/>
        <family val="2"/>
      </rPr>
      <t>:</t>
    </r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</si>
  <si>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</si>
  <si>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</si>
  <si>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</si>
  <si>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</si>
  <si>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</si>
  <si>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</si>
  <si>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</si>
  <si>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mH₂O (4</t>
    </r>
    <r>
      <rPr>
        <sz val="11"/>
        <color theme="1"/>
        <rFont val="Calibri"/>
        <family val="2"/>
      </rPr>
      <t>°C)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</si>
  <si>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</si>
  <si>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</si>
  <si>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</si>
  <si>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</si>
  <si>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</si>
  <si>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</si>
  <si>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</si>
  <si>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</si>
  <si>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mmH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</si>
  <si>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cmH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</si>
  <si>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</si>
  <si>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mH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(4</t>
    </r>
    <r>
      <rPr>
        <sz val="11"/>
        <color theme="1"/>
        <rFont val="Calibri"/>
        <family val="2"/>
      </rPr>
      <t>°C)</t>
    </r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</si>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</sst>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0.00000"/>
    <numFmt numFmtId="170" formatCode="#,##0.00000"/>
    <numFmt numFmtId="171" formatCode="0.0000000"/>
    <numFmt numFmtId="172" formatCode="0.000000000"/>
    <numFmt numFmtId="173" formatCode="#,##0.0"/>
  </numFmts>
  <fonts count="6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u/>
      <sz val="8"/>
      <color rgb="FFFF0000"/>
      <name val="Arial"/>
      <family val="2"/>
    </font>
    <font>
      <b/>
      <u/>
      <sz val="8"/>
      <color rgb="FFFF0000"/>
      <name val="Arial"/>
      <family val="2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color theme="1"/>
      <name val="Arial"/>
      <family val="2"/>
    </font>
    <font>
      <sz val="6"/>
      <color theme="1"/>
      <name val="Arial"/>
      <family val="2"/>
    </font>
    <font>
      <sz val="4"/>
      <color theme="1"/>
      <name val="Arial"/>
      <family val="2"/>
    </font>
    <font>
      <sz val="10"/>
      <color theme="1"/>
      <name val="Segoe UI Symbol"/>
      <family val="2"/>
    </font>
    <font>
      <u/>
      <sz val="10"/>
      <color rgb="FFFF0000"/>
      <name val="Arial"/>
      <family val="2"/>
    </font>
    <font>
      <sz val="8"/>
      <name val="Arial"/>
      <family val="2"/>
    </font>
    <font>
      <u/>
      <sz val="8"/>
      <name val="Arial"/>
      <family val="2"/>
    </font>
    <font>
      <u/>
      <sz val="7"/>
      <name val="Arial"/>
      <family val="2"/>
    </font>
    <font>
      <sz val="8"/>
      <color theme="1"/>
      <name val="Times New Roman"/>
      <family val="1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b/>
      <sz val="8"/>
      <color theme="1"/>
      <name val="Times New Roman"/>
      <family val="1"/>
    </font>
    <font>
      <sz val="7"/>
      <color theme="1"/>
      <name val="Arial"/>
      <family val="2"/>
    </font>
    <font>
      <sz val="8"/>
      <color theme="1"/>
      <name val="Segoe UI Symbol"/>
      <family val="2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84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3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4" fillId="14" borderId="10" xfId="0" applyFont="1" applyFill="1" applyBorder="1" applyAlignment="1">
      <alignment vertical="center" wrapText="1"/>
    </xf>
    <xf numFmtId="167" fontId="15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0" fillId="6" borderId="1" xfId="0" applyNumberFormat="1" applyFont="1" applyFill="1" applyBorder="1" applyAlignment="1">
      <alignment horizontal="center" vertical="center"/>
    </xf>
    <xf numFmtId="2" fontId="20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1" fontId="20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0" fillId="0" borderId="1" xfId="0" applyNumberFormat="1" applyFont="1" applyBorder="1" applyAlignment="1">
      <alignment horizontal="center" vertical="center"/>
    </xf>
    <xf numFmtId="0" fontId="25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0" fillId="0" borderId="1" xfId="0" applyNumberFormat="1" applyFont="1" applyBorder="1" applyAlignment="1">
      <alignment horizontal="center" vertical="center"/>
    </xf>
    <xf numFmtId="0" fontId="13" fillId="14" borderId="6" xfId="0" applyFont="1" applyFill="1" applyBorder="1" applyAlignment="1">
      <alignment horizontal="right" vertical="center" wrapText="1"/>
    </xf>
    <xf numFmtId="0" fontId="26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28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28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0" fillId="3" borderId="1" xfId="0" applyNumberFormat="1" applyFill="1" applyBorder="1" applyAlignment="1">
      <alignment vertical="center"/>
    </xf>
    <xf numFmtId="168" fontId="14" fillId="2" borderId="1" xfId="1" applyNumberFormat="1" applyFont="1" applyFill="1" applyBorder="1" applyAlignment="1" applyProtection="1">
      <alignment horizontal="right" vertical="center"/>
    </xf>
    <xf numFmtId="167" fontId="15" fillId="6" borderId="11" xfId="0" applyNumberFormat="1" applyFont="1" applyFill="1" applyBorder="1" applyAlignment="1">
      <alignment horizontal="right" vertical="center"/>
    </xf>
    <xf numFmtId="167" fontId="20" fillId="6" borderId="11" xfId="0" applyNumberFormat="1" applyFont="1" applyFill="1" applyBorder="1" applyAlignment="1">
      <alignment horizontal="right" vertical="center"/>
    </xf>
    <xf numFmtId="2" fontId="20" fillId="6" borderId="11" xfId="0" applyNumberFormat="1" applyFont="1" applyFill="1" applyBorder="1" applyAlignment="1">
      <alignment horizontal="right" vertical="center"/>
    </xf>
    <xf numFmtId="168" fontId="14" fillId="3" borderId="11" xfId="0" applyNumberFormat="1" applyFont="1" applyFill="1" applyBorder="1" applyAlignment="1">
      <alignment horizontal="right" vertical="center"/>
    </xf>
    <xf numFmtId="0" fontId="12" fillId="0" borderId="8" xfId="0" applyFont="1" applyBorder="1"/>
    <xf numFmtId="0" fontId="0" fillId="0" borderId="4" xfId="0" applyBorder="1"/>
    <xf numFmtId="0" fontId="12" fillId="0" borderId="9" xfId="0" applyFont="1" applyBorder="1"/>
    <xf numFmtId="0" fontId="12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2" fillId="0" borderId="1" xfId="0" applyFont="1" applyBorder="1"/>
    <xf numFmtId="0" fontId="12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2" fillId="3" borderId="0" xfId="0" applyFont="1" applyFill="1" applyAlignment="1">
      <alignment horizontal="right"/>
    </xf>
    <xf numFmtId="0" fontId="28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4" fillId="0" borderId="1" xfId="0" applyFont="1" applyBorder="1" applyAlignment="1">
      <alignment vertical="top"/>
    </xf>
    <xf numFmtId="165" fontId="34" fillId="0" borderId="1" xfId="0" applyNumberFormat="1" applyFont="1" applyBorder="1" applyAlignment="1">
      <alignment vertical="top"/>
    </xf>
    <xf numFmtId="164" fontId="34" fillId="0" borderId="8" xfId="0" applyNumberFormat="1" applyFont="1" applyBorder="1" applyAlignment="1">
      <alignment vertical="top"/>
    </xf>
    <xf numFmtId="0" fontId="34" fillId="0" borderId="8" xfId="0" applyFont="1" applyBorder="1" applyAlignment="1">
      <alignment vertical="top"/>
    </xf>
    <xf numFmtId="0" fontId="34" fillId="0" borderId="9" xfId="0" applyFont="1" applyBorder="1" applyAlignment="1">
      <alignment vertical="top"/>
    </xf>
    <xf numFmtId="0" fontId="34" fillId="0" borderId="10" xfId="0" applyFont="1" applyBorder="1"/>
    <xf numFmtId="164" fontId="34" fillId="0" borderId="1" xfId="0" applyNumberFormat="1" applyFont="1" applyBorder="1" applyAlignment="1">
      <alignment vertical="top"/>
    </xf>
    <xf numFmtId="0" fontId="34" fillId="0" borderId="9" xfId="0" applyFont="1" applyBorder="1" applyAlignment="1">
      <alignment horizontal="center" vertical="top"/>
    </xf>
    <xf numFmtId="0" fontId="34" fillId="0" borderId="10" xfId="0" applyFont="1" applyBorder="1" applyAlignment="1">
      <alignment horizontal="center" vertical="top"/>
    </xf>
    <xf numFmtId="0" fontId="0" fillId="0" borderId="10" xfId="0" applyBorder="1"/>
    <xf numFmtId="0" fontId="14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4" fillId="0" borderId="12" xfId="0" applyNumberFormat="1" applyFont="1" applyBorder="1" applyAlignment="1">
      <alignment vertical="center"/>
    </xf>
    <xf numFmtId="0" fontId="34" fillId="0" borderId="1" xfId="0" applyFont="1" applyBorder="1" applyAlignment="1">
      <alignment vertical="center"/>
    </xf>
    <xf numFmtId="164" fontId="34" fillId="0" borderId="1" xfId="0" applyNumberFormat="1" applyFont="1" applyBorder="1" applyAlignment="1">
      <alignment vertical="center"/>
    </xf>
    <xf numFmtId="0" fontId="34" fillId="0" borderId="12" xfId="0" applyFont="1" applyBorder="1" applyAlignment="1">
      <alignment vertical="center"/>
    </xf>
    <xf numFmtId="166" fontId="35" fillId="2" borderId="1" xfId="0" applyNumberFormat="1" applyFont="1" applyFill="1" applyBorder="1" applyAlignment="1">
      <alignment horizontal="center"/>
    </xf>
    <xf numFmtId="166" fontId="35" fillId="2" borderId="12" xfId="0" applyNumberFormat="1" applyFont="1" applyFill="1" applyBorder="1" applyAlignment="1">
      <alignment horizontal="center"/>
    </xf>
    <xf numFmtId="166" fontId="35" fillId="2" borderId="11" xfId="0" applyNumberFormat="1" applyFont="1" applyFill="1" applyBorder="1" applyAlignment="1">
      <alignment horizontal="center"/>
    </xf>
    <xf numFmtId="0" fontId="35" fillId="9" borderId="12" xfId="0" applyFont="1" applyFill="1" applyBorder="1" applyAlignment="1">
      <alignment horizontal="center" vertical="center" wrapText="1"/>
    </xf>
    <xf numFmtId="11" fontId="35" fillId="2" borderId="12" xfId="0" applyNumberFormat="1" applyFont="1" applyFill="1" applyBorder="1" applyAlignment="1">
      <alignment horizontal="center"/>
    </xf>
    <xf numFmtId="2" fontId="35" fillId="2" borderId="12" xfId="0" applyNumberFormat="1" applyFont="1" applyFill="1" applyBorder="1" applyAlignment="1">
      <alignment horizontal="center"/>
    </xf>
    <xf numFmtId="2" fontId="35" fillId="2" borderId="1" xfId="0" applyNumberFormat="1" applyFont="1" applyFill="1" applyBorder="1" applyAlignment="1">
      <alignment horizontal="center"/>
    </xf>
    <xf numFmtId="2" fontId="35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28" fillId="0" borderId="0" xfId="0" applyNumberFormat="1" applyFont="1" applyAlignment="1" applyProtection="1">
      <alignment horizontal="left" vertical="top"/>
      <protection locked="0"/>
    </xf>
    <xf numFmtId="49" fontId="28" fillId="3" borderId="1" xfId="0" applyNumberFormat="1" applyFont="1" applyFill="1" applyBorder="1" applyAlignment="1">
      <alignment horizontal="center" vertical="center"/>
    </xf>
    <xf numFmtId="0" fontId="34" fillId="0" borderId="4" xfId="0" applyFont="1" applyBorder="1" applyAlignment="1">
      <alignment vertical="center"/>
    </xf>
    <xf numFmtId="0" fontId="34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15" xfId="0" applyNumberFormat="1" applyBorder="1" applyAlignment="1">
      <alignment vertical="center"/>
    </xf>
    <xf numFmtId="0" fontId="35" fillId="0" borderId="10" xfId="0" applyFont="1" applyBorder="1" applyAlignment="1">
      <alignment vertical="center" wrapText="1"/>
    </xf>
    <xf numFmtId="0" fontId="35" fillId="0" borderId="13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5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6" fillId="2" borderId="13" xfId="0" applyNumberFormat="1" applyFont="1" applyFill="1" applyBorder="1" applyAlignment="1">
      <alignment vertical="center"/>
    </xf>
    <xf numFmtId="49" fontId="36" fillId="2" borderId="14" xfId="0" applyNumberFormat="1" applyFont="1" applyFill="1" applyBorder="1" applyAlignment="1">
      <alignment vertical="center"/>
    </xf>
    <xf numFmtId="0" fontId="36" fillId="2" borderId="13" xfId="0" applyFont="1" applyFill="1" applyBorder="1" applyAlignment="1">
      <alignment vertical="center"/>
    </xf>
    <xf numFmtId="0" fontId="36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28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5" fillId="6" borderId="11" xfId="0" applyNumberFormat="1" applyFont="1" applyFill="1" applyBorder="1" applyAlignment="1">
      <alignment horizontal="center" vertical="center"/>
    </xf>
    <xf numFmtId="1" fontId="20" fillId="6" borderId="1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38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28" fillId="7" borderId="0" xfId="0" applyFont="1" applyFill="1"/>
    <xf numFmtId="2" fontId="28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39" fillId="10" borderId="0" xfId="0" applyFont="1" applyFill="1" applyAlignment="1">
      <alignment horizontal="right"/>
    </xf>
    <xf numFmtId="0" fontId="39" fillId="10" borderId="0" xfId="0" applyFont="1" applyFill="1"/>
    <xf numFmtId="0" fontId="36" fillId="0" borderId="0" xfId="0" applyFont="1" applyAlignment="1">
      <alignment horizontal="center"/>
    </xf>
    <xf numFmtId="0" fontId="36" fillId="0" borderId="0" xfId="0" applyFont="1" applyAlignment="1">
      <alignment horizontal="center" vertical="center"/>
    </xf>
    <xf numFmtId="0" fontId="36" fillId="0" borderId="0" xfId="0" applyFont="1" applyProtection="1">
      <protection hidden="1"/>
    </xf>
    <xf numFmtId="0" fontId="36" fillId="0" borderId="0" xfId="0" applyFont="1" applyAlignment="1" applyProtection="1">
      <alignment horizontal="center"/>
      <protection hidden="1"/>
    </xf>
    <xf numFmtId="0" fontId="36" fillId="0" borderId="0" xfId="0" applyFont="1" applyAlignment="1" applyProtection="1">
      <alignment vertical="center"/>
      <protection hidden="1"/>
    </xf>
    <xf numFmtId="0" fontId="36" fillId="0" borderId="0" xfId="0" applyFont="1" applyAlignment="1" applyProtection="1">
      <alignment horizontal="center" vertical="center"/>
      <protection hidden="1"/>
    </xf>
    <xf numFmtId="0" fontId="41" fillId="0" borderId="0" xfId="0" applyFont="1" applyAlignment="1">
      <alignment horizontal="left" indent="1"/>
    </xf>
    <xf numFmtId="0" fontId="41" fillId="0" borderId="0" xfId="0" applyFont="1" applyAlignment="1">
      <alignment horizontal="left" indent="5"/>
    </xf>
    <xf numFmtId="0" fontId="41" fillId="0" borderId="0" xfId="0" applyFont="1" applyAlignment="1">
      <alignment horizontal="left" indent="3"/>
    </xf>
    <xf numFmtId="0" fontId="42" fillId="0" borderId="0" xfId="0" applyFont="1"/>
    <xf numFmtId="164" fontId="4" fillId="0" borderId="0" xfId="0" applyNumberFormat="1" applyFont="1"/>
    <xf numFmtId="0" fontId="41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41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167" fontId="0" fillId="2" borderId="19" xfId="0" applyNumberFormat="1" applyFill="1" applyBorder="1"/>
    <xf numFmtId="167" fontId="0" fillId="2" borderId="18" xfId="0" applyNumberFormat="1" applyFill="1" applyBorder="1"/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41" fillId="0" borderId="0" xfId="0" applyFont="1" applyAlignment="1">
      <alignment horizontal="left"/>
    </xf>
    <xf numFmtId="0" fontId="45" fillId="19" borderId="24" xfId="0" applyFont="1" applyFill="1" applyBorder="1" applyAlignment="1">
      <alignment horizontal="left" vertical="center"/>
    </xf>
    <xf numFmtId="0" fontId="46" fillId="0" borderId="0" xfId="0" applyFont="1" applyAlignment="1">
      <alignment horizontal="center" vertical="center" wrapText="1"/>
    </xf>
    <xf numFmtId="0" fontId="46" fillId="0" borderId="0" xfId="0" applyFont="1" applyAlignment="1">
      <alignment vertical="center" wrapText="1"/>
    </xf>
    <xf numFmtId="0" fontId="45" fillId="19" borderId="24" xfId="0" applyFont="1" applyFill="1" applyBorder="1" applyAlignment="1">
      <alignment horizontal="center" vertical="center"/>
    </xf>
    <xf numFmtId="0" fontId="47" fillId="0" borderId="0" xfId="0" applyFont="1" applyAlignment="1">
      <alignment horizontal="center" vertical="center" wrapText="1"/>
    </xf>
    <xf numFmtId="0" fontId="47" fillId="0" borderId="0" xfId="0" applyFont="1" applyAlignment="1">
      <alignment vertical="center" wrapText="1"/>
    </xf>
    <xf numFmtId="0" fontId="47" fillId="0" borderId="3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166" fontId="35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166" fontId="0" fillId="2" borderId="10" xfId="0" applyNumberFormat="1" applyFill="1" applyBorder="1" applyAlignment="1">
      <alignment vertical="center"/>
    </xf>
    <xf numFmtId="0" fontId="0" fillId="0" borderId="4" xfId="0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169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/>
    </xf>
    <xf numFmtId="0" fontId="49" fillId="0" borderId="0" xfId="0" applyFont="1"/>
    <xf numFmtId="0" fontId="50" fillId="22" borderId="0" xfId="0" applyFont="1" applyFill="1"/>
    <xf numFmtId="0" fontId="49" fillId="7" borderId="36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70" fontId="0" fillId="2" borderId="1" xfId="0" applyNumberFormat="1" applyFill="1" applyBorder="1" applyAlignment="1">
      <alignment horizontal="right" vertical="center"/>
    </xf>
    <xf numFmtId="0" fontId="50" fillId="0" borderId="0" xfId="0" applyFont="1" applyAlignment="1">
      <alignment vertical="center" wrapText="1"/>
    </xf>
    <xf numFmtId="2" fontId="0" fillId="2" borderId="18" xfId="0" applyNumberFormat="1" applyFill="1" applyBorder="1"/>
    <xf numFmtId="164" fontId="4" fillId="0" borderId="0" xfId="0" applyNumberFormat="1" applyFont="1" applyAlignment="1">
      <alignment horizontal="left"/>
    </xf>
    <xf numFmtId="167" fontId="14" fillId="0" borderId="0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171" fontId="14" fillId="2" borderId="1" xfId="1" applyNumberFormat="1" applyFont="1" applyFill="1" applyBorder="1" applyAlignment="1" applyProtection="1">
      <alignment horizontal="right" vertical="center"/>
    </xf>
    <xf numFmtId="172" fontId="14" fillId="2" borderId="1" xfId="1" applyNumberFormat="1" applyFont="1" applyFill="1" applyBorder="1" applyAlignment="1" applyProtection="1">
      <alignment horizontal="right" vertic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42" fillId="6" borderId="1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2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2" fontId="0" fillId="0" borderId="20" xfId="0" applyNumberFormat="1" applyBorder="1" applyAlignment="1">
      <alignment vertical="center"/>
    </xf>
    <xf numFmtId="2" fontId="35" fillId="0" borderId="1" xfId="0" applyNumberFormat="1" applyFont="1" applyBorder="1" applyAlignment="1">
      <alignment vertical="center"/>
    </xf>
    <xf numFmtId="0" fontId="8" fillId="25" borderId="0" xfId="0" applyFont="1" applyFill="1"/>
    <xf numFmtId="0" fontId="0" fillId="6" borderId="0" xfId="0" applyFill="1"/>
    <xf numFmtId="0" fontId="54" fillId="0" borderId="0" xfId="0" applyFont="1" applyAlignment="1">
      <alignment horizontal="justify" vertical="center"/>
    </xf>
    <xf numFmtId="0" fontId="55" fillId="0" borderId="0" xfId="0" applyFont="1" applyAlignment="1">
      <alignment horizontal="justify" vertical="center"/>
    </xf>
    <xf numFmtId="0" fontId="4" fillId="0" borderId="1" xfId="0" applyFont="1" applyBorder="1" applyAlignment="1">
      <alignment vertical="center" wrapText="1"/>
    </xf>
    <xf numFmtId="0" fontId="28" fillId="0" borderId="0" xfId="0" applyFont="1" applyAlignment="1" applyProtection="1">
      <alignment horizontal="left" vertical="top"/>
      <protection locked="0"/>
    </xf>
    <xf numFmtId="164" fontId="28" fillId="0" borderId="0" xfId="0" applyNumberFormat="1" applyFont="1" applyAlignment="1" applyProtection="1">
      <alignment horizontal="left" vertical="top"/>
      <protection locked="0"/>
    </xf>
    <xf numFmtId="2" fontId="0" fillId="0" borderId="3" xfId="0" applyNumberFormat="1" applyBorder="1"/>
    <xf numFmtId="2" fontId="0" fillId="0" borderId="6" xfId="0" applyNumberFormat="1" applyBorder="1"/>
    <xf numFmtId="0" fontId="58" fillId="0" borderId="0" xfId="0" applyFont="1" applyAlignment="1">
      <alignment horizontal="center" vertical="center" wrapText="1"/>
    </xf>
    <xf numFmtId="0" fontId="58" fillId="0" borderId="0" xfId="0" applyFont="1" applyAlignment="1">
      <alignment vertical="center" wrapText="1"/>
    </xf>
    <xf numFmtId="0" fontId="59" fillId="0" borderId="0" xfId="0" applyFont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59" fillId="0" borderId="1" xfId="0" applyFont="1" applyBorder="1" applyAlignment="1">
      <alignment horizontal="center" vertical="center" wrapText="1"/>
    </xf>
    <xf numFmtId="2" fontId="58" fillId="0" borderId="1" xfId="0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/>
    </xf>
    <xf numFmtId="0" fontId="53" fillId="0" borderId="1" xfId="0" applyFont="1" applyBorder="1" applyAlignment="1">
      <alignment vertical="center" wrapText="1"/>
    </xf>
    <xf numFmtId="0" fontId="62" fillId="0" borderId="0" xfId="0" applyFont="1" applyAlignment="1">
      <alignment horizontal="justify" vertical="center"/>
    </xf>
    <xf numFmtId="0" fontId="63" fillId="0" borderId="0" xfId="0" applyFont="1"/>
    <xf numFmtId="0" fontId="53" fillId="0" borderId="1" xfId="0" applyFont="1" applyBorder="1" applyAlignment="1">
      <alignment horizontal="center"/>
    </xf>
    <xf numFmtId="0" fontId="63" fillId="0" borderId="1" xfId="0" applyFont="1" applyBorder="1"/>
    <xf numFmtId="0" fontId="53" fillId="0" borderId="0" xfId="0" applyFont="1" applyAlignment="1">
      <alignment horizontal="justify" vertical="center"/>
    </xf>
    <xf numFmtId="0" fontId="51" fillId="0" borderId="0" xfId="0" applyFont="1"/>
    <xf numFmtId="0" fontId="65" fillId="0" borderId="38" xfId="0" applyFont="1" applyBorder="1" applyAlignment="1">
      <alignment horizontal="center" vertical="center" wrapText="1"/>
    </xf>
    <xf numFmtId="0" fontId="65" fillId="0" borderId="32" xfId="0" applyFont="1" applyBorder="1" applyAlignment="1">
      <alignment horizontal="center" vertical="center" wrapText="1"/>
    </xf>
    <xf numFmtId="2" fontId="65" fillId="0" borderId="38" xfId="0" applyNumberFormat="1" applyFont="1" applyBorder="1" applyAlignment="1">
      <alignment horizontal="center" vertical="center" wrapText="1"/>
    </xf>
    <xf numFmtId="2" fontId="65" fillId="0" borderId="32" xfId="0" applyNumberFormat="1" applyFont="1" applyBorder="1" applyAlignment="1">
      <alignment horizontal="center" vertical="center" wrapText="1"/>
    </xf>
    <xf numFmtId="0" fontId="53" fillId="0" borderId="0" xfId="0" applyFont="1" applyAlignment="1">
      <alignment vertical="center"/>
    </xf>
    <xf numFmtId="0" fontId="46" fillId="0" borderId="1" xfId="0" applyFont="1" applyBorder="1" applyAlignment="1">
      <alignment horizontal="right" vertical="center" wrapText="1"/>
    </xf>
    <xf numFmtId="0" fontId="46" fillId="0" borderId="1" xfId="0" applyFont="1" applyBorder="1" applyAlignment="1">
      <alignment vertical="center" wrapText="1"/>
    </xf>
    <xf numFmtId="2" fontId="0" fillId="0" borderId="9" xfId="0" applyNumberFormat="1" applyBorder="1"/>
    <xf numFmtId="2" fontId="0" fillId="0" borderId="10" xfId="0" applyNumberFormat="1" applyBorder="1"/>
    <xf numFmtId="0" fontId="0" fillId="0" borderId="1" xfId="0" applyBorder="1" applyAlignment="1">
      <alignment horizontal="center"/>
    </xf>
    <xf numFmtId="0" fontId="20" fillId="7" borderId="1" xfId="0" applyFont="1" applyFill="1" applyBorder="1" applyAlignment="1">
      <alignment horizontal="center" vertical="center"/>
    </xf>
    <xf numFmtId="0" fontId="0" fillId="7" borderId="5" xfId="0" applyFill="1" applyBorder="1"/>
    <xf numFmtId="0" fontId="14" fillId="12" borderId="9" xfId="0" applyFont="1" applyFill="1" applyBorder="1" applyAlignment="1">
      <alignment horizontal="left" vertical="center" wrapText="1"/>
    </xf>
    <xf numFmtId="0" fontId="14" fillId="12" borderId="9" xfId="0" applyFont="1" applyFill="1" applyBorder="1" applyAlignment="1">
      <alignment horizontal="right" vertical="center" wrapText="1"/>
    </xf>
    <xf numFmtId="0" fontId="14" fillId="14" borderId="1" xfId="0" applyFont="1" applyFill="1" applyBorder="1" applyAlignment="1">
      <alignment vertical="center" wrapText="1"/>
    </xf>
    <xf numFmtId="167" fontId="0" fillId="0" borderId="0" xfId="0" applyNumberFormat="1"/>
    <xf numFmtId="0" fontId="14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/>
    </xf>
    <xf numFmtId="173" fontId="4" fillId="0" borderId="0" xfId="0" applyNumberFormat="1" applyFont="1" applyAlignment="1">
      <alignment horizontal="center"/>
    </xf>
    <xf numFmtId="0" fontId="53" fillId="0" borderId="1" xfId="0" applyFont="1" applyBorder="1" applyAlignment="1">
      <alignment horizontal="center" vertical="center" wrapText="1"/>
    </xf>
    <xf numFmtId="0" fontId="53" fillId="0" borderId="1" xfId="0" applyFont="1" applyBorder="1" applyAlignment="1">
      <alignment horizontal="left" vertical="center"/>
    </xf>
    <xf numFmtId="0" fontId="53" fillId="0" borderId="0" xfId="0" applyFont="1" applyAlignment="1">
      <alignment horizontal="left" vertical="center"/>
    </xf>
    <xf numFmtId="0" fontId="53" fillId="0" borderId="1" xfId="0" applyFont="1" applyBorder="1" applyAlignment="1">
      <alignment horizontal="center" vertical="center"/>
    </xf>
    <xf numFmtId="0" fontId="53" fillId="0" borderId="1" xfId="0" applyFont="1" applyBorder="1" applyAlignment="1">
      <alignment horizontal="left" vertical="center" wrapText="1"/>
    </xf>
    <xf numFmtId="0" fontId="53" fillId="0" borderId="8" xfId="0" applyFont="1" applyBorder="1" applyAlignment="1">
      <alignment horizontal="center" vertical="center"/>
    </xf>
    <xf numFmtId="0" fontId="53" fillId="0" borderId="9" xfId="0" applyFont="1" applyBorder="1" applyAlignment="1">
      <alignment horizontal="center" vertical="center"/>
    </xf>
    <xf numFmtId="0" fontId="53" fillId="0" borderId="10" xfId="0" applyFont="1" applyBorder="1" applyAlignment="1">
      <alignment horizontal="center" vertical="center"/>
    </xf>
    <xf numFmtId="164" fontId="53" fillId="0" borderId="1" xfId="0" applyNumberFormat="1" applyFont="1" applyBorder="1" applyAlignment="1">
      <alignment horizontal="left" vertical="center" wrapText="1"/>
    </xf>
    <xf numFmtId="0" fontId="53" fillId="0" borderId="1" xfId="0" applyFont="1" applyBorder="1" applyAlignment="1">
      <alignment horizontal="center"/>
    </xf>
    <xf numFmtId="0" fontId="62" fillId="0" borderId="0" xfId="0" applyFont="1" applyAlignment="1">
      <alignment horizontal="left" vertical="center"/>
    </xf>
    <xf numFmtId="0" fontId="65" fillId="0" borderId="1" xfId="0" applyFont="1" applyBorder="1" applyAlignment="1">
      <alignment horizontal="center" vertical="center"/>
    </xf>
    <xf numFmtId="0" fontId="65" fillId="0" borderId="1" xfId="0" applyFont="1" applyBorder="1" applyAlignment="1">
      <alignment horizontal="center"/>
    </xf>
    <xf numFmtId="0" fontId="63" fillId="0" borderId="8" xfId="0" applyFont="1" applyBorder="1" applyAlignment="1">
      <alignment horizontal="center"/>
    </xf>
    <xf numFmtId="0" fontId="63" fillId="0" borderId="9" xfId="0" applyFont="1" applyBorder="1" applyAlignment="1">
      <alignment horizontal="center"/>
    </xf>
    <xf numFmtId="0" fontId="63" fillId="0" borderId="10" xfId="0" applyFont="1" applyBorder="1" applyAlignment="1">
      <alignment horizontal="center"/>
    </xf>
    <xf numFmtId="0" fontId="59" fillId="0" borderId="1" xfId="0" applyFont="1" applyBorder="1" applyAlignment="1">
      <alignment horizontal="center" vertical="center" wrapText="1"/>
    </xf>
    <xf numFmtId="0" fontId="58" fillId="0" borderId="8" xfId="0" applyFont="1" applyBorder="1" applyAlignment="1">
      <alignment horizontal="center" vertical="center" wrapText="1"/>
    </xf>
    <xf numFmtId="0" fontId="58" fillId="0" borderId="10" xfId="0" applyFont="1" applyBorder="1" applyAlignment="1">
      <alignment horizontal="center" vertical="center" wrapText="1"/>
    </xf>
    <xf numFmtId="0" fontId="59" fillId="0" borderId="2" xfId="0" applyFont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59" fillId="0" borderId="22" xfId="0" applyFont="1" applyBorder="1" applyAlignment="1">
      <alignment horizontal="center" vertical="center" wrapText="1"/>
    </xf>
    <xf numFmtId="0" fontId="59" fillId="0" borderId="23" xfId="0" applyFont="1" applyBorder="1" applyAlignment="1">
      <alignment horizontal="center" vertical="center" wrapText="1"/>
    </xf>
    <xf numFmtId="0" fontId="59" fillId="0" borderId="4" xfId="0" applyFont="1" applyBorder="1" applyAlignment="1">
      <alignment horizontal="center" vertical="center" wrapText="1"/>
    </xf>
    <xf numFmtId="0" fontId="59" fillId="0" borderId="7" xfId="0" applyFont="1" applyBorder="1" applyAlignment="1">
      <alignment horizontal="center" vertical="center" wrapText="1"/>
    </xf>
    <xf numFmtId="0" fontId="62" fillId="0" borderId="31" xfId="0" applyFont="1" applyBorder="1" applyAlignment="1">
      <alignment horizontal="left" vertical="center"/>
    </xf>
    <xf numFmtId="0" fontId="65" fillId="0" borderId="25" xfId="0" applyFont="1" applyBorder="1" applyAlignment="1">
      <alignment horizontal="center" vertical="center" wrapText="1"/>
    </xf>
    <xf numFmtId="0" fontId="65" fillId="0" borderId="26" xfId="0" applyFont="1" applyBorder="1" applyAlignment="1">
      <alignment horizontal="center" vertical="center" wrapText="1"/>
    </xf>
    <xf numFmtId="0" fontId="65" fillId="0" borderId="27" xfId="0" applyFont="1" applyBorder="1" applyAlignment="1">
      <alignment horizontal="center" vertical="center" wrapText="1"/>
    </xf>
    <xf numFmtId="0" fontId="53" fillId="0" borderId="0" xfId="0" applyFont="1" applyAlignment="1">
      <alignment horizontal="left" vertical="center" wrapText="1"/>
    </xf>
    <xf numFmtId="0" fontId="46" fillId="0" borderId="1" xfId="0" applyFont="1" applyBorder="1" applyAlignment="1">
      <alignment horizontal="left" vertical="center" wrapText="1"/>
    </xf>
    <xf numFmtId="0" fontId="44" fillId="0" borderId="1" xfId="0" applyFont="1" applyBorder="1" applyAlignment="1">
      <alignment horizontal="center" vertical="center"/>
    </xf>
    <xf numFmtId="0" fontId="62" fillId="0" borderId="5" xfId="0" applyFont="1" applyBorder="1" applyAlignment="1">
      <alignment horizontal="left" vertical="center"/>
    </xf>
    <xf numFmtId="0" fontId="62" fillId="0" borderId="0" xfId="0" applyFont="1" applyAlignment="1">
      <alignment horizontal="center" vertical="center"/>
    </xf>
    <xf numFmtId="0" fontId="57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47" fillId="0" borderId="4" xfId="0" applyFont="1" applyBorder="1" applyAlignment="1">
      <alignment horizontal="center" vertical="center" wrapText="1"/>
    </xf>
    <xf numFmtId="0" fontId="47" fillId="0" borderId="5" xfId="0" applyFont="1" applyBorder="1" applyAlignment="1">
      <alignment horizontal="center" vertical="center" wrapText="1"/>
    </xf>
    <xf numFmtId="0" fontId="47" fillId="0" borderId="2" xfId="0" applyFont="1" applyBorder="1" applyAlignment="1">
      <alignment horizontal="center" vertical="center" wrapText="1"/>
    </xf>
    <xf numFmtId="0" fontId="47" fillId="0" borderId="22" xfId="0" applyFont="1" applyBorder="1" applyAlignment="1">
      <alignment horizontal="center" vertical="center" wrapText="1"/>
    </xf>
    <xf numFmtId="0" fontId="47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173" fontId="4" fillId="0" borderId="8" xfId="0" applyNumberFormat="1" applyFont="1" applyBorder="1" applyAlignment="1">
      <alignment horizontal="center"/>
    </xf>
    <xf numFmtId="173" fontId="4" fillId="0" borderId="9" xfId="0" applyNumberFormat="1" applyFont="1" applyBorder="1" applyAlignment="1">
      <alignment horizontal="center"/>
    </xf>
    <xf numFmtId="173" fontId="4" fillId="0" borderId="10" xfId="0" applyNumberFormat="1" applyFont="1" applyBorder="1" applyAlignment="1">
      <alignment horizontal="center"/>
    </xf>
    <xf numFmtId="173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49" fontId="41" fillId="0" borderId="0" xfId="0" applyNumberFormat="1" applyFont="1" applyAlignment="1">
      <alignment horizontal="left"/>
    </xf>
    <xf numFmtId="0" fontId="41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left" vertical="top" wrapText="1"/>
    </xf>
    <xf numFmtId="0" fontId="41" fillId="0" borderId="1" xfId="0" applyFont="1" applyBorder="1" applyAlignment="1">
      <alignment horizontal="center"/>
    </xf>
    <xf numFmtId="0" fontId="41" fillId="0" borderId="1" xfId="0" applyFont="1" applyBorder="1" applyAlignment="1">
      <alignment horizontal="center" wrapText="1"/>
    </xf>
    <xf numFmtId="0" fontId="41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43" fillId="9" borderId="8" xfId="0" applyFont="1" applyFill="1" applyBorder="1" applyAlignment="1">
      <alignment horizontal="center" vertical="center"/>
    </xf>
    <xf numFmtId="0" fontId="43" fillId="9" borderId="9" xfId="0" applyFont="1" applyFill="1" applyBorder="1" applyAlignment="1">
      <alignment horizontal="center" vertical="center"/>
    </xf>
    <xf numFmtId="0" fontId="43" fillId="9" borderId="10" xfId="0" applyFont="1" applyFill="1" applyBorder="1" applyAlignment="1">
      <alignment horizontal="center" vertical="center"/>
    </xf>
    <xf numFmtId="164" fontId="43" fillId="9" borderId="8" xfId="0" applyNumberFormat="1" applyFont="1" applyFill="1" applyBorder="1" applyAlignment="1">
      <alignment horizontal="center" vertical="center"/>
    </xf>
    <xf numFmtId="164" fontId="43" fillId="9" borderId="9" xfId="0" applyNumberFormat="1" applyFont="1" applyFill="1" applyBorder="1" applyAlignment="1">
      <alignment horizontal="center" vertical="center"/>
    </xf>
    <xf numFmtId="164" fontId="43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4" fillId="6" borderId="8" xfId="0" applyFont="1" applyFill="1" applyBorder="1" applyAlignment="1">
      <alignment horizontal="center" vertical="center"/>
    </xf>
    <xf numFmtId="0" fontId="44" fillId="6" borderId="9" xfId="0" applyFont="1" applyFill="1" applyBorder="1" applyAlignment="1">
      <alignment horizontal="center" vertical="center"/>
    </xf>
    <xf numFmtId="0" fontId="44" fillId="6" borderId="10" xfId="0" applyFont="1" applyFill="1" applyBorder="1" applyAlignment="1">
      <alignment horizontal="center" vertical="center"/>
    </xf>
    <xf numFmtId="164" fontId="44" fillId="6" borderId="8" xfId="0" applyNumberFormat="1" applyFont="1" applyFill="1" applyBorder="1" applyAlignment="1">
      <alignment horizontal="center" vertical="center"/>
    </xf>
    <xf numFmtId="164" fontId="44" fillId="6" borderId="9" xfId="0" applyNumberFormat="1" applyFont="1" applyFill="1" applyBorder="1" applyAlignment="1">
      <alignment horizontal="center" vertical="center"/>
    </xf>
    <xf numFmtId="164" fontId="44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9" fillId="7" borderId="25" xfId="0" applyFont="1" applyFill="1" applyBorder="1" applyAlignment="1">
      <alignment horizontal="center" vertical="center"/>
    </xf>
    <xf numFmtId="0" fontId="49" fillId="7" borderId="27" xfId="0" applyFont="1" applyFill="1" applyBorder="1" applyAlignment="1">
      <alignment horizontal="center" vertical="center"/>
    </xf>
    <xf numFmtId="0" fontId="48" fillId="21" borderId="31" xfId="0" applyFont="1" applyFill="1" applyBorder="1" applyAlignment="1">
      <alignment horizontal="center" vertical="center"/>
    </xf>
    <xf numFmtId="0" fontId="49" fillId="7" borderId="26" xfId="0" applyFont="1" applyFill="1" applyBorder="1" applyAlignment="1">
      <alignment horizontal="center" vertical="center"/>
    </xf>
    <xf numFmtId="0" fontId="49" fillId="7" borderId="37" xfId="0" applyFont="1" applyFill="1" applyBorder="1" applyAlignment="1">
      <alignment horizontal="center" vertical="center"/>
    </xf>
    <xf numFmtId="0" fontId="49" fillId="7" borderId="38" xfId="0" applyFont="1" applyFill="1" applyBorder="1" applyAlignment="1">
      <alignment horizontal="center" vertical="center"/>
    </xf>
    <xf numFmtId="0" fontId="49" fillId="7" borderId="25" xfId="0" applyFont="1" applyFill="1" applyBorder="1" applyAlignment="1">
      <alignment horizontal="center" vertical="center" wrapText="1"/>
    </xf>
    <xf numFmtId="0" fontId="48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52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8" fillId="18" borderId="0" xfId="0" applyFont="1" applyFill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43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rgb="FF92D05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2"/>
      <tableStyleElement type="headerRow" dxfId="141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4.8124632546043163E-2"/>
                  <c:y val="0.2379252153887151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6448"/>
        <c:axId val="-82207536"/>
      </c:scatterChart>
      <c:valAx>
        <c:axId val="-82206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7536"/>
        <c:crosses val="autoZero"/>
        <c:crossBetween val="midCat"/>
      </c:valAx>
      <c:valAx>
        <c:axId val="-82207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6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5.2999999999999999E-2</c:v>
                </c:pt>
                <c:pt idx="1">
                  <c:v>5.2999999999999999E-2</c:v>
                </c:pt>
                <c:pt idx="2">
                  <c:v>6.9599999999999995E-2</c:v>
                </c:pt>
                <c:pt idx="3">
                  <c:v>7.5399999999999995E-2</c:v>
                </c:pt>
                <c:pt idx="4">
                  <c:v>7.5399999999999995E-2</c:v>
                </c:pt>
                <c:pt idx="5">
                  <c:v>0.13200000000000001</c:v>
                </c:pt>
                <c:pt idx="6">
                  <c:v>0.10879999999999999</c:v>
                </c:pt>
                <c:pt idx="7">
                  <c:v>0.21759999999999999</c:v>
                </c:pt>
                <c:pt idx="8">
                  <c:v>0.2321</c:v>
                </c:pt>
                <c:pt idx="9">
                  <c:v>0.29010000000000002</c:v>
                </c:pt>
                <c:pt idx="10">
                  <c:v>0.21759999999999999</c:v>
                </c:pt>
                <c:pt idx="11">
                  <c:v>0.2611</c:v>
                </c:pt>
                <c:pt idx="12">
                  <c:v>0.24660000000000001</c:v>
                </c:pt>
                <c:pt idx="13">
                  <c:v>0.24660000000000001</c:v>
                </c:pt>
                <c:pt idx="14">
                  <c:v>0.2611</c:v>
                </c:pt>
                <c:pt idx="15">
                  <c:v>0.1885</c:v>
                </c:pt>
                <c:pt idx="16">
                  <c:v>0.24660000000000001</c:v>
                </c:pt>
                <c:pt idx="17">
                  <c:v>0.27560000000000001</c:v>
                </c:pt>
                <c:pt idx="18">
                  <c:v>0.29010000000000002</c:v>
                </c:pt>
                <c:pt idx="19">
                  <c:v>0.27560000000000001</c:v>
                </c:pt>
                <c:pt idx="20">
                  <c:v>0.2611</c:v>
                </c:pt>
                <c:pt idx="21">
                  <c:v>0.30459999999999998</c:v>
                </c:pt>
                <c:pt idx="22">
                  <c:v>0.33360000000000001</c:v>
                </c:pt>
                <c:pt idx="23">
                  <c:v>0.33360000000000001</c:v>
                </c:pt>
                <c:pt idx="24">
                  <c:v>0.34810000000000002</c:v>
                </c:pt>
                <c:pt idx="25">
                  <c:v>5.2999999999999999E-2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202096"/>
        <c:axId val="-82209168"/>
      </c:scatterChart>
      <c:valAx>
        <c:axId val="-82202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9168"/>
        <c:crosses val="autoZero"/>
        <c:crossBetween val="midCat"/>
      </c:valAx>
      <c:valAx>
        <c:axId val="-82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2202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3648"/>
        <c:axId val="-1744475280"/>
      </c:scatterChart>
      <c:valAx>
        <c:axId val="-1744473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5280"/>
        <c:crosses val="autoZero"/>
        <c:crossBetween val="midCat"/>
      </c:valAx>
      <c:valAx>
        <c:axId val="-174447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3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14386433246200084"/>
                  <c:y val="0.2214501423954219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Patron'!$G$26:$G$43</c:f>
              <c:numCache>
                <c:formatCode>0.000</c:formatCode>
                <c:ptCount val="18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474736"/>
        <c:axId val="-1744476912"/>
      </c:scatterChart>
      <c:valAx>
        <c:axId val="-1744474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6912"/>
        <c:crosses val="autoZero"/>
        <c:crossBetween val="midCat"/>
      </c:valAx>
      <c:valAx>
        <c:axId val="-17444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4474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3936"/>
        <c:axId val="-1742736112"/>
      </c:scatterChart>
      <c:valAx>
        <c:axId val="-1742733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112"/>
        <c:crosses val="autoZero"/>
        <c:crossBetween val="midCat"/>
      </c:valAx>
      <c:valAx>
        <c:axId val="-174273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3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2736656"/>
        <c:axId val="-85083456"/>
      </c:scatterChart>
      <c:valAx>
        <c:axId val="-174273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3456"/>
        <c:crosses val="autoZero"/>
        <c:crossBetween val="midCat"/>
      </c:valAx>
      <c:valAx>
        <c:axId val="-85083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427366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0</c:v>
                </c:pt>
                <c:pt idx="1">
                  <c:v>59.9</c:v>
                </c:pt>
                <c:pt idx="2">
                  <c:v>79.91</c:v>
                </c:pt>
                <c:pt idx="3">
                  <c:v>100.06</c:v>
                </c:pt>
                <c:pt idx="4">
                  <c:v>159.97</c:v>
                </c:pt>
                <c:pt idx="5">
                  <c:v>199.99</c:v>
                </c:pt>
                <c:pt idx="6">
                  <c:v>299.91000000000003</c:v>
                </c:pt>
                <c:pt idx="7">
                  <c:v>399.95</c:v>
                </c:pt>
                <c:pt idx="8">
                  <c:v>499.87</c:v>
                </c:pt>
                <c:pt idx="9">
                  <c:v>599.77</c:v>
                </c:pt>
                <c:pt idx="10">
                  <c:v>699.79</c:v>
                </c:pt>
                <c:pt idx="11">
                  <c:v>799.68</c:v>
                </c:pt>
                <c:pt idx="12">
                  <c:v>899.75</c:v>
                </c:pt>
                <c:pt idx="13">
                  <c:v>899.74</c:v>
                </c:pt>
                <c:pt idx="14">
                  <c:v>799.66</c:v>
                </c:pt>
                <c:pt idx="15">
                  <c:v>699.76</c:v>
                </c:pt>
                <c:pt idx="16">
                  <c:v>599.75</c:v>
                </c:pt>
                <c:pt idx="17">
                  <c:v>499.84</c:v>
                </c:pt>
                <c:pt idx="18">
                  <c:v>399.95</c:v>
                </c:pt>
                <c:pt idx="19">
                  <c:v>299.91000000000003</c:v>
                </c:pt>
                <c:pt idx="20">
                  <c:v>199.99</c:v>
                </c:pt>
                <c:pt idx="21">
                  <c:v>159.97</c:v>
                </c:pt>
                <c:pt idx="22">
                  <c:v>100.09</c:v>
                </c:pt>
                <c:pt idx="23">
                  <c:v>79.930000000000007</c:v>
                </c:pt>
                <c:pt idx="24">
                  <c:v>59.92</c:v>
                </c:pt>
                <c:pt idx="25">
                  <c:v>0.03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-8.6999999999999994E-3</c:v>
                </c:pt>
                <c:pt idx="4">
                  <c:v>-4.4000000000000003E-3</c:v>
                </c:pt>
                <c:pt idx="5">
                  <c:v>-1.1599999999999999E-2</c:v>
                </c:pt>
                <c:pt idx="6">
                  <c:v>-2.47E-2</c:v>
                </c:pt>
                <c:pt idx="7">
                  <c:v>-5.8000000000000003E-2</c:v>
                </c:pt>
                <c:pt idx="8">
                  <c:v>-7.2499999999999995E-2</c:v>
                </c:pt>
                <c:pt idx="9">
                  <c:v>-0.10150000000000001</c:v>
                </c:pt>
                <c:pt idx="10">
                  <c:v>-0.1595</c:v>
                </c:pt>
                <c:pt idx="11">
                  <c:v>-0.2031</c:v>
                </c:pt>
                <c:pt idx="12">
                  <c:v>-0.2031</c:v>
                </c:pt>
                <c:pt idx="13">
                  <c:v>-0.21759999999999999</c:v>
                </c:pt>
                <c:pt idx="14">
                  <c:v>-0.21759999999999999</c:v>
                </c:pt>
                <c:pt idx="15">
                  <c:v>-0.1885</c:v>
                </c:pt>
                <c:pt idx="16">
                  <c:v>-0.1305</c:v>
                </c:pt>
                <c:pt idx="17">
                  <c:v>-0.10150000000000001</c:v>
                </c:pt>
                <c:pt idx="18">
                  <c:v>-5.8000000000000003E-2</c:v>
                </c:pt>
                <c:pt idx="19">
                  <c:v>-2.9000000000000001E-2</c:v>
                </c:pt>
                <c:pt idx="20">
                  <c:v>-1.4500000000000001E-2</c:v>
                </c:pt>
                <c:pt idx="21">
                  <c:v>0</c:v>
                </c:pt>
                <c:pt idx="22">
                  <c:v>1.4500000000000001E-2</c:v>
                </c:pt>
                <c:pt idx="23">
                  <c:v>1.4500000000000001E-2</c:v>
                </c:pt>
                <c:pt idx="24">
                  <c:v>2.9000000000000001E-2</c:v>
                </c:pt>
                <c:pt idx="25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60.05</c:v>
                </c:pt>
                <c:pt idx="2">
                  <c:v>80.010000000000005</c:v>
                </c:pt>
                <c:pt idx="3">
                  <c:v>99.09</c:v>
                </c:pt>
                <c:pt idx="4">
                  <c:v>160.04</c:v>
                </c:pt>
                <c:pt idx="5" formatCode="0.00">
                  <c:v>200.1</c:v>
                </c:pt>
                <c:pt idx="6">
                  <c:v>300.07</c:v>
                </c:pt>
                <c:pt idx="7">
                  <c:v>400.08</c:v>
                </c:pt>
                <c:pt idx="8">
                  <c:v>500.05</c:v>
                </c:pt>
                <c:pt idx="9">
                  <c:v>600.05999999999995</c:v>
                </c:pt>
                <c:pt idx="10">
                  <c:v>700.08</c:v>
                </c:pt>
                <c:pt idx="11">
                  <c:v>800.07</c:v>
                </c:pt>
                <c:pt idx="12">
                  <c:v>900.03</c:v>
                </c:pt>
                <c:pt idx="13">
                  <c:v>900.04</c:v>
                </c:pt>
                <c:pt idx="14">
                  <c:v>800.05</c:v>
                </c:pt>
                <c:pt idx="15">
                  <c:v>700.07</c:v>
                </c:pt>
                <c:pt idx="16">
                  <c:v>600.04999999999995</c:v>
                </c:pt>
                <c:pt idx="17">
                  <c:v>500.07</c:v>
                </c:pt>
                <c:pt idx="18">
                  <c:v>400.09</c:v>
                </c:pt>
                <c:pt idx="19" formatCode="0.00">
                  <c:v>300.10000000000002</c:v>
                </c:pt>
                <c:pt idx="20">
                  <c:v>200.09</c:v>
                </c:pt>
                <c:pt idx="21">
                  <c:v>160.07</c:v>
                </c:pt>
                <c:pt idx="22">
                  <c:v>100.11</c:v>
                </c:pt>
                <c:pt idx="23">
                  <c:v>80.06</c:v>
                </c:pt>
                <c:pt idx="24">
                  <c:v>60.05</c:v>
                </c:pt>
                <c:pt idx="25">
                  <c:v>0.03</c:v>
                </c:pt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  <c:pt idx="0" formatCode="0.00">
                  <c:v>0</c:v>
                </c:pt>
                <c:pt idx="1">
                  <c:v>0.05</c:v>
                </c:pt>
                <c:pt idx="2">
                  <c:v>0.01</c:v>
                </c:pt>
                <c:pt idx="3">
                  <c:v>0.01</c:v>
                </c:pt>
                <c:pt idx="4">
                  <c:v>0.04</c:v>
                </c:pt>
                <c:pt idx="5">
                  <c:v>0.09</c:v>
                </c:pt>
                <c:pt idx="6">
                  <c:v>7.0000000000000007E-2</c:v>
                </c:pt>
                <c:pt idx="7">
                  <c:v>0.08</c:v>
                </c:pt>
                <c:pt idx="8">
                  <c:v>0.05</c:v>
                </c:pt>
                <c:pt idx="9">
                  <c:v>7.0000000000000007E-2</c:v>
                </c:pt>
                <c:pt idx="10">
                  <c:v>0.03</c:v>
                </c:pt>
                <c:pt idx="11">
                  <c:v>7.0000000000000007E-2</c:v>
                </c:pt>
                <c:pt idx="12">
                  <c:v>0.03</c:v>
                </c:pt>
                <c:pt idx="13">
                  <c:v>-0.01</c:v>
                </c:pt>
                <c:pt idx="14">
                  <c:v>0.05</c:v>
                </c:pt>
                <c:pt idx="15">
                  <c:v>0.02</c:v>
                </c:pt>
                <c:pt idx="16">
                  <c:v>0.05</c:v>
                </c:pt>
                <c:pt idx="17">
                  <c:v>0.02</c:v>
                </c:pt>
                <c:pt idx="18">
                  <c:v>0.04</c:v>
                </c:pt>
                <c:pt idx="19">
                  <c:v>0.05</c:v>
                </c:pt>
                <c:pt idx="20">
                  <c:v>0.09</c:v>
                </c:pt>
                <c:pt idx="21">
                  <c:v>7.0000000000000007E-2</c:v>
                </c:pt>
                <c:pt idx="22">
                  <c:v>0.11</c:v>
                </c:pt>
                <c:pt idx="23">
                  <c:v>0.06</c:v>
                </c:pt>
                <c:pt idx="24">
                  <c:v>0.05</c:v>
                </c:pt>
                <c:pt idx="25">
                  <c:v>-0.12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5081280"/>
        <c:axId val="-85085632"/>
      </c:scatterChart>
      <c:valAx>
        <c:axId val="-8508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5632"/>
        <c:crosses val="autoZero"/>
        <c:crossBetween val="midCat"/>
      </c:valAx>
      <c:valAx>
        <c:axId val="-8508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850812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pn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pn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286920</xdr:colOff>
      <xdr:row>13</xdr:row>
      <xdr:rowOff>126996</xdr:rowOff>
    </xdr:from>
    <xdr:to>
      <xdr:col>5</xdr:col>
      <xdr:colOff>166344</xdr:colOff>
      <xdr:row>29</xdr:row>
      <xdr:rowOff>101000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79FDFFC6-741C-4825-A745-C10B53C631DE}"/>
            </a:ext>
          </a:extLst>
        </xdr:cNvPr>
        <xdr:cNvSpPr/>
      </xdr:nvSpPr>
      <xdr:spPr>
        <a:xfrm>
          <a:off x="286920" y="2504436"/>
          <a:ext cx="2927424" cy="290008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472440</xdr:colOff>
      <xdr:row>15</xdr:row>
      <xdr:rowOff>62450</xdr:rowOff>
    </xdr:from>
    <xdr:to>
      <xdr:col>3</xdr:col>
      <xdr:colOff>580963</xdr:colOff>
      <xdr:row>18</xdr:row>
      <xdr:rowOff>129540</xdr:rowOff>
    </xdr:to>
    <xdr:sp macro="[0]!AlAbrirLibro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72D1EAC2-BF09-463F-BEFD-91BAAF8DABDC}"/>
            </a:ext>
          </a:extLst>
        </xdr:cNvPr>
        <xdr:cNvSpPr/>
      </xdr:nvSpPr>
      <xdr:spPr>
        <a:xfrm>
          <a:off x="1082040" y="2805650"/>
          <a:ext cx="1327723" cy="61573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Técnico en</a:t>
          </a:r>
          <a:r>
            <a:rPr lang="en-US" sz="1200" b="1" baseline="0">
              <a:solidFill>
                <a:schemeClr val="bg1"/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Calibración</a:t>
          </a:r>
          <a:endParaRPr lang="en-US" sz="1200" b="1">
            <a:solidFill>
              <a:schemeClr val="bg1"/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>
    <xdr:from>
      <xdr:col>1</xdr:col>
      <xdr:colOff>436182</xdr:colOff>
      <xdr:row>20</xdr:row>
      <xdr:rowOff>5524</xdr:rowOff>
    </xdr:from>
    <xdr:to>
      <xdr:col>3</xdr:col>
      <xdr:colOff>579119</xdr:colOff>
      <xdr:row>23</xdr:row>
      <xdr:rowOff>91440</xdr:rowOff>
    </xdr:to>
    <xdr:sp macro="[0]!AlAbrirLibro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164F9DC1-6C3C-4671-93E1-2C945D8AC844}"/>
            </a:ext>
          </a:extLst>
        </xdr:cNvPr>
        <xdr:cNvSpPr/>
      </xdr:nvSpPr>
      <xdr:spPr>
        <a:xfrm>
          <a:off x="1045782" y="3663124"/>
          <a:ext cx="1362137" cy="634556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Asistente Técnico</a:t>
          </a:r>
        </a:p>
      </xdr:txBody>
    </xdr:sp>
    <xdr:clientData/>
  </xdr:twoCellAnchor>
  <xdr:twoCellAnchor>
    <xdr:from>
      <xdr:col>1</xdr:col>
      <xdr:colOff>436182</xdr:colOff>
      <xdr:row>24</xdr:row>
      <xdr:rowOff>131030</xdr:rowOff>
    </xdr:from>
    <xdr:to>
      <xdr:col>3</xdr:col>
      <xdr:colOff>571499</xdr:colOff>
      <xdr:row>28</xdr:row>
      <xdr:rowOff>30480</xdr:rowOff>
    </xdr:to>
    <xdr:sp macro="[0]!AlAbrirLibro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8060667D-504A-46CA-8923-38EF879CA3A2}"/>
            </a:ext>
          </a:extLst>
        </xdr:cNvPr>
        <xdr:cNvSpPr/>
      </xdr:nvSpPr>
      <xdr:spPr>
        <a:xfrm>
          <a:off x="1045782" y="4520150"/>
          <a:ext cx="1354517" cy="630970"/>
        </a:xfrm>
        <a:prstGeom prst="roundRect">
          <a:avLst/>
        </a:prstGeom>
        <a:solidFill>
          <a:srgbClr val="92D050"/>
        </a:solidFill>
        <a:ln/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200" b="1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Director</a:t>
          </a:r>
          <a:r>
            <a:rPr lang="en-US" sz="1200" b="1" baseline="0">
              <a:solidFill>
                <a:schemeClr val="bg1"/>
              </a:solidFill>
              <a:effectLst/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 Técnico</a:t>
          </a:r>
          <a:endParaRPr lang="en-US" sz="1200" b="1">
            <a:solidFill>
              <a:schemeClr val="bg1"/>
            </a:solidFill>
            <a:effectLst/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5</xdr:col>
      <xdr:colOff>527038</xdr:colOff>
      <xdr:row>11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90171D3-F8BC-485D-855F-ED0828D89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75038" cy="21031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536974" y="188702"/>
          <a:ext cx="1918637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640081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729318" y="1281953"/>
          <a:ext cx="2235798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719571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646140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701331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9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45643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48768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136854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6438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342370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86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255902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185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425674</xdr:colOff>
      <xdr:row>23</xdr:row>
      <xdr:rowOff>67234</xdr:rowOff>
    </xdr:from>
    <xdr:to>
      <xdr:col>22</xdr:col>
      <xdr:colOff>1472154</xdr:colOff>
      <xdr:row>42</xdr:row>
      <xdr:rowOff>28089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SI%20GF63\Desktop\REGXI\Metrocal-admin-backend\src\modules\mail\templates\excels\ni_mcit_p_01.xlsx" TargetMode="External"/><Relationship Id="rId1" Type="http://schemas.openxmlformats.org/officeDocument/2006/relationships/externalLinkPath" Target="ni_mcit_p_0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NI-R01-MCIT-P-01"/>
      <sheetName val="General"/>
      <sheetName val="Calibración"/>
      <sheetName val="kU(E)"/>
      <sheetName val="CMC Presión"/>
      <sheetName val="BD Patron"/>
      <sheetName val="BD Clientes"/>
      <sheetName val="DA Unid-kPa (5 ptos)"/>
      <sheetName val="Trazabilidad"/>
      <sheetName val="Datos Etiquetas"/>
    </sheetNames>
    <sheetDataSet>
      <sheetData sheetId="0" refreshError="1"/>
      <sheetData sheetId="1">
        <row r="6">
          <cell r="I6">
            <v>25</v>
          </cell>
        </row>
        <row r="7">
          <cell r="I7">
            <v>29</v>
          </cell>
        </row>
        <row r="8">
          <cell r="I8">
            <v>27</v>
          </cell>
        </row>
        <row r="13">
          <cell r="F13">
            <v>0</v>
          </cell>
          <cell r="I13">
            <v>64.166666666666657</v>
          </cell>
        </row>
        <row r="14">
          <cell r="F14">
            <v>100</v>
          </cell>
        </row>
        <row r="15">
          <cell r="F15">
            <v>0.5</v>
          </cell>
        </row>
        <row r="18">
          <cell r="I18">
            <v>1001</v>
          </cell>
        </row>
      </sheetData>
      <sheetData sheetId="2">
        <row r="4">
          <cell r="E4">
            <v>0.5</v>
          </cell>
          <cell r="M4">
            <v>0</v>
          </cell>
        </row>
        <row r="5">
          <cell r="M5" t="str">
            <v>Agua</v>
          </cell>
        </row>
        <row r="8">
          <cell r="D8">
            <v>1</v>
          </cell>
          <cell r="E8" t="str">
            <v>psi</v>
          </cell>
        </row>
        <row r="9">
          <cell r="E9">
            <v>1</v>
          </cell>
        </row>
        <row r="10">
          <cell r="E10">
            <v>2</v>
          </cell>
        </row>
        <row r="52">
          <cell r="V52">
            <v>14</v>
          </cell>
          <cell r="AB52">
            <v>15</v>
          </cell>
        </row>
      </sheetData>
      <sheetData sheetId="3">
        <row r="69">
          <cell r="G69">
            <v>4</v>
          </cell>
        </row>
        <row r="70">
          <cell r="G70">
            <v>2.87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113C141C-78B4-42B1-A496-2DD47CC59CD3}" name="Usuarios" displayName="Usuarios" ref="B1:C7" totalsRowShown="0" headerRowDxfId="140">
  <autoFilter ref="B1:C7" xr:uid="{113C141C-78B4-42B1-A496-2DD47CC59CD3}"/>
  <tableColumns count="2">
    <tableColumn id="1" xr3:uid="{770D5E18-4490-41C6-AF9B-9EE9446CF5C3}" name="Usuario"/>
    <tableColumn id="2" xr3:uid="{215111BB-2285-4B40-B0C0-61DBCEE8D8EF}" name="Contrase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131C125E-EE97-47EC-8F9D-23C8B59D9C1C}" name="Privilegios" displayName="Privilegios" ref="E1:F28" totalsRowShown="0" headerRowDxfId="139">
  <autoFilter ref="E1:F28" xr:uid="{131C125E-EE97-47EC-8F9D-23C8B59D9C1C}"/>
  <tableColumns count="2">
    <tableColumn id="1" xr3:uid="{1ED80D96-0B4B-4C91-B52B-AA891E96D6A5}" name="Ver"/>
    <tableColumn id="2" xr3:uid="{60288254-EA65-499F-AA6B-3A8966B679F5}" name="Usuario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38" dataDxfId="137">
  <tableColumns count="2">
    <tableColumn id="1" xr3:uid="{00000000-0010-0000-0000-000001000000}" name="Hoja de cálculo" dataDxfId="136"/>
    <tableColumn id="2" xr3:uid="{00000000-0010-0000-0000-000002000000}" name="Detalles" dataDxfId="135"/>
  </tableColumns>
  <tableStyleInfo name="TableStyleLight13" showFirstColumn="1" showLastColumn="0" showRowStripes="1" showColumnStripes="1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4" dataDxfId="133">
  <tableColumns count="2">
    <tableColumn id="1" xr3:uid="{00000000-0010-0000-0100-000001000000}" name="Certificado Presión" dataDxfId="132"/>
    <tableColumn id="2" xr3:uid="{00000000-0010-0000-0100-000002000000}" name="Detalles" dataDxfId="131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19" totalsRowShown="0" headerRowDxfId="130" dataDxfId="129">
  <tableColumns count="2">
    <tableColumn id="1" xr3:uid="{00000000-0010-0000-0200-000001000000}" name="Condiciones ambientales" dataDxfId="128"/>
    <tableColumn id="2" xr3:uid="{00000000-0010-0000-0200-000002000000}" name="Detalles" dataDxfId="127"/>
  </tableColumns>
  <tableStyleInfo name="TableStyleLight13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26" dataDxfId="125">
  <tableColumns count="2">
    <tableColumn id="1" xr3:uid="{00000000-0010-0000-0300-000001000000}" name="Cliente" dataDxfId="124"/>
    <tableColumn id="2" xr3:uid="{00000000-0010-0000-0300-000002000000}" name="Detalles" dataDxfId="123"/>
  </tableColumns>
  <tableStyleInfo name="TableStyleLight13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2" dataDxfId="120" headerRowBorderDxfId="121" tableBorderDxfId="119" totalsRowBorderDxfId="118">
  <tableColumns count="10">
    <tableColumn id="1" xr3:uid="{00000000-0010-0000-0400-000001000000}" name="#" dataDxfId="117"/>
    <tableColumn id="2" xr3:uid="{00000000-0010-0000-0400-000002000000}" name="Promedio Patrón" dataDxfId="116">
      <calculatedColumnFormula>IFERROR(AVERAGEIFS(C15:N15,OFFSET($C$15:$N$15,-1,0),"=Patrón",C15:N15,"&lt;&gt;0"),"")</calculatedColumnFormula>
    </tableColumn>
    <tableColumn id="5" xr3:uid="{00000000-0010-0000-0400-000005000000}" name="Corrección patrón" dataDxfId="115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4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3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2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1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0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09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08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8FB4535-47F7-42CA-804D-EF9EEFE1C4ED}" name="tblUcomun106" displayName="tblUcomun106" ref="B26:P37" totalsRowCount="1" headerRowDxfId="107" dataDxfId="105" totalsRowDxfId="103" headerRowBorderDxfId="106" tableBorderDxfId="104" totalsRowBorderDxfId="102">
  <tableColumns count="15">
    <tableColumn id="1" xr3:uid="{00000000-0010-0000-0500-000001000000}" name="Fuente de incertidumbre" totalsRowLabel="Contribuciones incert. combinada" dataDxfId="101" totalsRowDxfId="100"/>
    <tableColumn id="2" xr3:uid="{00000000-0010-0000-0500-000002000000}" name="Símbolo" dataDxfId="99" totalsRowDxfId="98"/>
    <tableColumn id="14" xr3:uid="{00000000-0010-0000-0500-00000E000000}" name="Distrib." dataDxfId="97" totalsRowDxfId="96"/>
    <tableColumn id="15" xr3:uid="{00000000-0010-0000-0500-00000F000000}" name="Divisor" dataDxfId="95" totalsRowDxfId="94"/>
    <tableColumn id="16" xr3:uid="{00000000-0010-0000-0500-000010000000}" name="Coef. ci" dataDxfId="93" totalsRowDxfId="92"/>
    <tableColumn id="4" xr3:uid="{00000000-0010-0000-0500-000004000000}" name="p1 (%)" totalsRowFunction="sum" dataDxfId="91" totalsRowDxfId="90">
      <calculatedColumnFormula>'kU(E)'!$G$9</calculatedColumnFormula>
    </tableColumn>
    <tableColumn id="5" xr3:uid="{00000000-0010-0000-0500-000005000000}" name="p2 (%)" totalsRowFunction="sum" dataDxfId="89" totalsRowDxfId="88">
      <calculatedColumnFormula array="1">IFERROR(ABS(H9)/SUM(ABS(#REF!)),0)</calculatedColumnFormula>
    </tableColumn>
    <tableColumn id="6" xr3:uid="{00000000-0010-0000-0500-000006000000}" name="p3 (%)" totalsRowFunction="sum" dataDxfId="87" totalsRowDxfId="86">
      <calculatedColumnFormula array="1">IFERROR(ABS(I9)/SUM(ABS(#REF!)),0)</calculatedColumnFormula>
    </tableColumn>
    <tableColumn id="7" xr3:uid="{00000000-0010-0000-0500-000007000000}" name="p4 (%)" totalsRowFunction="sum" dataDxfId="85" totalsRowDxfId="84">
      <calculatedColumnFormula array="1">IFERROR(ABS(J9)/SUM(ABS(#REF!)),0)</calculatedColumnFormula>
    </tableColumn>
    <tableColumn id="8" xr3:uid="{00000000-0010-0000-0500-000008000000}" name="p5 (%)" totalsRowFunction="sum" dataDxfId="83" totalsRowDxfId="82">
      <calculatedColumnFormula array="1">IFERROR(ABS(K9)/SUM(ABS(#REF!)),0)</calculatedColumnFormula>
    </tableColumn>
    <tableColumn id="9" xr3:uid="{00000000-0010-0000-0500-000009000000}" name="p6 (%)" totalsRowFunction="sum" dataDxfId="81" totalsRowDxfId="80">
      <calculatedColumnFormula array="1">IFERROR(ABS(L9)/SUM(ABS(#REF!)),0)</calculatedColumnFormula>
    </tableColumn>
    <tableColumn id="10" xr3:uid="{00000000-0010-0000-0500-00000A000000}" name="p7 (%)" totalsRowFunction="sum" dataDxfId="79" totalsRowDxfId="78">
      <calculatedColumnFormula array="1">IFERROR(ABS(M9)/SUM(ABS(#REF!)),0)</calculatedColumnFormula>
    </tableColumn>
    <tableColumn id="11" xr3:uid="{00000000-0010-0000-0500-00000B000000}" name="p8 (%)" totalsRowFunction="sum" dataDxfId="77" totalsRowDxfId="76">
      <calculatedColumnFormula array="1">IFERROR(ABS(N9)/SUM(ABS(#REF!)),0)</calculatedColumnFormula>
    </tableColumn>
    <tableColumn id="12" xr3:uid="{00000000-0010-0000-0500-00000C000000}" name="p9 (%)" totalsRowFunction="sum" dataDxfId="75" totalsRowDxfId="74">
      <calculatedColumnFormula array="1">IFERROR(ABS(O9)/SUM(ABS(#REF!)),0)</calculatedColumnFormula>
    </tableColumn>
    <tableColumn id="13" xr3:uid="{00000000-0010-0000-0500-00000D000000}" name="p10 (%)" totalsRowFunction="sum" dataDxfId="73" totalsRowDxfId="72">
      <calculatedColumnFormula array="1">IFERROR(ABS(P9)/SUM(ABS(#REF!)),0)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1" dataDxfId="69" headerRowBorderDxfId="70" tableBorderDxfId="68">
  <tableColumns count="22">
    <tableColumn id="1" xr3:uid="{00000000-0010-0000-0700-000001000000}" name="#" dataDxfId="67"/>
    <tableColumn id="2" xr3:uid="{00000000-0010-0000-0700-000002000000}" name="Código Patrón" dataDxfId="66"/>
    <tableColumn id="3" xr3:uid="{00000000-0010-0000-0700-000003000000}" name="Nombre" dataDxfId="65"/>
    <tableColumn id="4" xr3:uid="{00000000-0010-0000-0700-000004000000}" name="Marca" dataDxfId="64"/>
    <tableColumn id="5" xr3:uid="{00000000-0010-0000-0700-000005000000}" name="Modelo" dataDxfId="63"/>
    <tableColumn id="6" xr3:uid="{00000000-0010-0000-0700-000006000000}" name="Tipo de equipo" dataDxfId="62"/>
    <tableColumn id="7" xr3:uid="{00000000-0010-0000-0700-000007000000}" name="t min. funcionamiento" dataDxfId="61"/>
    <tableColumn id="8" xr3:uid="{00000000-0010-0000-0700-000008000000}" name="t max. funcionamiento" dataDxfId="60"/>
    <tableColumn id="9" xr3:uid="{00000000-0010-0000-0700-000009000000}" name="p min. [psi]" dataDxfId="59"/>
    <tableColumn id="10" xr3:uid="{00000000-0010-0000-0700-00000A000000}" name="p max. [psi]" dataDxfId="58"/>
    <tableColumn id="16" xr3:uid="{00000000-0010-0000-0700-000010000000}" name="min." dataDxfId="57"/>
    <tableColumn id="13" xr3:uid="{00000000-0010-0000-0700-00000D000000}" name="max." dataDxfId="56"/>
    <tableColumn id="17" xr3:uid="{00000000-0010-0000-0700-000011000000}" name="Resolución [kPa]" dataDxfId="55"/>
    <tableColumn id="21" xr3:uid="{00000000-0010-0000-0700-000015000000}" name="Resolución [psi]" dataDxfId="54"/>
    <tableColumn id="20" xr3:uid="{00000000-0010-0000-0700-000014000000}" name="Vacío" dataDxfId="53"/>
    <tableColumn id="19" xr3:uid="{00000000-0010-0000-0700-000013000000}" name="Presión positiva" dataDxfId="52"/>
    <tableColumn id="15" xr3:uid="{00000000-0010-0000-0700-00000F000000}" name="Coeficiente temp. % de medición [FS/°C]" dataDxfId="51"/>
    <tableColumn id="24" xr3:uid="{00000000-0010-0000-0700-000018000000}" name="t min. compensada" dataDxfId="50"/>
    <tableColumn id="25" xr3:uid="{00000000-0010-0000-0700-000019000000}" name="t max. compensada" dataDxfId="49"/>
    <tableColumn id="12" xr3:uid="{00000000-0010-0000-0700-00000C000000}" name="Fecha calib." dataDxfId="48"/>
    <tableColumn id="22" xr3:uid="{00000000-0010-0000-0700-000016000000}" name="Laboratorio" dataDxfId="47"/>
    <tableColumn id="23" xr3:uid="{00000000-0010-0000-0700-000017000000}" name="Certificado" dataDxfId="46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45" dataDxfId="43" headerRowBorderDxfId="44" tableBorderDxfId="42">
  <tableColumns count="10">
    <tableColumn id="1" xr3:uid="{00000000-0010-0000-0800-000001000000}" name="#" dataDxfId="41"/>
    <tableColumn id="2" xr3:uid="{00000000-0010-0000-0800-000002000000}" name="Código Patrón" dataDxfId="40"/>
    <tableColumn id="3" xr3:uid="{00000000-0010-0000-0800-000003000000}" name="Nombre" dataDxfId="39"/>
    <tableColumn id="4" xr3:uid="{00000000-0010-0000-0800-000004000000}" name="p calibr.act" dataDxfId="38"/>
    <tableColumn id="5" xr3:uid="{00000000-0010-0000-0800-000005000000}" name="Correccion.act" dataDxfId="37"/>
    <tableColumn id="6" xr3:uid="{00000000-0010-0000-0800-000006000000}" name="Certif.act U95 " dataDxfId="36"/>
    <tableColumn id="7" xr3:uid="{00000000-0010-0000-0800-000007000000}" name="p calibr.ant" dataDxfId="35"/>
    <tableColumn id="8" xr3:uid="{00000000-0010-0000-0800-000008000000}" name="Correccion.ant" dataDxfId="34"/>
    <tableColumn id="9" xr3:uid="{00000000-0010-0000-0800-000009000000}" name="Certif.ant U95 " dataDxfId="33"/>
    <tableColumn id="10" xr3:uid="{00000000-0010-0000-0800-00000A000000}" name="Deriva" dataDxfId="32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502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1"/>
    <tableColumn id="2" xr3:uid="{00000000-0010-0000-0900-000002000000}" name="Cliente" dataDxfId="30"/>
    <tableColumn id="3" xr3:uid="{00000000-0010-0000-0900-000003000000}" name="Dirección de la empresa" dataDxfId="29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6.xml"/><Relationship Id="rId4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5E7C6-7023-4ADE-B026-C220E5E787AD}">
  <sheetPr codeName="Sheet1"/>
  <dimension ref="A1:F28"/>
  <sheetViews>
    <sheetView workbookViewId="0">
      <selection activeCell="I28" sqref="I28:I29"/>
    </sheetView>
  </sheetViews>
  <sheetFormatPr baseColWidth="10" defaultColWidth="8.88671875" defaultRowHeight="14.4" x14ac:dyDescent="0.3"/>
  <cols>
    <col min="1" max="1" width="17.33203125" bestFit="1" customWidth="1"/>
    <col min="2" max="2" width="9.33203125" customWidth="1"/>
    <col min="3" max="3" width="13.33203125" bestFit="1" customWidth="1"/>
    <col min="6" max="6" width="9.33203125" customWidth="1"/>
  </cols>
  <sheetData>
    <row r="1" spans="1:6" x14ac:dyDescent="0.3">
      <c r="A1" s="308" t="s">
        <v>1180</v>
      </c>
      <c r="B1" s="308" t="s">
        <v>1181</v>
      </c>
      <c r="C1" s="308" t="s">
        <v>1182</v>
      </c>
      <c r="D1" s="308"/>
      <c r="E1" s="308" t="s">
        <v>1183</v>
      </c>
      <c r="F1" s="308" t="s">
        <v>1181</v>
      </c>
    </row>
    <row r="2" spans="1:6" x14ac:dyDescent="0.3">
      <c r="A2" t="s">
        <v>1184</v>
      </c>
      <c r="B2" t="s">
        <v>1185</v>
      </c>
      <c r="C2" t="s">
        <v>1186</v>
      </c>
      <c r="E2" t="s">
        <v>1187</v>
      </c>
      <c r="F2" t="s">
        <v>1185</v>
      </c>
    </row>
    <row r="3" spans="1:6" x14ac:dyDescent="0.3">
      <c r="A3" t="s">
        <v>1188</v>
      </c>
      <c r="B3" t="s">
        <v>1189</v>
      </c>
      <c r="C3" t="s">
        <v>1190</v>
      </c>
      <c r="E3" t="s">
        <v>1191</v>
      </c>
      <c r="F3" t="s">
        <v>1185</v>
      </c>
    </row>
    <row r="4" spans="1:6" x14ac:dyDescent="0.3">
      <c r="A4" t="s">
        <v>1192</v>
      </c>
      <c r="B4" t="s">
        <v>1193</v>
      </c>
      <c r="C4" t="s">
        <v>1190</v>
      </c>
      <c r="E4" t="s">
        <v>1211</v>
      </c>
      <c r="F4" t="s">
        <v>1185</v>
      </c>
    </row>
    <row r="5" spans="1:6" x14ac:dyDescent="0.3">
      <c r="A5" t="s">
        <v>1194</v>
      </c>
      <c r="B5" t="s">
        <v>1195</v>
      </c>
      <c r="C5" t="s">
        <v>1190</v>
      </c>
      <c r="E5" t="s">
        <v>1196</v>
      </c>
      <c r="F5" t="s">
        <v>1185</v>
      </c>
    </row>
    <row r="6" spans="1:6" x14ac:dyDescent="0.3">
      <c r="A6" t="s">
        <v>1197</v>
      </c>
      <c r="B6" t="s">
        <v>1198</v>
      </c>
      <c r="C6" t="s">
        <v>1199</v>
      </c>
      <c r="E6" t="s">
        <v>1200</v>
      </c>
      <c r="F6" t="s">
        <v>1185</v>
      </c>
    </row>
    <row r="7" spans="1:6" x14ac:dyDescent="0.3">
      <c r="A7" t="s">
        <v>1201</v>
      </c>
      <c r="B7" t="s">
        <v>1202</v>
      </c>
      <c r="C7" t="s">
        <v>1199</v>
      </c>
      <c r="E7" t="s">
        <v>1203</v>
      </c>
      <c r="F7" t="s">
        <v>1185</v>
      </c>
    </row>
    <row r="8" spans="1:6" x14ac:dyDescent="0.3">
      <c r="E8" t="s">
        <v>1204</v>
      </c>
      <c r="F8" t="s">
        <v>1185</v>
      </c>
    </row>
    <row r="9" spans="1:6" x14ac:dyDescent="0.3">
      <c r="E9" t="s">
        <v>1205</v>
      </c>
      <c r="F9" t="s">
        <v>1185</v>
      </c>
    </row>
    <row r="10" spans="1:6" x14ac:dyDescent="0.3">
      <c r="E10" t="s">
        <v>1206</v>
      </c>
      <c r="F10" t="s">
        <v>1185</v>
      </c>
    </row>
    <row r="11" spans="1:6" x14ac:dyDescent="0.3">
      <c r="E11" t="s">
        <v>1207</v>
      </c>
      <c r="F11" t="s">
        <v>1185</v>
      </c>
    </row>
    <row r="12" spans="1:6" x14ac:dyDescent="0.3">
      <c r="E12" t="s">
        <v>1208</v>
      </c>
      <c r="F12" t="s">
        <v>1185</v>
      </c>
    </row>
    <row r="13" spans="1:6" x14ac:dyDescent="0.3">
      <c r="E13" t="s">
        <v>1209</v>
      </c>
      <c r="F13" t="s">
        <v>1185</v>
      </c>
    </row>
    <row r="14" spans="1:6" x14ac:dyDescent="0.3">
      <c r="E14" t="s">
        <v>1210</v>
      </c>
      <c r="F14" t="s">
        <v>1185</v>
      </c>
    </row>
    <row r="15" spans="1:6" x14ac:dyDescent="0.3">
      <c r="E15" t="s">
        <v>1211</v>
      </c>
      <c r="F15" t="s">
        <v>1189</v>
      </c>
    </row>
    <row r="16" spans="1:6" x14ac:dyDescent="0.3">
      <c r="E16" t="s">
        <v>1211</v>
      </c>
      <c r="F16" t="s">
        <v>1193</v>
      </c>
    </row>
    <row r="17" spans="5:6" x14ac:dyDescent="0.3">
      <c r="E17" t="s">
        <v>1211</v>
      </c>
      <c r="F17" t="s">
        <v>1195</v>
      </c>
    </row>
    <row r="18" spans="5:6" x14ac:dyDescent="0.3">
      <c r="E18" t="s">
        <v>1191</v>
      </c>
      <c r="F18" t="s">
        <v>1198</v>
      </c>
    </row>
    <row r="19" spans="5:6" x14ac:dyDescent="0.3">
      <c r="E19" t="s">
        <v>1211</v>
      </c>
      <c r="F19" t="s">
        <v>1198</v>
      </c>
    </row>
    <row r="20" spans="5:6" x14ac:dyDescent="0.3">
      <c r="E20" t="s">
        <v>1196</v>
      </c>
      <c r="F20" t="s">
        <v>1198</v>
      </c>
    </row>
    <row r="21" spans="5:6" x14ac:dyDescent="0.3">
      <c r="E21" t="s">
        <v>1200</v>
      </c>
      <c r="F21" t="s">
        <v>1198</v>
      </c>
    </row>
    <row r="22" spans="5:6" x14ac:dyDescent="0.3">
      <c r="E22" t="s">
        <v>1203</v>
      </c>
      <c r="F22" t="s">
        <v>1198</v>
      </c>
    </row>
    <row r="23" spans="5:6" x14ac:dyDescent="0.3">
      <c r="E23" t="s">
        <v>1204</v>
      </c>
      <c r="F23" t="s">
        <v>1198</v>
      </c>
    </row>
    <row r="24" spans="5:6" x14ac:dyDescent="0.3">
      <c r="E24" t="s">
        <v>1205</v>
      </c>
      <c r="F24" t="s">
        <v>1198</v>
      </c>
    </row>
    <row r="25" spans="5:6" x14ac:dyDescent="0.3">
      <c r="E25" t="s">
        <v>1206</v>
      </c>
      <c r="F25" t="s">
        <v>1198</v>
      </c>
    </row>
    <row r="26" spans="5:6" x14ac:dyDescent="0.3">
      <c r="E26" t="s">
        <v>1207</v>
      </c>
      <c r="F26" t="s">
        <v>1198</v>
      </c>
    </row>
    <row r="27" spans="5:6" x14ac:dyDescent="0.3">
      <c r="E27" t="s">
        <v>1208</v>
      </c>
      <c r="F27" t="s">
        <v>1198</v>
      </c>
    </row>
    <row r="28" spans="5:6" x14ac:dyDescent="0.3">
      <c r="E28" t="s">
        <v>1210</v>
      </c>
      <c r="F28" t="s">
        <v>1198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13045-3BAE-44AF-A007-36F954B3324A}">
  <sheetPr codeName="Sheet2"/>
  <dimension ref="A1"/>
  <sheetViews>
    <sheetView topLeftCell="A7" workbookViewId="0">
      <selection activeCell="G18" sqref="G18"/>
    </sheetView>
  </sheetViews>
  <sheetFormatPr baseColWidth="10" defaultColWidth="8.88671875" defaultRowHeight="14.4" x14ac:dyDescent="0.3"/>
  <cols>
    <col min="1" max="16384" width="8.88671875" style="309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CBA79-E837-4A39-A6B3-620BCD6641FE}">
  <sheetPr codeName="Sheet14"/>
  <dimension ref="A4:L59"/>
  <sheetViews>
    <sheetView view="pageLayout" zoomScaleNormal="100" workbookViewId="0">
      <selection activeCell="E55" sqref="E55"/>
    </sheetView>
  </sheetViews>
  <sheetFormatPr baseColWidth="10" defaultColWidth="8.6640625" defaultRowHeight="14.4" x14ac:dyDescent="0.3"/>
  <cols>
    <col min="1" max="12" width="7.109375" customWidth="1"/>
  </cols>
  <sheetData>
    <row r="4" spans="1:11" ht="7.2" customHeight="1" x14ac:dyDescent="0.3"/>
    <row r="5" spans="1:11" x14ac:dyDescent="0.3">
      <c r="A5" s="354" t="s">
        <v>1330</v>
      </c>
      <c r="B5" s="354"/>
      <c r="C5" s="354"/>
      <c r="D5" s="354"/>
      <c r="E5" s="354"/>
      <c r="F5" s="354"/>
      <c r="G5" s="354"/>
      <c r="H5" s="354"/>
      <c r="I5" s="354"/>
    </row>
    <row r="6" spans="1:11" ht="12.6" customHeight="1" x14ac:dyDescent="0.3">
      <c r="A6" s="324" t="s">
        <v>1212</v>
      </c>
      <c r="B6" s="353" t="s">
        <v>518</v>
      </c>
      <c r="C6" s="353"/>
      <c r="D6" s="353"/>
      <c r="E6" s="353"/>
      <c r="F6" s="353"/>
      <c r="G6" s="353"/>
      <c r="H6" s="353"/>
      <c r="I6" s="325" t="s">
        <v>1213</v>
      </c>
      <c r="J6" s="360">
        <v>44965</v>
      </c>
      <c r="K6" s="360"/>
    </row>
    <row r="7" spans="1:11" ht="12" customHeight="1" x14ac:dyDescent="0.3">
      <c r="A7" s="355" t="s">
        <v>6</v>
      </c>
      <c r="B7" s="355"/>
      <c r="C7" s="353" t="s">
        <v>409</v>
      </c>
      <c r="D7" s="353"/>
      <c r="E7" s="353"/>
      <c r="F7" s="353"/>
      <c r="G7" s="353"/>
      <c r="H7" s="353"/>
      <c r="I7" s="325" t="s">
        <v>1214</v>
      </c>
      <c r="J7" s="356" t="s">
        <v>1309</v>
      </c>
      <c r="K7" s="356"/>
    </row>
    <row r="8" spans="1:11" ht="7.2" customHeight="1" x14ac:dyDescent="0.3">
      <c r="A8" s="326"/>
      <c r="B8" s="327"/>
      <c r="C8" s="327"/>
      <c r="D8" s="327"/>
      <c r="E8" s="327"/>
      <c r="F8" s="327"/>
      <c r="G8" s="327"/>
      <c r="H8" s="327"/>
      <c r="I8" s="327"/>
      <c r="J8" s="327"/>
      <c r="K8" s="327"/>
    </row>
    <row r="9" spans="1:11" x14ac:dyDescent="0.3">
      <c r="A9" s="354" t="s">
        <v>1331</v>
      </c>
      <c r="B9" s="354"/>
      <c r="C9" s="354"/>
      <c r="D9" s="354"/>
      <c r="E9" s="354"/>
      <c r="F9" s="354"/>
      <c r="G9" s="354"/>
      <c r="H9" s="354"/>
      <c r="I9" s="354"/>
      <c r="J9" s="327"/>
      <c r="K9" s="327"/>
    </row>
    <row r="10" spans="1:11" ht="10.8" customHeight="1" x14ac:dyDescent="0.3">
      <c r="A10" s="353" t="s">
        <v>1215</v>
      </c>
      <c r="B10" s="353"/>
      <c r="C10" s="353"/>
      <c r="D10" s="357" t="s">
        <v>241</v>
      </c>
      <c r="E10" s="358"/>
      <c r="F10" s="358"/>
      <c r="G10" s="356" t="s">
        <v>137</v>
      </c>
      <c r="H10" s="356"/>
      <c r="I10" s="357" t="s">
        <v>237</v>
      </c>
      <c r="J10" s="358"/>
      <c r="K10" s="359"/>
    </row>
    <row r="11" spans="1:11" ht="10.8" customHeight="1" x14ac:dyDescent="0.3">
      <c r="A11" s="353" t="s">
        <v>1216</v>
      </c>
      <c r="B11" s="353"/>
      <c r="C11" s="353"/>
      <c r="D11" s="361" t="s">
        <v>1311</v>
      </c>
      <c r="E11" s="361"/>
      <c r="F11" s="361"/>
      <c r="G11" s="356" t="s">
        <v>28</v>
      </c>
      <c r="H11" s="356"/>
      <c r="I11" s="352" t="s">
        <v>1312</v>
      </c>
      <c r="J11" s="352"/>
      <c r="K11" s="352"/>
    </row>
    <row r="12" spans="1:11" ht="10.8" customHeight="1" x14ac:dyDescent="0.3">
      <c r="A12" s="353" t="s">
        <v>1217</v>
      </c>
      <c r="B12" s="353"/>
      <c r="C12" s="353"/>
      <c r="D12" s="361" t="s">
        <v>1313</v>
      </c>
      <c r="E12" s="361"/>
      <c r="F12" s="361"/>
      <c r="G12" s="356" t="s">
        <v>4</v>
      </c>
      <c r="H12" s="356"/>
      <c r="I12" s="352" t="s">
        <v>1310</v>
      </c>
      <c r="J12" s="352"/>
      <c r="K12" s="352"/>
    </row>
    <row r="13" spans="1:11" ht="10.8" customHeight="1" x14ac:dyDescent="0.3">
      <c r="A13" s="353" t="s">
        <v>1218</v>
      </c>
      <c r="B13" s="353"/>
      <c r="C13" s="353"/>
      <c r="D13" s="361" t="s">
        <v>478</v>
      </c>
      <c r="E13" s="361"/>
      <c r="F13" s="361"/>
      <c r="G13" s="356" t="s">
        <v>1219</v>
      </c>
      <c r="H13" s="356"/>
      <c r="I13" s="352">
        <v>1</v>
      </c>
      <c r="J13" s="352"/>
      <c r="K13" s="352"/>
    </row>
    <row r="14" spans="1:11" ht="10.8" customHeight="1" x14ac:dyDescent="0.3">
      <c r="A14" s="353" t="s">
        <v>43</v>
      </c>
      <c r="B14" s="353"/>
      <c r="C14" s="353"/>
      <c r="D14" s="361">
        <v>0.5</v>
      </c>
      <c r="E14" s="361"/>
      <c r="F14" s="361"/>
      <c r="G14" s="356" t="s">
        <v>1314</v>
      </c>
      <c r="H14" s="356"/>
      <c r="I14" s="352">
        <v>0</v>
      </c>
      <c r="J14" s="352"/>
      <c r="K14" s="352"/>
    </row>
    <row r="15" spans="1:11" ht="10.8" customHeight="1" x14ac:dyDescent="0.3">
      <c r="A15" s="353" t="s">
        <v>287</v>
      </c>
      <c r="B15" s="353"/>
      <c r="C15" s="353"/>
      <c r="D15" s="361"/>
      <c r="E15" s="361"/>
      <c r="F15" s="361"/>
      <c r="G15" s="356" t="s">
        <v>235</v>
      </c>
      <c r="H15" s="356"/>
      <c r="I15" s="329"/>
      <c r="J15" s="325" t="s">
        <v>236</v>
      </c>
      <c r="K15" s="329"/>
    </row>
    <row r="16" spans="1:11" ht="10.8" customHeight="1" x14ac:dyDescent="0.3">
      <c r="A16" s="353" t="s">
        <v>1320</v>
      </c>
      <c r="B16" s="353"/>
      <c r="C16" s="353"/>
      <c r="D16" s="328" t="s">
        <v>1321</v>
      </c>
      <c r="E16" s="328"/>
      <c r="F16" s="328" t="s">
        <v>1322</v>
      </c>
      <c r="G16" s="356" t="s">
        <v>1323</v>
      </c>
      <c r="H16" s="356"/>
      <c r="I16" s="365"/>
      <c r="J16" s="366"/>
      <c r="K16" s="367"/>
    </row>
    <row r="17" spans="1:12" ht="3.6" customHeight="1" x14ac:dyDescent="0.3">
      <c r="A17" s="330"/>
      <c r="B17" s="327"/>
      <c r="C17" s="327"/>
      <c r="D17" s="327"/>
      <c r="E17" s="327"/>
      <c r="F17" s="327"/>
      <c r="G17" s="327"/>
      <c r="H17" s="327"/>
      <c r="I17" s="327"/>
      <c r="J17" s="327"/>
      <c r="K17" s="327"/>
    </row>
    <row r="18" spans="1:12" ht="11.4" customHeight="1" x14ac:dyDescent="0.3">
      <c r="A18" s="354" t="s">
        <v>1332</v>
      </c>
      <c r="B18" s="354"/>
      <c r="C18" s="354"/>
      <c r="D18" s="354"/>
      <c r="E18" s="354"/>
      <c r="F18" s="354"/>
      <c r="G18" s="354"/>
      <c r="H18" s="354"/>
      <c r="I18" s="354"/>
      <c r="J18" s="327"/>
      <c r="K18" s="327"/>
    </row>
    <row r="19" spans="1:12" ht="11.4" customHeight="1" x14ac:dyDescent="0.3">
      <c r="A19" s="317"/>
      <c r="B19" s="318"/>
      <c r="C19" s="319" t="s">
        <v>1220</v>
      </c>
      <c r="D19" s="319" t="s">
        <v>1221</v>
      </c>
      <c r="E19" s="317"/>
      <c r="F19" s="331"/>
      <c r="G19" s="331"/>
      <c r="H19" s="331"/>
      <c r="I19" s="320" t="s">
        <v>1222</v>
      </c>
      <c r="J19" s="331"/>
      <c r="K19" s="331"/>
      <c r="L19" s="327"/>
    </row>
    <row r="20" spans="1:12" ht="11.4" customHeight="1" x14ac:dyDescent="0.3">
      <c r="A20" s="368" t="s">
        <v>279</v>
      </c>
      <c r="B20" s="321" t="s">
        <v>412</v>
      </c>
      <c r="C20" s="322">
        <v>10</v>
      </c>
      <c r="D20" s="322">
        <v>12</v>
      </c>
      <c r="E20" s="369" t="s">
        <v>1223</v>
      </c>
      <c r="F20" s="370"/>
      <c r="G20" s="368" t="s">
        <v>279</v>
      </c>
      <c r="H20" s="321" t="s">
        <v>412</v>
      </c>
      <c r="I20" s="322">
        <v>10</v>
      </c>
      <c r="J20" s="369" t="s">
        <v>1223</v>
      </c>
      <c r="K20" s="370"/>
      <c r="L20" s="327"/>
    </row>
    <row r="21" spans="1:12" ht="11.4" customHeight="1" x14ac:dyDescent="0.3">
      <c r="A21" s="368"/>
      <c r="B21" s="321" t="s">
        <v>413</v>
      </c>
      <c r="C21" s="322">
        <v>11</v>
      </c>
      <c r="D21" s="322">
        <v>13</v>
      </c>
      <c r="E21" s="371" t="s">
        <v>107</v>
      </c>
      <c r="F21" s="372"/>
      <c r="G21" s="368"/>
      <c r="H21" s="321" t="s">
        <v>413</v>
      </c>
      <c r="I21" s="322">
        <v>11</v>
      </c>
      <c r="J21" s="371" t="s">
        <v>406</v>
      </c>
      <c r="K21" s="372"/>
      <c r="L21" s="327"/>
    </row>
    <row r="22" spans="1:12" ht="11.4" customHeight="1" x14ac:dyDescent="0.3">
      <c r="A22" s="368" t="s">
        <v>278</v>
      </c>
      <c r="B22" s="321" t="s">
        <v>412</v>
      </c>
      <c r="C22" s="322">
        <v>11</v>
      </c>
      <c r="D22" s="322">
        <v>13</v>
      </c>
      <c r="E22" s="373"/>
      <c r="F22" s="374"/>
      <c r="G22" s="368" t="s">
        <v>278</v>
      </c>
      <c r="H22" s="321" t="s">
        <v>412</v>
      </c>
      <c r="I22" s="322">
        <v>10</v>
      </c>
      <c r="J22" s="373"/>
      <c r="K22" s="374"/>
      <c r="L22" s="327"/>
    </row>
    <row r="23" spans="1:12" ht="11.4" customHeight="1" x14ac:dyDescent="0.3">
      <c r="A23" s="368"/>
      <c r="B23" s="321" t="s">
        <v>413</v>
      </c>
      <c r="C23" s="322">
        <v>15</v>
      </c>
      <c r="D23" s="322">
        <v>16</v>
      </c>
      <c r="E23" s="373"/>
      <c r="F23" s="374"/>
      <c r="G23" s="368"/>
      <c r="H23" s="321" t="s">
        <v>413</v>
      </c>
      <c r="I23" s="322">
        <v>12</v>
      </c>
      <c r="J23" s="373"/>
      <c r="K23" s="374"/>
      <c r="L23" s="327"/>
    </row>
    <row r="24" spans="1:12" ht="11.4" customHeight="1" x14ac:dyDescent="0.3">
      <c r="A24" s="368" t="s">
        <v>280</v>
      </c>
      <c r="B24" s="321" t="s">
        <v>412</v>
      </c>
      <c r="C24" s="322">
        <v>11</v>
      </c>
      <c r="D24" s="322">
        <v>10</v>
      </c>
      <c r="E24" s="373"/>
      <c r="F24" s="374"/>
      <c r="G24" s="368" t="s">
        <v>280</v>
      </c>
      <c r="H24" s="321" t="s">
        <v>412</v>
      </c>
      <c r="I24" s="322">
        <v>40</v>
      </c>
      <c r="J24" s="373"/>
      <c r="K24" s="374"/>
      <c r="L24" s="327"/>
    </row>
    <row r="25" spans="1:12" ht="12" customHeight="1" x14ac:dyDescent="0.3">
      <c r="A25" s="368"/>
      <c r="B25" s="321" t="s">
        <v>413</v>
      </c>
      <c r="C25" s="322">
        <v>59</v>
      </c>
      <c r="D25" s="322">
        <v>9</v>
      </c>
      <c r="E25" s="375"/>
      <c r="F25" s="376"/>
      <c r="G25" s="368"/>
      <c r="H25" s="321" t="s">
        <v>413</v>
      </c>
      <c r="I25" s="322">
        <v>12</v>
      </c>
      <c r="J25" s="375"/>
      <c r="K25" s="376"/>
      <c r="L25" s="327"/>
    </row>
    <row r="26" spans="1:12" ht="6" customHeight="1" x14ac:dyDescent="0.3">
      <c r="A26" s="310"/>
    </row>
    <row r="27" spans="1:12" ht="12.9" customHeight="1" x14ac:dyDescent="0.3">
      <c r="A27" s="362" t="s">
        <v>1333</v>
      </c>
      <c r="B27" s="362"/>
      <c r="C27" s="362"/>
      <c r="D27" s="362"/>
      <c r="E27" s="362"/>
      <c r="F27" s="362"/>
      <c r="G27" s="362"/>
      <c r="H27" s="362"/>
      <c r="I27" s="362"/>
    </row>
    <row r="28" spans="1:12" ht="12.9" customHeight="1" x14ac:dyDescent="0.3">
      <c r="A28" s="363" t="s">
        <v>1324</v>
      </c>
      <c r="B28" s="363"/>
      <c r="C28" s="363"/>
      <c r="D28" s="364" t="s">
        <v>1325</v>
      </c>
      <c r="E28" s="364"/>
      <c r="F28" s="364"/>
      <c r="G28" s="364"/>
      <c r="H28" s="364" t="s">
        <v>386</v>
      </c>
      <c r="I28" s="364"/>
      <c r="J28" s="364"/>
      <c r="K28" s="364"/>
    </row>
    <row r="29" spans="1:12" ht="12.9" customHeight="1" x14ac:dyDescent="0.3">
      <c r="A29" s="363" t="s">
        <v>1326</v>
      </c>
      <c r="B29" s="363"/>
      <c r="C29" s="363"/>
      <c r="D29" s="364"/>
      <c r="E29" s="364"/>
      <c r="F29" s="364"/>
      <c r="G29" s="364"/>
      <c r="H29" s="364"/>
      <c r="I29" s="364"/>
      <c r="J29" s="364"/>
      <c r="K29" s="364"/>
    </row>
    <row r="30" spans="1:12" ht="12.9" customHeight="1" x14ac:dyDescent="0.3">
      <c r="A30" s="363" t="s">
        <v>1327</v>
      </c>
      <c r="B30" s="363"/>
      <c r="C30" s="363"/>
      <c r="D30" s="364"/>
      <c r="E30" s="364"/>
      <c r="F30" s="364"/>
      <c r="G30" s="364"/>
      <c r="H30" s="364"/>
      <c r="I30" s="364"/>
      <c r="J30" s="364"/>
      <c r="K30" s="364"/>
    </row>
    <row r="31" spans="1:12" ht="4.2" customHeight="1" x14ac:dyDescent="0.3">
      <c r="A31" s="310"/>
    </row>
    <row r="32" spans="1:12" ht="12.9" customHeight="1" thickBot="1" x14ac:dyDescent="0.35">
      <c r="A32" s="377" t="s">
        <v>1334</v>
      </c>
      <c r="B32" s="377"/>
      <c r="C32" s="377"/>
      <c r="D32" s="377"/>
      <c r="E32" s="377"/>
      <c r="F32" s="377"/>
      <c r="G32" s="377"/>
      <c r="H32" s="377"/>
      <c r="I32" s="377"/>
    </row>
    <row r="33" spans="1:12" ht="12.9" customHeight="1" thickBot="1" x14ac:dyDescent="0.35">
      <c r="A33" s="378" t="s">
        <v>1224</v>
      </c>
      <c r="B33" s="379"/>
      <c r="C33" s="379"/>
      <c r="D33" s="380"/>
      <c r="E33" s="378" t="s">
        <v>1225</v>
      </c>
      <c r="F33" s="379"/>
      <c r="G33" s="379"/>
      <c r="H33" s="380"/>
      <c r="I33" s="378" t="s">
        <v>1226</v>
      </c>
      <c r="J33" s="379"/>
      <c r="K33" s="379"/>
      <c r="L33" s="380"/>
    </row>
    <row r="34" spans="1:12" ht="12.9" customHeight="1" thickBot="1" x14ac:dyDescent="0.35">
      <c r="A34" s="378" t="s">
        <v>1227</v>
      </c>
      <c r="B34" s="380"/>
      <c r="C34" s="378" t="s">
        <v>1228</v>
      </c>
      <c r="D34" s="380"/>
      <c r="E34" s="378" t="s">
        <v>1227</v>
      </c>
      <c r="F34" s="380"/>
      <c r="G34" s="378" t="s">
        <v>1228</v>
      </c>
      <c r="H34" s="380"/>
      <c r="I34" s="378" t="s">
        <v>1227</v>
      </c>
      <c r="J34" s="380"/>
      <c r="K34" s="378" t="s">
        <v>1228</v>
      </c>
      <c r="L34" s="380"/>
    </row>
    <row r="35" spans="1:12" ht="12.9" customHeight="1" thickBot="1" x14ac:dyDescent="0.35">
      <c r="A35" s="332" t="s">
        <v>121</v>
      </c>
      <c r="B35" s="333" t="s">
        <v>98</v>
      </c>
      <c r="C35" s="333" t="s">
        <v>121</v>
      </c>
      <c r="D35" s="333" t="s">
        <v>98</v>
      </c>
      <c r="E35" s="333" t="s">
        <v>121</v>
      </c>
      <c r="F35" s="333" t="s">
        <v>98</v>
      </c>
      <c r="G35" s="333" t="s">
        <v>121</v>
      </c>
      <c r="H35" s="333" t="s">
        <v>98</v>
      </c>
      <c r="I35" s="333" t="s">
        <v>121</v>
      </c>
      <c r="J35" s="333" t="s">
        <v>98</v>
      </c>
      <c r="K35" s="333" t="s">
        <v>121</v>
      </c>
      <c r="L35" s="333" t="s">
        <v>98</v>
      </c>
    </row>
    <row r="36" spans="1:12" ht="11.4" customHeight="1" thickBot="1" x14ac:dyDescent="0.35">
      <c r="A36" s="334">
        <v>10.01</v>
      </c>
      <c r="B36" s="335">
        <v>10</v>
      </c>
      <c r="C36" s="335">
        <v>10.01</v>
      </c>
      <c r="D36" s="335">
        <v>10</v>
      </c>
      <c r="E36" s="335">
        <v>10.01</v>
      </c>
      <c r="F36" s="335">
        <v>10</v>
      </c>
      <c r="G36" s="335">
        <v>10.01</v>
      </c>
      <c r="H36" s="335">
        <v>10</v>
      </c>
      <c r="I36" s="335">
        <v>10.01</v>
      </c>
      <c r="J36" s="335">
        <v>10</v>
      </c>
      <c r="K36" s="335">
        <v>10.01</v>
      </c>
      <c r="L36" s="335">
        <v>10</v>
      </c>
    </row>
    <row r="37" spans="1:12" ht="11.4" customHeight="1" thickBot="1" x14ac:dyDescent="0.35">
      <c r="A37" s="334">
        <v>20.02</v>
      </c>
      <c r="B37" s="335">
        <v>20</v>
      </c>
      <c r="C37" s="335">
        <v>20.02</v>
      </c>
      <c r="D37" s="335">
        <v>20</v>
      </c>
      <c r="E37" s="335">
        <v>20.02</v>
      </c>
      <c r="F37" s="335">
        <v>20</v>
      </c>
      <c r="G37" s="335">
        <v>20.02</v>
      </c>
      <c r="H37" s="335">
        <v>20</v>
      </c>
      <c r="I37" s="335">
        <v>20.02</v>
      </c>
      <c r="J37" s="335">
        <v>20</v>
      </c>
      <c r="K37" s="335">
        <v>20.02</v>
      </c>
      <c r="L37" s="335">
        <v>20</v>
      </c>
    </row>
    <row r="38" spans="1:12" ht="11.4" customHeight="1" thickBot="1" x14ac:dyDescent="0.35">
      <c r="A38" s="334">
        <v>30.01</v>
      </c>
      <c r="B38" s="335">
        <v>30</v>
      </c>
      <c r="C38" s="335">
        <v>30.01</v>
      </c>
      <c r="D38" s="335">
        <v>30</v>
      </c>
      <c r="E38" s="335">
        <v>30.01</v>
      </c>
      <c r="F38" s="335">
        <v>30</v>
      </c>
      <c r="G38" s="335">
        <v>30.01</v>
      </c>
      <c r="H38" s="335">
        <v>30</v>
      </c>
      <c r="I38" s="335">
        <v>30.01</v>
      </c>
      <c r="J38" s="335">
        <v>30</v>
      </c>
      <c r="K38" s="335">
        <v>30.01</v>
      </c>
      <c r="L38" s="335">
        <v>30</v>
      </c>
    </row>
    <row r="39" spans="1:12" ht="11.4" customHeight="1" thickBot="1" x14ac:dyDescent="0.35">
      <c r="A39" s="334">
        <v>40.020000000000003</v>
      </c>
      <c r="B39" s="335">
        <v>40</v>
      </c>
      <c r="C39" s="335">
        <v>40.020000000000003</v>
      </c>
      <c r="D39" s="335">
        <v>40</v>
      </c>
      <c r="E39" s="335">
        <v>40.020000000000003</v>
      </c>
      <c r="F39" s="335">
        <v>40</v>
      </c>
      <c r="G39" s="335">
        <v>40.020000000000003</v>
      </c>
      <c r="H39" s="335">
        <v>40</v>
      </c>
      <c r="I39" s="335">
        <v>40.020000000000003</v>
      </c>
      <c r="J39" s="335">
        <v>40</v>
      </c>
      <c r="K39" s="335">
        <v>40.020000000000003</v>
      </c>
      <c r="L39" s="335">
        <v>40</v>
      </c>
    </row>
    <row r="40" spans="1:12" ht="11.4" customHeight="1" thickBot="1" x14ac:dyDescent="0.35">
      <c r="A40" s="334">
        <v>50.02</v>
      </c>
      <c r="B40" s="335">
        <v>50</v>
      </c>
      <c r="C40" s="335">
        <v>50.02</v>
      </c>
      <c r="D40" s="335">
        <v>50</v>
      </c>
      <c r="E40" s="335">
        <v>50.02</v>
      </c>
      <c r="F40" s="335">
        <v>50</v>
      </c>
      <c r="G40" s="335">
        <v>50.02</v>
      </c>
      <c r="H40" s="335">
        <v>50</v>
      </c>
      <c r="I40" s="335">
        <v>50.02</v>
      </c>
      <c r="J40" s="335">
        <v>50</v>
      </c>
      <c r="K40" s="335">
        <v>50.02</v>
      </c>
      <c r="L40" s="335">
        <v>50</v>
      </c>
    </row>
    <row r="41" spans="1:12" ht="11.4" customHeight="1" thickBot="1" x14ac:dyDescent="0.35">
      <c r="A41" s="334">
        <v>60.01</v>
      </c>
      <c r="B41" s="335">
        <v>60</v>
      </c>
      <c r="C41" s="335">
        <v>60.01</v>
      </c>
      <c r="D41" s="335">
        <v>60</v>
      </c>
      <c r="E41" s="335">
        <v>60.01</v>
      </c>
      <c r="F41" s="335">
        <v>60</v>
      </c>
      <c r="G41" s="335">
        <v>60.01</v>
      </c>
      <c r="H41" s="335">
        <v>60</v>
      </c>
      <c r="I41" s="335">
        <v>60.01</v>
      </c>
      <c r="J41" s="335">
        <v>60</v>
      </c>
      <c r="K41" s="335">
        <v>60.01</v>
      </c>
      <c r="L41" s="335">
        <v>60</v>
      </c>
    </row>
    <row r="42" spans="1:12" ht="11.4" customHeight="1" thickBot="1" x14ac:dyDescent="0.35">
      <c r="A42" s="334">
        <v>70.02</v>
      </c>
      <c r="B42" s="335">
        <v>70</v>
      </c>
      <c r="C42" s="335">
        <v>70.02</v>
      </c>
      <c r="D42" s="335">
        <v>70</v>
      </c>
      <c r="E42" s="335">
        <v>70.02</v>
      </c>
      <c r="F42" s="335">
        <v>70</v>
      </c>
      <c r="G42" s="335">
        <v>70.02</v>
      </c>
      <c r="H42" s="335">
        <v>70</v>
      </c>
      <c r="I42" s="335">
        <v>70.02</v>
      </c>
      <c r="J42" s="335">
        <v>70</v>
      </c>
      <c r="K42" s="335">
        <v>70.02</v>
      </c>
      <c r="L42" s="335">
        <v>70</v>
      </c>
    </row>
    <row r="43" spans="1:12" ht="11.4" customHeight="1" thickBot="1" x14ac:dyDescent="0.35">
      <c r="A43" s="334">
        <v>80.02</v>
      </c>
      <c r="B43" s="335">
        <v>80</v>
      </c>
      <c r="C43" s="335">
        <v>80.02</v>
      </c>
      <c r="D43" s="335">
        <v>80</v>
      </c>
      <c r="E43" s="335">
        <v>80.02</v>
      </c>
      <c r="F43" s="335">
        <v>80</v>
      </c>
      <c r="G43" s="335">
        <v>80.02</v>
      </c>
      <c r="H43" s="335">
        <v>80</v>
      </c>
      <c r="I43" s="335">
        <v>80.02</v>
      </c>
      <c r="J43" s="335">
        <v>80</v>
      </c>
      <c r="K43" s="335">
        <v>80.02</v>
      </c>
      <c r="L43" s="335">
        <v>80</v>
      </c>
    </row>
    <row r="44" spans="1:12" ht="11.4" customHeight="1" thickBot="1" x14ac:dyDescent="0.35">
      <c r="A44" s="334">
        <v>90.02</v>
      </c>
      <c r="B44" s="335">
        <v>90</v>
      </c>
      <c r="C44" s="335">
        <v>90.02</v>
      </c>
      <c r="D44" s="335">
        <v>90</v>
      </c>
      <c r="E44" s="335">
        <v>90.02</v>
      </c>
      <c r="F44" s="335">
        <v>90</v>
      </c>
      <c r="G44" s="335">
        <v>90.02</v>
      </c>
      <c r="H44" s="335">
        <v>90</v>
      </c>
      <c r="I44" s="335">
        <v>90.02</v>
      </c>
      <c r="J44" s="335">
        <v>90</v>
      </c>
      <c r="K44" s="335">
        <v>90.02</v>
      </c>
      <c r="L44" s="335">
        <v>90</v>
      </c>
    </row>
    <row r="45" spans="1:12" ht="11.4" customHeight="1" thickBot="1" x14ac:dyDescent="0.35">
      <c r="A45" s="334">
        <v>100.02</v>
      </c>
      <c r="B45" s="335">
        <v>100</v>
      </c>
      <c r="C45" s="335">
        <v>100.02</v>
      </c>
      <c r="D45" s="335">
        <v>100</v>
      </c>
      <c r="E45" s="335">
        <v>100.02</v>
      </c>
      <c r="F45" s="335">
        <v>100</v>
      </c>
      <c r="G45" s="335">
        <v>100.02</v>
      </c>
      <c r="H45" s="335">
        <v>100</v>
      </c>
      <c r="I45" s="335">
        <v>100.02</v>
      </c>
      <c r="J45" s="335">
        <v>100</v>
      </c>
      <c r="K45" s="335">
        <v>100.02</v>
      </c>
      <c r="L45" s="335">
        <v>100</v>
      </c>
    </row>
    <row r="46" spans="1:12" ht="5.4" customHeight="1" x14ac:dyDescent="0.3">
      <c r="A46" s="310"/>
    </row>
    <row r="47" spans="1:12" x14ac:dyDescent="0.3">
      <c r="A47" s="354" t="s">
        <v>1335</v>
      </c>
      <c r="B47" s="354"/>
      <c r="C47" s="354"/>
      <c r="D47" s="354"/>
      <c r="E47" s="354"/>
      <c r="F47" s="336"/>
      <c r="G47" s="355" t="s">
        <v>1328</v>
      </c>
      <c r="H47" s="355"/>
      <c r="I47" s="324"/>
      <c r="J47" s="327"/>
      <c r="K47" s="327"/>
      <c r="L47" s="327"/>
    </row>
    <row r="48" spans="1:12" ht="7.2" customHeight="1" x14ac:dyDescent="0.3">
      <c r="A48" s="381"/>
      <c r="B48" s="381"/>
      <c r="C48" s="381"/>
      <c r="D48" s="381"/>
      <c r="E48" s="381"/>
      <c r="F48" s="381"/>
      <c r="G48" s="381"/>
      <c r="H48" s="381"/>
      <c r="I48" s="381"/>
      <c r="J48" s="381"/>
      <c r="K48" s="381"/>
      <c r="L48" s="327"/>
    </row>
    <row r="49" spans="1:12" x14ac:dyDescent="0.3">
      <c r="A49" s="354" t="s">
        <v>1336</v>
      </c>
      <c r="B49" s="354"/>
      <c r="C49" s="354"/>
      <c r="D49" s="354"/>
      <c r="E49" s="354"/>
      <c r="F49" s="354"/>
      <c r="G49" s="354"/>
      <c r="H49" s="354"/>
      <c r="I49" s="354"/>
      <c r="J49" s="327"/>
      <c r="K49" s="327"/>
      <c r="L49" s="327"/>
    </row>
    <row r="50" spans="1:12" ht="11.4" customHeight="1" x14ac:dyDescent="0.3">
      <c r="A50" s="382" t="s">
        <v>1229</v>
      </c>
      <c r="B50" s="382"/>
      <c r="C50" s="327"/>
      <c r="D50" s="382" t="s">
        <v>1229</v>
      </c>
      <c r="E50" s="382"/>
      <c r="F50" s="327"/>
      <c r="G50" s="337" t="s">
        <v>327</v>
      </c>
      <c r="H50" s="338"/>
      <c r="I50" s="327"/>
      <c r="J50" s="337" t="s">
        <v>326</v>
      </c>
      <c r="K50" s="338"/>
      <c r="L50" s="327"/>
    </row>
    <row r="51" spans="1:12" ht="12.6" customHeight="1" x14ac:dyDescent="0.3">
      <c r="A51" s="354" t="s">
        <v>1337</v>
      </c>
      <c r="B51" s="354"/>
      <c r="C51" s="354"/>
      <c r="D51" s="354"/>
      <c r="E51" s="354"/>
      <c r="F51" s="354"/>
      <c r="G51" s="354"/>
      <c r="H51" s="354"/>
      <c r="I51" s="354"/>
      <c r="J51" s="327"/>
      <c r="K51" s="327"/>
      <c r="L51" s="327"/>
    </row>
    <row r="52" spans="1:12" ht="13.2" customHeight="1" x14ac:dyDescent="0.3">
      <c r="A52" s="383"/>
      <c r="B52" s="383"/>
      <c r="C52" s="383"/>
      <c r="D52" s="383"/>
      <c r="E52" s="383"/>
      <c r="F52" s="383"/>
      <c r="G52" s="383"/>
      <c r="H52" s="383"/>
      <c r="I52" s="383"/>
      <c r="J52" s="383"/>
      <c r="K52" s="383"/>
      <c r="L52" s="383"/>
    </row>
    <row r="53" spans="1:12" ht="13.2" customHeight="1" x14ac:dyDescent="0.3">
      <c r="A53" s="383"/>
      <c r="B53" s="383"/>
      <c r="C53" s="383"/>
      <c r="D53" s="383"/>
      <c r="E53" s="383"/>
      <c r="F53" s="383"/>
      <c r="G53" s="383"/>
      <c r="H53" s="383"/>
      <c r="I53" s="383"/>
      <c r="J53" s="383"/>
      <c r="K53" s="383"/>
      <c r="L53" s="383"/>
    </row>
    <row r="54" spans="1:12" ht="6.6" customHeight="1" x14ac:dyDescent="0.3">
      <c r="A54" s="311"/>
    </row>
    <row r="55" spans="1:12" x14ac:dyDescent="0.3">
      <c r="A55" s="384" t="s">
        <v>1338</v>
      </c>
      <c r="B55" s="384"/>
      <c r="C55" s="384"/>
      <c r="D55" s="384"/>
      <c r="E55" s="327"/>
      <c r="F55" s="385" t="s">
        <v>1230</v>
      </c>
      <c r="G55" s="385"/>
      <c r="H55" s="385"/>
      <c r="I55" s="327"/>
      <c r="J55" s="327"/>
      <c r="K55" s="327"/>
      <c r="L55" s="327"/>
    </row>
    <row r="56" spans="1:12" x14ac:dyDescent="0.3">
      <c r="A56" s="325" t="s">
        <v>1339</v>
      </c>
      <c r="B56" s="388"/>
      <c r="C56" s="388"/>
      <c r="D56" s="388"/>
      <c r="E56" s="388"/>
      <c r="F56" s="325" t="s">
        <v>1339</v>
      </c>
      <c r="G56" s="388"/>
      <c r="H56" s="388"/>
      <c r="I56" s="388"/>
      <c r="J56" s="388"/>
      <c r="K56" s="388"/>
      <c r="L56" s="327"/>
    </row>
    <row r="57" spans="1:12" ht="6.6" customHeight="1" x14ac:dyDescent="0.3">
      <c r="A57" s="326"/>
      <c r="B57" s="327"/>
      <c r="C57" s="327"/>
      <c r="D57" s="327"/>
      <c r="E57" s="327"/>
      <c r="F57" s="327"/>
      <c r="G57" s="327"/>
      <c r="H57" s="327"/>
      <c r="I57" s="327"/>
      <c r="J57" s="327"/>
      <c r="K57" s="327"/>
      <c r="L57" s="327"/>
    </row>
    <row r="58" spans="1:12" x14ac:dyDescent="0.3">
      <c r="A58" s="362" t="s">
        <v>1340</v>
      </c>
      <c r="B58" s="362"/>
      <c r="C58" s="362"/>
      <c r="D58" s="362"/>
      <c r="E58" s="362" t="s">
        <v>1231</v>
      </c>
      <c r="F58" s="362"/>
      <c r="G58" s="327"/>
      <c r="H58" s="327"/>
      <c r="I58" s="362" t="s">
        <v>1232</v>
      </c>
      <c r="J58" s="362"/>
      <c r="K58" s="327"/>
      <c r="L58" s="327"/>
    </row>
    <row r="59" spans="1:12" ht="15" x14ac:dyDescent="0.3">
      <c r="A59" s="386" t="s">
        <v>1329</v>
      </c>
      <c r="B59" s="386"/>
      <c r="C59" s="386"/>
      <c r="D59" s="386"/>
      <c r="E59" s="312" t="s">
        <v>1341</v>
      </c>
      <c r="F59" s="387"/>
      <c r="G59" s="387"/>
      <c r="H59" s="387"/>
      <c r="I59" s="387"/>
      <c r="J59" s="387"/>
      <c r="K59" s="387"/>
    </row>
  </sheetData>
  <mergeCells count="83">
    <mergeCell ref="A59:D59"/>
    <mergeCell ref="F59:H59"/>
    <mergeCell ref="I59:K59"/>
    <mergeCell ref="B56:E56"/>
    <mergeCell ref="G56:K56"/>
    <mergeCell ref="A58:D58"/>
    <mergeCell ref="E58:F58"/>
    <mergeCell ref="I58:J58"/>
    <mergeCell ref="A51:I51"/>
    <mergeCell ref="A52:L52"/>
    <mergeCell ref="A53:L53"/>
    <mergeCell ref="A55:D55"/>
    <mergeCell ref="F55:H55"/>
    <mergeCell ref="A47:E47"/>
    <mergeCell ref="G47:H47"/>
    <mergeCell ref="A48:K48"/>
    <mergeCell ref="A49:I49"/>
    <mergeCell ref="A50:B50"/>
    <mergeCell ref="D50:E50"/>
    <mergeCell ref="A32:I32"/>
    <mergeCell ref="A33:D33"/>
    <mergeCell ref="E33:H33"/>
    <mergeCell ref="I33:L33"/>
    <mergeCell ref="A34:B34"/>
    <mergeCell ref="C34:D34"/>
    <mergeCell ref="E34:F34"/>
    <mergeCell ref="G34:H34"/>
    <mergeCell ref="I34:J34"/>
    <mergeCell ref="K34:L34"/>
    <mergeCell ref="H28:K28"/>
    <mergeCell ref="A29:C29"/>
    <mergeCell ref="D29:G29"/>
    <mergeCell ref="H29:K29"/>
    <mergeCell ref="A30:C30"/>
    <mergeCell ref="D30:G30"/>
    <mergeCell ref="H30:K30"/>
    <mergeCell ref="A20:A21"/>
    <mergeCell ref="E20:F20"/>
    <mergeCell ref="G20:G21"/>
    <mergeCell ref="J20:K20"/>
    <mergeCell ref="E21:F25"/>
    <mergeCell ref="J21:K25"/>
    <mergeCell ref="A22:A23"/>
    <mergeCell ref="G22:G23"/>
    <mergeCell ref="A24:A25"/>
    <mergeCell ref="G24:G25"/>
    <mergeCell ref="G15:H15"/>
    <mergeCell ref="D11:F11"/>
    <mergeCell ref="D12:F12"/>
    <mergeCell ref="A27:I27"/>
    <mergeCell ref="A28:C28"/>
    <mergeCell ref="D28:G28"/>
    <mergeCell ref="A15:C15"/>
    <mergeCell ref="D15:F15"/>
    <mergeCell ref="D13:F13"/>
    <mergeCell ref="D14:F14"/>
    <mergeCell ref="G13:H13"/>
    <mergeCell ref="G14:H14"/>
    <mergeCell ref="A16:C16"/>
    <mergeCell ref="G16:H16"/>
    <mergeCell ref="I16:K16"/>
    <mergeCell ref="A18:I18"/>
    <mergeCell ref="A5:I5"/>
    <mergeCell ref="A9:I9"/>
    <mergeCell ref="A13:C13"/>
    <mergeCell ref="B6:H6"/>
    <mergeCell ref="A7:B7"/>
    <mergeCell ref="C7:H7"/>
    <mergeCell ref="G11:H11"/>
    <mergeCell ref="G12:H12"/>
    <mergeCell ref="A10:C10"/>
    <mergeCell ref="A11:C11"/>
    <mergeCell ref="G10:H10"/>
    <mergeCell ref="I10:K10"/>
    <mergeCell ref="J6:K6"/>
    <mergeCell ref="J7:K7"/>
    <mergeCell ref="A12:C12"/>
    <mergeCell ref="D10:F10"/>
    <mergeCell ref="I14:K14"/>
    <mergeCell ref="A14:C14"/>
    <mergeCell ref="I11:K11"/>
    <mergeCell ref="I12:K12"/>
    <mergeCell ref="I13:K13"/>
  </mergeCells>
  <pageMargins left="0.7" right="0.7" top="0.75" bottom="0.75" header="0.3" footer="0.3"/>
  <pageSetup orientation="portrait" horizontalDpi="1200" verticalDpi="1200" r:id="rId1"/>
  <headerFooter>
    <oddHeader>&amp;C&amp;G</oddHeader>
    <oddFooter>&amp;L&amp;"Arial,Regular"&amp;8Pág. &amp;P de &amp;N&amp;R&amp;"Arial,Regular"&amp;8versión 5 Aprobado en NI-MCIT-P-01 v7 con Fecha 2023-06-28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B1:AB149"/>
  <sheetViews>
    <sheetView topLeftCell="L113" zoomScaleNormal="100" workbookViewId="0">
      <selection activeCell="T105" sqref="T105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10.88671875" bestFit="1" customWidth="1"/>
    <col min="17" max="17" width="9.33203125" customWidth="1"/>
    <col min="18" max="18" width="13" bestFit="1" customWidth="1"/>
    <col min="23" max="23" width="8.88671875" style="8"/>
    <col min="28" max="28" width="44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353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1"/>
      <c r="O2" s="251"/>
      <c r="P2" s="254" t="s">
        <v>416</v>
      </c>
      <c r="Q2" s="254" t="s">
        <v>415</v>
      </c>
      <c r="R2" s="254" t="s">
        <v>414</v>
      </c>
    </row>
    <row r="3" spans="2:18" x14ac:dyDescent="0.3">
      <c r="B3" s="1" t="s">
        <v>4</v>
      </c>
      <c r="C3" s="126" t="s">
        <v>233</v>
      </c>
      <c r="E3" s="1" t="s">
        <v>5</v>
      </c>
      <c r="F3" s="313" t="str">
        <f>'NI-R01-MCIT-P-01'!A59</f>
        <v>NI-MC-P-XXXX-2024</v>
      </c>
      <c r="H3" s="3" t="s">
        <v>6</v>
      </c>
      <c r="I3" s="4" t="s">
        <v>38</v>
      </c>
      <c r="K3" s="1" t="s">
        <v>8</v>
      </c>
      <c r="L3" s="130" t="str">
        <f>'NI-R01-MCIT-P-01'!B6</f>
        <v>Agencia Aduanera GRH S,A.</v>
      </c>
      <c r="N3" s="403" t="s">
        <v>279</v>
      </c>
      <c r="O3" s="257" t="s">
        <v>412</v>
      </c>
      <c r="P3" s="315">
        <f>'NI-R01-MCIT-P-01'!C20</f>
        <v>10</v>
      </c>
      <c r="Q3" s="315">
        <f>'NI-R01-MCIT-P-01'!D20</f>
        <v>12</v>
      </c>
      <c r="R3" s="316">
        <f>'NI-R01-MCIT-P-01'!I20</f>
        <v>10</v>
      </c>
    </row>
    <row r="4" spans="2:18" x14ac:dyDescent="0.3">
      <c r="B4" s="1" t="s">
        <v>9</v>
      </c>
      <c r="C4" s="126"/>
      <c r="E4" s="1" t="s">
        <v>10</v>
      </c>
      <c r="F4" s="313" t="str">
        <f>'NI-R01-MCIT-P-01'!J7</f>
        <v>NI-CS-0062-23</v>
      </c>
      <c r="H4" s="3" t="s">
        <v>11</v>
      </c>
      <c r="I4" s="93" t="str">
        <f>'NI-R01-MCIT-P-01'!E21</f>
        <v>NI-MCPPT-01</v>
      </c>
      <c r="K4" s="1" t="s">
        <v>12</v>
      </c>
      <c r="L4" s="129" t="str">
        <f>IFERROR(VLOOKUP(L3,'BD Clientes'!B6:C522,2,FALSE),"")</f>
        <v>De Los Semáforos de Sabana Grande 1 500 m Este.</v>
      </c>
      <c r="N4" s="404"/>
      <c r="O4" s="255" t="s">
        <v>413</v>
      </c>
      <c r="P4" s="315">
        <f>'NI-R01-MCIT-P-01'!C21</f>
        <v>11</v>
      </c>
      <c r="Q4" s="315">
        <f>'NI-R01-MCIT-P-01'!D21</f>
        <v>13</v>
      </c>
      <c r="R4" s="316">
        <f>'NI-R01-MCIT-P-01'!I21</f>
        <v>11</v>
      </c>
    </row>
    <row r="5" spans="2:18" x14ac:dyDescent="0.3">
      <c r="B5" s="1" t="s">
        <v>13</v>
      </c>
      <c r="C5" s="5"/>
      <c r="E5" s="1" t="s">
        <v>14</v>
      </c>
      <c r="F5" s="314">
        <f>'NI-R01-MCIT-P-01'!J6</f>
        <v>44965</v>
      </c>
      <c r="H5" s="3" t="s">
        <v>15</v>
      </c>
      <c r="I5" s="6" t="str">
        <f>VLOOKUP(I4,'BD Patron'!C6:L9,2,FALSE)</f>
        <v xml:space="preserve">Fluke 971 </v>
      </c>
      <c r="K5" s="1" t="s">
        <v>16</v>
      </c>
      <c r="L5" s="130" t="s">
        <v>408</v>
      </c>
      <c r="N5" s="404" t="s">
        <v>278</v>
      </c>
      <c r="O5" s="255" t="s">
        <v>412</v>
      </c>
      <c r="P5" s="315">
        <f>'NI-R01-MCIT-P-01'!C22</f>
        <v>11</v>
      </c>
      <c r="Q5" s="315">
        <f>'NI-R01-MCIT-P-01'!D22</f>
        <v>13</v>
      </c>
      <c r="R5" s="316">
        <f>'NI-R01-MCIT-P-01'!I22</f>
        <v>10</v>
      </c>
    </row>
    <row r="6" spans="2:18" x14ac:dyDescent="0.3">
      <c r="B6" s="1" t="s">
        <v>17</v>
      </c>
      <c r="C6" s="126"/>
      <c r="E6" s="1" t="s">
        <v>18</v>
      </c>
      <c r="F6" s="313" t="str">
        <f>'NI-R01-MCIT-P-01'!I12</f>
        <v>SAJHJLF54564+SD</v>
      </c>
      <c r="H6" s="3" t="s">
        <v>19</v>
      </c>
      <c r="I6" s="91">
        <f>P10</f>
        <v>10.666666666666666</v>
      </c>
      <c r="K6" s="1" t="s">
        <v>6</v>
      </c>
      <c r="L6" s="130" t="str">
        <f>'NI-R01-MCIT-P-01'!C7</f>
        <v>Laboratorio #2, Metrocal</v>
      </c>
      <c r="N6" s="404"/>
      <c r="O6" s="255" t="s">
        <v>413</v>
      </c>
      <c r="P6" s="315">
        <f>'NI-R01-MCIT-P-01'!C23</f>
        <v>15</v>
      </c>
      <c r="Q6" s="315">
        <f>'NI-R01-MCIT-P-01'!D23</f>
        <v>16</v>
      </c>
      <c r="R6" s="316">
        <f>'NI-R01-MCIT-P-01'!I23</f>
        <v>12</v>
      </c>
    </row>
    <row r="7" spans="2:18" x14ac:dyDescent="0.3">
      <c r="B7" s="1" t="s">
        <v>21</v>
      </c>
      <c r="C7" s="126"/>
      <c r="E7" s="1" t="s">
        <v>22</v>
      </c>
      <c r="F7" s="313" t="str">
        <f>'NI-R01-MCIT-P-01'!D10</f>
        <v xml:space="preserve">Manómetro </v>
      </c>
      <c r="H7" s="3" t="s">
        <v>23</v>
      </c>
      <c r="I7" s="91">
        <f>P11</f>
        <v>28.333333333333332</v>
      </c>
      <c r="K7" s="1"/>
      <c r="L7" s="1"/>
      <c r="N7" s="404" t="s">
        <v>280</v>
      </c>
      <c r="O7" s="255" t="s">
        <v>412</v>
      </c>
      <c r="P7" s="315">
        <f>'NI-R01-MCIT-P-01'!C24</f>
        <v>11</v>
      </c>
      <c r="Q7" s="315">
        <f>'NI-R01-MCIT-P-01'!D24</f>
        <v>10</v>
      </c>
      <c r="R7" s="316">
        <f>'NI-R01-MCIT-P-01'!I24</f>
        <v>40</v>
      </c>
    </row>
    <row r="8" spans="2:18" x14ac:dyDescent="0.3">
      <c r="B8" s="1" t="s">
        <v>24</v>
      </c>
      <c r="C8" s="126"/>
      <c r="E8" s="1" t="s">
        <v>234</v>
      </c>
      <c r="F8" s="158" t="s">
        <v>235</v>
      </c>
      <c r="H8" s="3" t="s">
        <v>26</v>
      </c>
      <c r="I8" s="92">
        <f>IFERROR(AVERAGE(I6:I7),"")</f>
        <v>19.5</v>
      </c>
      <c r="K8" s="1"/>
      <c r="L8" s="1"/>
      <c r="N8" s="401"/>
      <c r="O8" s="258" t="s">
        <v>413</v>
      </c>
      <c r="P8" s="339">
        <f>'NI-R01-MCIT-P-01'!C25</f>
        <v>59</v>
      </c>
      <c r="Q8" s="339">
        <f>'NI-R01-MCIT-P-01'!D25</f>
        <v>9</v>
      </c>
      <c r="R8" s="340">
        <f>'NI-R01-MCIT-P-01'!I25</f>
        <v>12</v>
      </c>
    </row>
    <row r="9" spans="2:18" ht="16.2" x14ac:dyDescent="0.3">
      <c r="B9" s="1" t="s">
        <v>27</v>
      </c>
      <c r="C9" s="126"/>
      <c r="E9" s="1" t="s">
        <v>287</v>
      </c>
      <c r="F9" s="158" t="s">
        <v>479</v>
      </c>
      <c r="H9" s="3" t="s">
        <v>1342</v>
      </c>
      <c r="I9" s="92">
        <f>VLOOKUP(I4,'BD Patron'!C6:L9,8,FALSE)</f>
        <v>0.3</v>
      </c>
      <c r="K9" s="1"/>
      <c r="L9" s="1"/>
      <c r="N9" s="256"/>
      <c r="O9" s="255"/>
    </row>
    <row r="10" spans="2:18" ht="16.2" x14ac:dyDescent="0.3">
      <c r="B10" s="1" t="s">
        <v>29</v>
      </c>
      <c r="C10" s="126" t="s">
        <v>30</v>
      </c>
      <c r="E10" s="1" t="s">
        <v>25</v>
      </c>
      <c r="F10" s="313" t="str">
        <f>'NI-R01-MCIT-P-01'!D11</f>
        <v>Ashcroft</v>
      </c>
      <c r="H10" s="3" t="s">
        <v>1343</v>
      </c>
      <c r="I10" s="268">
        <f>VLOOKUP(I4,'BD Patron'!C6:L9,4,FALSE)</f>
        <v>0.1</v>
      </c>
      <c r="K10" s="1"/>
      <c r="L10" s="1"/>
      <c r="N10" s="403" t="s">
        <v>412</v>
      </c>
      <c r="O10" s="405"/>
      <c r="P10" s="264">
        <f>IFERROR(AVERAGE(P3,P5,P7),"")</f>
        <v>10.666666666666666</v>
      </c>
      <c r="Q10" s="264">
        <f>IFERROR(AVERAGE(Q3,Q5,Q7),"")</f>
        <v>11.666666666666666</v>
      </c>
      <c r="R10" s="265">
        <f>IFERROR(AVERAGE(R3,R5,R7),"")</f>
        <v>20</v>
      </c>
    </row>
    <row r="11" spans="2:18" x14ac:dyDescent="0.3">
      <c r="E11" s="1" t="s">
        <v>28</v>
      </c>
      <c r="F11" s="313" t="str">
        <f>'NI-R01-MCIT-P-01'!I11</f>
        <v>asdfadfdfdssd</v>
      </c>
      <c r="H11" s="3" t="s">
        <v>32</v>
      </c>
      <c r="I11" s="91">
        <f>Q10</f>
        <v>11.666666666666666</v>
      </c>
      <c r="K11" s="1"/>
      <c r="L11" s="1"/>
      <c r="N11" s="401" t="s">
        <v>413</v>
      </c>
      <c r="O11" s="402"/>
      <c r="P11" s="266">
        <f>IFERROR(AVERAGE(P4,P6,P8),"")</f>
        <v>28.333333333333332</v>
      </c>
      <c r="Q11" s="266">
        <f t="shared" ref="Q11:R11" si="0">IFERROR(AVERAGE(Q4,Q6,Q8),"")</f>
        <v>12.666666666666666</v>
      </c>
      <c r="R11" s="267">
        <f t="shared" si="0"/>
        <v>11.666666666666666</v>
      </c>
    </row>
    <row r="12" spans="2:18" x14ac:dyDescent="0.3">
      <c r="E12" s="1" t="s">
        <v>31</v>
      </c>
      <c r="F12" s="313" t="str">
        <f>'NI-R01-MCIT-P-01'!D12</f>
        <v>asdfart547657</v>
      </c>
      <c r="H12" s="3" t="s">
        <v>33</v>
      </c>
      <c r="I12" s="91">
        <f>Q11</f>
        <v>12.666666666666666</v>
      </c>
      <c r="K12" s="1"/>
      <c r="L12" s="1"/>
      <c r="N12" s="253"/>
      <c r="O12" s="252"/>
    </row>
    <row r="13" spans="2:18" x14ac:dyDescent="0.3">
      <c r="B13" s="7"/>
      <c r="C13" t="s">
        <v>181</v>
      </c>
      <c r="E13" s="1" t="s">
        <v>244</v>
      </c>
      <c r="F13" s="158">
        <v>0</v>
      </c>
      <c r="H13" s="3" t="s">
        <v>34</v>
      </c>
      <c r="I13" s="92">
        <f>IFERROR(AVERAGE(I11:I12),"")</f>
        <v>12.166666666666666</v>
      </c>
      <c r="K13" s="1"/>
      <c r="L13" s="1"/>
      <c r="N13" s="253"/>
      <c r="O13" s="252"/>
    </row>
    <row r="14" spans="2:18" x14ac:dyDescent="0.3">
      <c r="E14" s="1" t="s">
        <v>245</v>
      </c>
      <c r="F14" s="158">
        <v>100</v>
      </c>
      <c r="H14" s="3" t="s">
        <v>222</v>
      </c>
      <c r="I14" s="92">
        <f>VLOOKUP(I4,'BD Patron'!C6:L9,9,FALSE)</f>
        <v>1.3</v>
      </c>
      <c r="K14" s="1"/>
      <c r="L14" s="1"/>
      <c r="N14" s="253"/>
      <c r="O14" s="252"/>
    </row>
    <row r="15" spans="2:18" x14ac:dyDescent="0.3">
      <c r="B15" s="8"/>
      <c r="C15" t="s">
        <v>35</v>
      </c>
      <c r="E15" s="1" t="s">
        <v>43</v>
      </c>
      <c r="F15" s="313">
        <f>'NI-R01-MCIT-P-01'!D14</f>
        <v>0.5</v>
      </c>
      <c r="H15" s="3" t="s">
        <v>36</v>
      </c>
      <c r="I15" s="268">
        <f>VLOOKUP(I4,'BD Patron'!C6:L9,5,FALSE)</f>
        <v>0.1</v>
      </c>
      <c r="K15" s="1"/>
      <c r="L15" s="1"/>
    </row>
    <row r="16" spans="2:18" x14ac:dyDescent="0.3">
      <c r="E16" s="1" t="s">
        <v>246</v>
      </c>
      <c r="F16" s="313" t="str">
        <f>'NI-R01-MCIT-P-01'!I10</f>
        <v>psi</v>
      </c>
      <c r="H16" s="3" t="s">
        <v>224</v>
      </c>
      <c r="I16" s="91">
        <v>1001</v>
      </c>
      <c r="K16" s="1"/>
      <c r="L16" s="1"/>
    </row>
    <row r="17" spans="2:9" x14ac:dyDescent="0.3">
      <c r="B17" s="94"/>
      <c r="C17" t="s">
        <v>182</v>
      </c>
      <c r="E17" s="1" t="s">
        <v>44</v>
      </c>
      <c r="F17" s="158"/>
      <c r="H17" s="3" t="s">
        <v>225</v>
      </c>
      <c r="I17" s="91">
        <v>1001</v>
      </c>
    </row>
    <row r="18" spans="2:9" x14ac:dyDescent="0.3">
      <c r="E18" s="1" t="s">
        <v>392</v>
      </c>
      <c r="F18" s="313" t="str">
        <f>'NI-R01-MCIT-P-01'!D13</f>
        <v>0 psi a 100 psi</v>
      </c>
      <c r="H18" s="3" t="s">
        <v>226</v>
      </c>
      <c r="I18" s="92">
        <f>IFERROR(AVERAGE(I16:I17),"")</f>
        <v>1001</v>
      </c>
    </row>
    <row r="19" spans="2:9" x14ac:dyDescent="0.3">
      <c r="B19" s="95"/>
      <c r="C19" t="s">
        <v>183</v>
      </c>
      <c r="H19" s="3" t="s">
        <v>223</v>
      </c>
      <c r="I19" s="92">
        <v>10</v>
      </c>
    </row>
    <row r="93" spans="23:23" x14ac:dyDescent="0.3">
      <c r="W93" s="8">
        <v>0</v>
      </c>
    </row>
    <row r="94" spans="23:23" x14ac:dyDescent="0.3">
      <c r="W94" s="8">
        <v>1</v>
      </c>
    </row>
    <row r="95" spans="23:23" x14ac:dyDescent="0.3">
      <c r="W95" s="8">
        <v>2</v>
      </c>
    </row>
    <row r="96" spans="23:23" x14ac:dyDescent="0.3">
      <c r="W96" s="8">
        <v>3</v>
      </c>
    </row>
    <row r="97" spans="23:23" x14ac:dyDescent="0.3">
      <c r="W97" s="8">
        <v>4</v>
      </c>
    </row>
    <row r="99" spans="23:23" x14ac:dyDescent="0.3">
      <c r="W99" s="8" t="s">
        <v>241</v>
      </c>
    </row>
    <row r="100" spans="23:23" x14ac:dyDescent="0.3">
      <c r="W100" s="8" t="s">
        <v>242</v>
      </c>
    </row>
    <row r="101" spans="23:23" x14ac:dyDescent="0.3">
      <c r="W101" s="8" t="s">
        <v>243</v>
      </c>
    </row>
    <row r="103" spans="23:23" x14ac:dyDescent="0.3">
      <c r="W103" s="69" t="s">
        <v>235</v>
      </c>
    </row>
    <row r="104" spans="23:23" x14ac:dyDescent="0.3">
      <c r="W104" s="69" t="s">
        <v>236</v>
      </c>
    </row>
    <row r="113" spans="23:28" x14ac:dyDescent="0.3">
      <c r="W113" s="8" t="s">
        <v>38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39</v>
      </c>
    </row>
    <row r="118" spans="23:28" x14ac:dyDescent="0.3">
      <c r="W118" s="14" t="s">
        <v>40</v>
      </c>
    </row>
    <row r="120" spans="23:28" x14ac:dyDescent="0.3">
      <c r="W120" s="14" t="s">
        <v>41</v>
      </c>
    </row>
    <row r="121" spans="23:28" x14ac:dyDescent="0.3">
      <c r="W121" s="14" t="s">
        <v>42</v>
      </c>
      <c r="Y121" t="s">
        <v>54</v>
      </c>
    </row>
    <row r="122" spans="23:28" ht="15" thickBot="1" x14ac:dyDescent="0.35">
      <c r="W122" s="14" t="s">
        <v>37</v>
      </c>
    </row>
    <row r="123" spans="23:28" ht="15" thickBot="1" x14ac:dyDescent="0.35">
      <c r="Y123" s="395" t="s">
        <v>420</v>
      </c>
      <c r="Z123" s="396"/>
      <c r="AA123" s="396"/>
      <c r="AB123" s="397"/>
    </row>
    <row r="124" spans="23:28" x14ac:dyDescent="0.3">
      <c r="W124" s="200" t="s">
        <v>238</v>
      </c>
      <c r="Y124" s="398" t="s">
        <v>421</v>
      </c>
      <c r="Z124" s="399"/>
      <c r="AA124" s="399"/>
      <c r="AB124" s="400"/>
    </row>
    <row r="125" spans="23:28" x14ac:dyDescent="0.3">
      <c r="W125" s="200" t="s">
        <v>237</v>
      </c>
      <c r="Y125" s="389" t="s">
        <v>451</v>
      </c>
      <c r="Z125" s="390"/>
      <c r="AA125" s="390"/>
      <c r="AB125" s="391"/>
    </row>
    <row r="126" spans="23:28" x14ac:dyDescent="0.3">
      <c r="W126" s="200" t="s">
        <v>239</v>
      </c>
      <c r="Y126" s="389" t="s">
        <v>423</v>
      </c>
      <c r="Z126" s="390"/>
      <c r="AA126" s="390"/>
      <c r="AB126" s="391"/>
    </row>
    <row r="127" spans="23:28" x14ac:dyDescent="0.3">
      <c r="W127" s="200" t="s">
        <v>296</v>
      </c>
      <c r="Y127" s="389" t="s">
        <v>424</v>
      </c>
      <c r="Z127" s="390"/>
      <c r="AA127" s="390"/>
      <c r="AB127" s="391"/>
    </row>
    <row r="128" spans="23:28" x14ac:dyDescent="0.3">
      <c r="W128" s="200" t="s">
        <v>240</v>
      </c>
      <c r="Y128" s="389" t="s">
        <v>425</v>
      </c>
      <c r="Z128" s="390"/>
      <c r="AA128" s="390"/>
      <c r="AB128" s="391"/>
    </row>
    <row r="129" spans="23:28" x14ac:dyDescent="0.3">
      <c r="W129" s="200" t="s">
        <v>443</v>
      </c>
      <c r="Y129" s="389" t="s">
        <v>426</v>
      </c>
      <c r="Z129" s="390"/>
      <c r="AA129" s="390"/>
      <c r="AB129" s="391"/>
    </row>
    <row r="130" spans="23:28" x14ac:dyDescent="0.3">
      <c r="W130" s="200" t="s">
        <v>1344</v>
      </c>
      <c r="Y130" s="389" t="s">
        <v>427</v>
      </c>
      <c r="Z130" s="390"/>
      <c r="AA130" s="390"/>
      <c r="AB130" s="391"/>
    </row>
    <row r="131" spans="23:28" x14ac:dyDescent="0.3">
      <c r="W131" s="200" t="s">
        <v>310</v>
      </c>
      <c r="Y131" s="389" t="s">
        <v>411</v>
      </c>
      <c r="Z131" s="390"/>
      <c r="AA131" s="390"/>
      <c r="AB131" s="391"/>
    </row>
    <row r="132" spans="23:28" x14ac:dyDescent="0.3">
      <c r="W132" s="200" t="s">
        <v>311</v>
      </c>
      <c r="Y132" s="389" t="s">
        <v>428</v>
      </c>
      <c r="Z132" s="390"/>
      <c r="AA132" s="390"/>
      <c r="AB132" s="391"/>
    </row>
    <row r="133" spans="23:28" x14ac:dyDescent="0.3">
      <c r="W133" s="200" t="s">
        <v>312</v>
      </c>
      <c r="Y133" s="389" t="s">
        <v>429</v>
      </c>
      <c r="Z133" s="390"/>
      <c r="AA133" s="390"/>
      <c r="AB133" s="391"/>
    </row>
    <row r="134" spans="23:28" x14ac:dyDescent="0.3">
      <c r="W134" s="200" t="s">
        <v>1345</v>
      </c>
      <c r="Y134" s="389" t="s">
        <v>1346</v>
      </c>
      <c r="Z134" s="390"/>
      <c r="AA134" s="390"/>
      <c r="AB134" s="391"/>
    </row>
    <row r="135" spans="23:28" x14ac:dyDescent="0.3">
      <c r="W135" s="200" t="s">
        <v>1347</v>
      </c>
      <c r="Y135" s="389" t="s">
        <v>445</v>
      </c>
      <c r="Z135" s="390"/>
      <c r="AA135" s="390"/>
      <c r="AB135" s="391"/>
    </row>
    <row r="136" spans="23:28" x14ac:dyDescent="0.3">
      <c r="W136" s="200" t="s">
        <v>1348</v>
      </c>
      <c r="Y136" s="389" t="s">
        <v>432</v>
      </c>
      <c r="Z136" s="390"/>
      <c r="AA136" s="390"/>
      <c r="AB136" s="391"/>
    </row>
    <row r="137" spans="23:28" x14ac:dyDescent="0.3">
      <c r="W137" s="200" t="s">
        <v>309</v>
      </c>
      <c r="Y137" s="389" t="s">
        <v>433</v>
      </c>
      <c r="Z137" s="390"/>
      <c r="AA137" s="390"/>
      <c r="AB137" s="391"/>
    </row>
    <row r="138" spans="23:28" x14ac:dyDescent="0.3">
      <c r="W138" s="200" t="s">
        <v>1349</v>
      </c>
      <c r="Y138" s="389" t="s">
        <v>452</v>
      </c>
      <c r="Z138" s="390"/>
      <c r="AA138" s="390"/>
      <c r="AB138" s="391"/>
    </row>
    <row r="139" spans="23:28" x14ac:dyDescent="0.3">
      <c r="Y139" s="389" t="s">
        <v>435</v>
      </c>
      <c r="Z139" s="390"/>
      <c r="AA139" s="390"/>
      <c r="AB139" s="391"/>
    </row>
    <row r="140" spans="23:28" x14ac:dyDescent="0.3">
      <c r="Y140" s="389" t="s">
        <v>436</v>
      </c>
      <c r="Z140" s="390"/>
      <c r="AA140" s="390"/>
      <c r="AB140" s="391"/>
    </row>
    <row r="141" spans="23:28" x14ac:dyDescent="0.3">
      <c r="Y141" s="389" t="s">
        <v>437</v>
      </c>
      <c r="Z141" s="390"/>
      <c r="AA141" s="390"/>
      <c r="AB141" s="391"/>
    </row>
    <row r="142" spans="23:28" x14ac:dyDescent="0.3">
      <c r="Y142" s="389" t="s">
        <v>444</v>
      </c>
      <c r="Z142" s="390"/>
      <c r="AA142" s="390"/>
      <c r="AB142" s="391"/>
    </row>
    <row r="143" spans="23:28" x14ac:dyDescent="0.3">
      <c r="Y143" s="389" t="s">
        <v>439</v>
      </c>
      <c r="Z143" s="390"/>
      <c r="AA143" s="390"/>
      <c r="AB143" s="391"/>
    </row>
    <row r="144" spans="23:28" x14ac:dyDescent="0.3">
      <c r="Y144" s="389" t="s">
        <v>440</v>
      </c>
      <c r="Z144" s="390"/>
      <c r="AA144" s="390"/>
      <c r="AB144" s="391"/>
    </row>
    <row r="145" spans="25:28" x14ac:dyDescent="0.3">
      <c r="Y145" s="389" t="s">
        <v>441</v>
      </c>
      <c r="Z145" s="390"/>
      <c r="AA145" s="390"/>
      <c r="AB145" s="391"/>
    </row>
    <row r="146" spans="25:28" x14ac:dyDescent="0.3">
      <c r="Y146" s="389" t="s">
        <v>442</v>
      </c>
      <c r="Z146" s="390"/>
      <c r="AA146" s="390"/>
      <c r="AB146" s="391"/>
    </row>
    <row r="147" spans="25:28" x14ac:dyDescent="0.3">
      <c r="Y147" s="389" t="s">
        <v>446</v>
      </c>
      <c r="Z147" s="390"/>
      <c r="AA147" s="390"/>
      <c r="AB147" s="391"/>
    </row>
    <row r="148" spans="25:28" x14ac:dyDescent="0.3">
      <c r="Y148" s="389" t="s">
        <v>447</v>
      </c>
      <c r="Z148" s="390"/>
      <c r="AA148" s="390"/>
      <c r="AB148" s="391"/>
    </row>
    <row r="149" spans="25:28" ht="15" thickBot="1" x14ac:dyDescent="0.35">
      <c r="Y149" s="392" t="s">
        <v>453</v>
      </c>
      <c r="Z149" s="393"/>
      <c r="AA149" s="393"/>
      <c r="AB149" s="394"/>
    </row>
  </sheetData>
  <mergeCells count="32">
    <mergeCell ref="N11:O11"/>
    <mergeCell ref="N3:N4"/>
    <mergeCell ref="N5:N6"/>
    <mergeCell ref="N7:N8"/>
    <mergeCell ref="N10:O10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1:AB141"/>
    <mergeCell ref="Y142:AB142"/>
    <mergeCell ref="Y148:AB148"/>
    <mergeCell ref="Y149:AB149"/>
    <mergeCell ref="Y143:AB143"/>
    <mergeCell ref="Y144:AB144"/>
    <mergeCell ref="Y145:AB145"/>
    <mergeCell ref="Y146:AB146"/>
    <mergeCell ref="Y147:AB147"/>
  </mergeCells>
  <dataValidations count="2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8" xr:uid="{00000000-0002-0000-0000-000002000000}">
      <formula1>$W$103:$W$104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A2:BJ129"/>
  <sheetViews>
    <sheetView topLeftCell="B5" zoomScale="85" zoomScaleNormal="85" workbookViewId="0">
      <selection activeCell="E24" sqref="E24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4" width="11.6640625" customWidth="1"/>
    <col min="5" max="5" width="12.5546875" customWidth="1"/>
    <col min="6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9"/>
  </cols>
  <sheetData>
    <row r="2" spans="2:62" ht="16.2" x14ac:dyDescent="0.3">
      <c r="B2" s="24" t="s">
        <v>119</v>
      </c>
      <c r="C2" s="25"/>
      <c r="D2" s="16"/>
      <c r="E2" s="16"/>
      <c r="G2" s="16" t="s">
        <v>178</v>
      </c>
      <c r="H2" s="16"/>
      <c r="K2" s="24" t="s">
        <v>322</v>
      </c>
      <c r="L2" s="24"/>
      <c r="M2" s="3"/>
      <c r="O2" s="16" t="s">
        <v>1350</v>
      </c>
      <c r="P2" s="16"/>
      <c r="T2" s="24" t="s">
        <v>305</v>
      </c>
      <c r="U2" s="24"/>
      <c r="V2" s="24"/>
      <c r="W2" s="24"/>
      <c r="X2" s="24"/>
      <c r="Y2" s="3"/>
      <c r="AE2" s="16" t="s">
        <v>337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5" t="s">
        <v>234</v>
      </c>
      <c r="C3" s="213"/>
      <c r="D3" s="156"/>
      <c r="E3" s="204" t="str">
        <f>General!F8</f>
        <v>Analógico</v>
      </c>
      <c r="G3" s="176" t="s">
        <v>314</v>
      </c>
      <c r="H3" s="176"/>
      <c r="I3" s="119" t="s">
        <v>1316</v>
      </c>
      <c r="K3" s="176" t="s">
        <v>120</v>
      </c>
      <c r="L3" s="176"/>
      <c r="M3" s="119" t="s">
        <v>323</v>
      </c>
      <c r="O3" s="124" t="s">
        <v>330</v>
      </c>
      <c r="P3" s="71">
        <f>((AS10*(CertPres))+CertHR*((AS11*CertTempC)+AS12))/(273.15 + CertTempC)</f>
        <v>1.1906406435446211</v>
      </c>
      <c r="T3" s="180" t="s">
        <v>271</v>
      </c>
      <c r="U3" s="189" t="s">
        <v>297</v>
      </c>
      <c r="V3" s="190"/>
      <c r="W3" s="189" t="s">
        <v>303</v>
      </c>
      <c r="X3" s="190"/>
      <c r="Y3" s="3"/>
      <c r="AR3" s="26"/>
      <c r="AS3" s="26"/>
      <c r="AT3" s="26"/>
      <c r="AU3" s="26"/>
      <c r="AV3" s="26"/>
      <c r="AY3" s="216" t="s">
        <v>349</v>
      </c>
      <c r="AZ3" s="216"/>
      <c r="BA3" s="216"/>
      <c r="BB3" s="216"/>
      <c r="BC3" s="216"/>
      <c r="BG3" s="26"/>
    </row>
    <row r="4" spans="2:62" ht="14.4" customHeight="1" x14ac:dyDescent="0.3">
      <c r="B4" s="176" t="s">
        <v>117</v>
      </c>
      <c r="C4" s="155"/>
      <c r="D4" s="156"/>
      <c r="E4" s="205">
        <f>DivEscala</f>
        <v>0.5</v>
      </c>
      <c r="G4" s="176" t="s">
        <v>316</v>
      </c>
      <c r="H4" s="176"/>
      <c r="I4" s="66">
        <f>IFERROR(VLOOKUP(I3,tblBD_Patrones[[#All],[Código Patrón]:[Resolución '[psi']]],13,FALSE),"")</f>
        <v>0.01</v>
      </c>
      <c r="K4" s="176" t="s">
        <v>324</v>
      </c>
      <c r="L4" s="176"/>
      <c r="M4" s="119">
        <f>'NI-R01-MCIT-P-01'!I14</f>
        <v>0</v>
      </c>
      <c r="O4" s="124" t="s">
        <v>329</v>
      </c>
      <c r="P4" s="97">
        <f>ABS(CertTempIni-CertTempFin)/SQRT(12)</f>
        <v>5.099927377841694</v>
      </c>
      <c r="S4" s="30" t="s">
        <v>102</v>
      </c>
      <c r="T4" s="90" t="s">
        <v>121</v>
      </c>
      <c r="U4" s="88" t="s">
        <v>298</v>
      </c>
      <c r="V4" s="88" t="s">
        <v>299</v>
      </c>
      <c r="W4" s="88" t="s">
        <v>302</v>
      </c>
      <c r="X4" s="88" t="s">
        <v>301</v>
      </c>
      <c r="Y4" s="177" t="s">
        <v>304</v>
      </c>
      <c r="AE4" s="49" t="s">
        <v>167</v>
      </c>
      <c r="AF4" s="49">
        <v>1</v>
      </c>
      <c r="AG4" s="49">
        <v>2</v>
      </c>
      <c r="AH4" s="49">
        <v>3</v>
      </c>
      <c r="AI4" s="49">
        <v>4</v>
      </c>
      <c r="AJ4" s="49">
        <v>5</v>
      </c>
      <c r="AK4" s="49">
        <v>6</v>
      </c>
      <c r="AL4" s="49">
        <v>7</v>
      </c>
      <c r="AM4" s="49">
        <v>8</v>
      </c>
      <c r="AN4" s="49">
        <v>9</v>
      </c>
      <c r="AO4" s="49">
        <v>10</v>
      </c>
      <c r="AR4" s="26"/>
      <c r="AS4" s="26"/>
      <c r="AT4" s="26"/>
      <c r="AU4" s="26"/>
      <c r="AV4" s="26"/>
      <c r="AY4" s="216"/>
      <c r="AZ4" s="216"/>
      <c r="BA4" s="216"/>
      <c r="BB4" s="216"/>
      <c r="BC4" s="216"/>
      <c r="BG4" s="26"/>
    </row>
    <row r="5" spans="2:62" ht="14.4" customHeight="1" x14ac:dyDescent="0.3">
      <c r="B5" s="155" t="s">
        <v>244</v>
      </c>
      <c r="C5" s="213"/>
      <c r="D5" s="156"/>
      <c r="E5" s="206">
        <f>RangoMed_min</f>
        <v>0</v>
      </c>
      <c r="G5" s="176" t="s">
        <v>315</v>
      </c>
      <c r="H5" s="176"/>
      <c r="I5" s="119"/>
      <c r="K5" s="176" t="s">
        <v>325</v>
      </c>
      <c r="L5" s="176"/>
      <c r="M5" s="119" t="s">
        <v>327</v>
      </c>
      <c r="O5" s="124" t="s">
        <v>1351</v>
      </c>
      <c r="P5" s="97">
        <f>ABS(General!I11-General!I12)/SQRT(12)</f>
        <v>0.28867513459481292</v>
      </c>
      <c r="S5" s="21">
        <v>1</v>
      </c>
      <c r="T5" s="188" t="str">
        <f>'BD Patron'!C15</f>
        <v>NI-MCPP-01</v>
      </c>
      <c r="U5" s="187">
        <f>IFERROR(LOOKUP(T5,tblBD_Patrones[Código Patrón],tblBD_Patrones[min.])*coef_unidad,"")</f>
        <v>-12</v>
      </c>
      <c r="V5" s="187">
        <f>IFERROR(LOOKUP(T5,tblBD_Patrones[Código Patrón],tblBD_Patrones[max.])*coef_unidad,"")</f>
        <v>200</v>
      </c>
      <c r="W5" s="187">
        <f>IFERROR(LOOKUP(T5,tblBD_Patrones[Código Patrón],tblBD_Patrones[t min. compensada]),"")</f>
        <v>15</v>
      </c>
      <c r="X5" s="187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70" t="s">
        <v>161</v>
      </c>
      <c r="AF5" s="71" t="str">
        <f t="array" aca="1" ref="AF5:AO5" ca="1">TRANSPOSE($T$15:$T$29)</f>
        <v/>
      </c>
      <c r="AG5" s="71" t="str">
        <f ca="1"/>
        <v/>
      </c>
      <c r="AH5" s="71" t="str">
        <f ca="1"/>
        <v/>
      </c>
      <c r="AI5" s="71" t="str">
        <f ca="1"/>
        <v/>
      </c>
      <c r="AJ5" s="71" t="str">
        <f ca="1"/>
        <v/>
      </c>
      <c r="AK5" s="71" t="str">
        <f ca="1"/>
        <v/>
      </c>
      <c r="AL5" s="66" t="str">
        <f ca="1"/>
        <v/>
      </c>
      <c r="AM5" s="66" t="str">
        <f ca="1"/>
        <v/>
      </c>
      <c r="AN5" s="66" t="str">
        <f ca="1"/>
        <v/>
      </c>
      <c r="AO5" s="66" t="str">
        <f ca="1"/>
        <v/>
      </c>
      <c r="AR5" s="26"/>
      <c r="AS5" s="26"/>
      <c r="AT5" s="26"/>
      <c r="AU5" s="26"/>
      <c r="AV5" s="26"/>
      <c r="AY5" s="216"/>
      <c r="AZ5" s="216"/>
      <c r="BA5" s="216"/>
      <c r="BB5" s="216"/>
      <c r="BC5" s="216"/>
      <c r="BG5" s="26"/>
    </row>
    <row r="6" spans="2:62" ht="14.4" customHeight="1" x14ac:dyDescent="0.3">
      <c r="B6" s="176" t="s">
        <v>245</v>
      </c>
      <c r="C6" s="155"/>
      <c r="D6" s="156"/>
      <c r="E6" s="187">
        <f>RangoMed_max</f>
        <v>100</v>
      </c>
      <c r="G6" s="176" t="s">
        <v>317</v>
      </c>
      <c r="H6" s="176"/>
      <c r="I6" s="66" t="str">
        <f>IFERROR(VLOOKUP(I5,tblBD_Patrones[[#All],[Código Patrón]:[Resolución '[psi']]],13,FALSE),"")</f>
        <v/>
      </c>
      <c r="K6" s="176" t="s">
        <v>328</v>
      </c>
      <c r="L6" s="176"/>
      <c r="M6" s="119">
        <v>1</v>
      </c>
      <c r="O6" s="124" t="s">
        <v>1352</v>
      </c>
      <c r="P6" s="97">
        <f>ABS(General!I16-General!I17)/SQRT(12)</f>
        <v>0</v>
      </c>
      <c r="S6" s="21">
        <v>2</v>
      </c>
      <c r="T6" s="188" t="str">
        <f>'BD Patron'!C16</f>
        <v>NI-MCPP-02</v>
      </c>
      <c r="U6" s="187">
        <f>IFERROR(LOOKUP(T6,tblBD_Patrones[Código Patrón],tblBD_Patrones[min.])*coef_unidad,"")</f>
        <v>0</v>
      </c>
      <c r="V6" s="187">
        <f>IFERROR(LOOKUP(T6,tblBD_Patrones[Código Patrón],tblBD_Patrones[max.])*coef_unidad,"")</f>
        <v>5000</v>
      </c>
      <c r="W6" s="187">
        <f>IFERROR(LOOKUP(T6,tblBD_Patrones[Código Patrón],tblBD_Patrones[t min. compensada]),"")</f>
        <v>15</v>
      </c>
      <c r="X6" s="187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70" t="s">
        <v>162</v>
      </c>
      <c r="AF6" s="67" t="str">
        <f ca="1">IFERROR(INDEX($T$37:$T$51,MATCH(AF$5,$T$37:OFFSET($T$37,NumPuntosCalib-1,0),1)),"")</f>
        <v/>
      </c>
      <c r="AG6" s="67" t="str">
        <f ca="1">IFERROR(INDEX($T$37:$T$51,MATCH(AG$5,$T$37:OFFSET($T$37,NumPuntosCalib-1,0),1)),"")</f>
        <v/>
      </c>
      <c r="AH6" s="67" t="str">
        <f ca="1">IFERROR(INDEX($T$37:$T$51,MATCH(AH$5,$T$37:OFFSET($T$37,NumPuntosCalib-1,0),1)),"")</f>
        <v/>
      </c>
      <c r="AI6" s="67" t="str">
        <f ca="1">IFERROR(INDEX($T$37:$T$51,MATCH(AI$5,$T$37:OFFSET($T$37,NumPuntosCalib-1,0),1)),"")</f>
        <v/>
      </c>
      <c r="AJ6" s="67" t="str">
        <f ca="1">IFERROR(INDEX($T$37:$T$51,MATCH(AJ$5,$T$37:OFFSET($T$37,NumPuntosCalib-1,0),1)),"")</f>
        <v/>
      </c>
      <c r="AK6" s="67" t="str">
        <f ca="1">IFERROR(INDEX($T$37:$T$51,MATCH(AK$5,$T$37:OFFSET($T$37,NumPuntosCalib-1,0),1)),"")</f>
        <v/>
      </c>
      <c r="AL6" s="67" t="str">
        <f ca="1">IFERROR(INDEX($T$37:$T$51,MATCH(AL$5,$T$37:OFFSET($T$37,NumPuntosCalib-1,0),1)),"")</f>
        <v/>
      </c>
      <c r="AM6" s="67" t="str">
        <f ca="1">IFERROR(INDEX($T$37:$T$51,MATCH(AM$5,$T$37:OFFSET($T$37,NumPuntosCalib-1,0),1)),"")</f>
        <v/>
      </c>
      <c r="AN6" s="67" t="str">
        <f ca="1">IFERROR(INDEX($T$37:$T$51,MATCH(AN$5,$T$37:OFFSET($T$37,NumPuntosCalib-1,0),1)),"")</f>
        <v/>
      </c>
      <c r="AO6" s="67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16"/>
      <c r="AZ6" s="216"/>
      <c r="BA6" s="216"/>
      <c r="BB6" s="216"/>
      <c r="BC6" s="216"/>
      <c r="BG6" s="26"/>
      <c r="BJ6" t="s">
        <v>449</v>
      </c>
    </row>
    <row r="7" spans="2:62" ht="14.4" customHeight="1" x14ac:dyDescent="0.3">
      <c r="B7" s="155" t="s">
        <v>344</v>
      </c>
      <c r="C7" s="213"/>
      <c r="D7" s="156"/>
      <c r="E7" s="214">
        <f>ResolInst/E6</f>
        <v>5.0000000000000001E-3</v>
      </c>
      <c r="H7" s="157"/>
      <c r="O7" s="124" t="s">
        <v>1353</v>
      </c>
      <c r="P7" s="71">
        <f>SQRT((POWER(P4/CertTempC,2)+POWER(P5/CertHR,2)+POWER(P6/CertPres,2))*POWER(P3,2))</f>
        <v>0.31267269792220337</v>
      </c>
      <c r="S7" s="21">
        <v>3</v>
      </c>
      <c r="T7" s="188" t="str">
        <f>'BD Patron'!C17</f>
        <v>NI-MCPP-05</v>
      </c>
      <c r="U7" s="187">
        <f>IFERROR(LOOKUP(T7,tblBD_Patrones[Código Patrón],tblBD_Patrones[min.])*coef_unidad,"")</f>
        <v>-12</v>
      </c>
      <c r="V7" s="187">
        <f>IFERROR(LOOKUP(T7,tblBD_Patrones[Código Patrón],tblBD_Patrones[max.])*coef_unidad,"")</f>
        <v>300</v>
      </c>
      <c r="W7" s="187">
        <f>IFERROR(LOOKUP(T7,tblBD_Patrones[Código Patrón],tblBD_Patrones[t min. compensada]),"")</f>
        <v>-10</v>
      </c>
      <c r="X7" s="187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70" t="s">
        <v>164</v>
      </c>
      <c r="AF7" s="67" t="str">
        <f ca="1">IFERROR(INDEX($U$37:$U$51,MATCH(AF$5,$T$37:OFFSET($T$37,NumPuntosCalib-1,0),1)),"")</f>
        <v/>
      </c>
      <c r="AG7" s="67" t="str">
        <f ca="1">IFERROR(INDEX($U$37:$U$51,MATCH(AG$5,$T$37:OFFSET($T$37,NumPuntosCalib-1,0),1)),"")</f>
        <v/>
      </c>
      <c r="AH7" s="67" t="str">
        <f ca="1">IFERROR(INDEX($U$37:$U$51,MATCH(AH$5,$T$37:OFFSET($T$37,NumPuntosCalib-1,0),1)),"")</f>
        <v/>
      </c>
      <c r="AI7" s="67" t="str">
        <f ca="1">IFERROR(INDEX($U$37:$U$51,MATCH(AI$5,$T$37:OFFSET($T$37,NumPuntosCalib-1,0),1)),"")</f>
        <v/>
      </c>
      <c r="AJ7" s="67" t="str">
        <f ca="1">IFERROR(INDEX($U$37:$U$51,MATCH(AJ$5,$T$37:OFFSET($T$37,NumPuntosCalib-1,0),1)),"")</f>
        <v/>
      </c>
      <c r="AK7" s="67" t="str">
        <f ca="1">IFERROR(INDEX($U$37:$U$51,MATCH(AK$5,$T$37:OFFSET($T$37,NumPuntosCalib-1,0),1)),"")</f>
        <v/>
      </c>
      <c r="AL7" s="67" t="str">
        <f ca="1">IFERROR(INDEX($U$37:$U$51,MATCH(AL$5,$T$37:OFFSET($T$37,NumPuntosCalib-1,0),1)),"")</f>
        <v/>
      </c>
      <c r="AM7" s="67" t="str">
        <f ca="1">IFERROR(INDEX($U$37:$U$51,MATCH(AM$5,$T$37:OFFSET($T$37,NumPuntosCalib-1,0),1)),"")</f>
        <v/>
      </c>
      <c r="AN7" s="67" t="str">
        <f ca="1">IFERROR(INDEX($U$37:$U$51,MATCH(AN$5,$T$37:OFFSET($T$37,NumPuntosCalib-1,0),1)),"")</f>
        <v/>
      </c>
      <c r="AO7" s="67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16"/>
      <c r="AZ7" s="216"/>
      <c r="BA7" s="216">
        <f>(0.34848*CertPres-0.009024*POWER(CertHR,0.061*CertTempC))/(273.15+CertTempC)</f>
        <v>1.1913623676229677</v>
      </c>
      <c r="BB7" s="216"/>
      <c r="BC7" s="216"/>
      <c r="BG7" s="26"/>
      <c r="BJ7" t="s">
        <v>491</v>
      </c>
    </row>
    <row r="8" spans="2:62" ht="15" x14ac:dyDescent="0.3">
      <c r="B8" s="155" t="s">
        <v>118</v>
      </c>
      <c r="C8" s="156"/>
      <c r="D8" s="96">
        <f>INDEX(M37:Q51,MATCH(E8,M37:M51,0),2)</f>
        <v>1</v>
      </c>
      <c r="E8" s="159" t="str">
        <f>General!F16</f>
        <v>psi</v>
      </c>
      <c r="G8" s="207"/>
      <c r="H8" s="207"/>
      <c r="I8" s="207"/>
      <c r="T8" s="3" t="s">
        <v>300</v>
      </c>
      <c r="U8" s="3"/>
      <c r="AE8" s="70" t="s">
        <v>163</v>
      </c>
      <c r="AF8" s="67" t="str">
        <f ca="1">IFERROR(INDEX($T$37:$T$51,MATCH(AF$5,$T$37:OFFSET($T$37,NumPuntosCalib-1,0),1)+1),"")</f>
        <v/>
      </c>
      <c r="AG8" s="67" t="str">
        <f ca="1">IFERROR(INDEX($T$37:$T$51,MATCH(AG$5,$T$37:OFFSET($T$37,NumPuntosCalib-1,0),1)+1),"")</f>
        <v/>
      </c>
      <c r="AH8" s="67" t="str">
        <f ca="1">IFERROR(INDEX($T$37:$T$51,MATCH(AH$5,$T$37:OFFSET($T$37,NumPuntosCalib-1,0),1)+1),"")</f>
        <v/>
      </c>
      <c r="AI8" s="67" t="str">
        <f ca="1">IFERROR(INDEX($T$37:$T$51,MATCH(AI$5,$T$37:OFFSET($T$37,NumPuntosCalib-1,0),1)+1),"")</f>
        <v/>
      </c>
      <c r="AJ8" s="67" t="str">
        <f ca="1">IFERROR(INDEX($T$37:$T$51,MATCH(AJ$5,$T$37:OFFSET($T$37,NumPuntosCalib-1,0),1)+1),"")</f>
        <v/>
      </c>
      <c r="AK8" s="67" t="str">
        <f ca="1">IFERROR(INDEX($T$37:$T$51,MATCH(AK$5,$T$37:OFFSET($T$37,NumPuntosCalib-1,0),1)+1),"")</f>
        <v/>
      </c>
      <c r="AL8" s="67" t="str">
        <f ca="1">IFERROR(INDEX($T$37:$T$51,MATCH(AL$5,$T$37:OFFSET($T$37,NumPuntosCalib-1,0),1)+1),"")</f>
        <v/>
      </c>
      <c r="AM8" s="67" t="str">
        <f ca="1">IFERROR(INDEX($T$37:$T$51,MATCH(AM$5,$T$37:OFFSET($T$37,NumPuntosCalib-1,0),1)+1),"")</f>
        <v/>
      </c>
      <c r="AN8" s="67" t="str">
        <f ca="1">IFERROR(INDEX($T$37:$T$51,MATCH(AN$5,$T$37:OFFSET($T$37,NumPuntosCalib-1,0),1)+1),"")</f>
        <v/>
      </c>
      <c r="AO8" s="67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2" t="s">
        <v>220</v>
      </c>
      <c r="E9" s="123">
        <f>LEN(MOD(ABS(DivEscala),1))-1-(MOD(DivEscala,1)&gt;0)</f>
        <v>1</v>
      </c>
      <c r="V9" s="3"/>
      <c r="W9" s="3"/>
      <c r="X9" s="3"/>
      <c r="Y9" s="3"/>
      <c r="AA9" s="3"/>
      <c r="AB9" s="3"/>
      <c r="AC9" s="3"/>
      <c r="AE9" s="70" t="s">
        <v>165</v>
      </c>
      <c r="AF9" s="67" t="str">
        <f ca="1">IFERROR(INDEX($U$37:$U$51,MATCH(AF$5,$T$37:OFFSET($T$37,NumPuntosCalib-1,0),1)+1),"")</f>
        <v/>
      </c>
      <c r="AG9" s="67" t="str">
        <f ca="1">IFERROR(INDEX($U$37:$U$51,MATCH(AG$5,$T$37:OFFSET($T$37,NumPuntosCalib-1,0),1)+1),"")</f>
        <v/>
      </c>
      <c r="AH9" s="67" t="str">
        <f ca="1">IFERROR(INDEX($U$37:$U$51,MATCH(AH$5,$T$37:OFFSET($T$37,NumPuntosCalib-1,0),1)+1),"")</f>
        <v/>
      </c>
      <c r="AI9" s="67" t="str">
        <f ca="1">IFERROR(INDEX($U$37:$U$51,MATCH(AI$5,$T$37:OFFSET($T$37,NumPuntosCalib-1,0),1)+1),"")</f>
        <v/>
      </c>
      <c r="AJ9" s="67" t="str">
        <f ca="1">IFERROR(INDEX($U$37:$U$51,MATCH(AJ$5,$T$37:OFFSET($T$37,NumPuntosCalib-1,0),1)+1),"")</f>
        <v/>
      </c>
      <c r="AK9" s="67" t="str">
        <f ca="1">IFERROR(INDEX($U$37:$U$51,MATCH(AK$5,$T$37:OFFSET($T$37,NumPuntosCalib-1,0),1)+1),"")</f>
        <v/>
      </c>
      <c r="AL9" s="67" t="str">
        <f ca="1">IFERROR(INDEX($U$37:$U$51,MATCH(AL$5,$T$37:OFFSET($T$37,NumPuntosCalib-1,0),1)+1),"")</f>
        <v/>
      </c>
      <c r="AM9" s="67" t="str">
        <f ca="1">IFERROR(INDEX($U$37:$U$51,MATCH(AM$5,$T$37:OFFSET($T$37,NumPuntosCalib-1,0),1)+1),"")</f>
        <v/>
      </c>
      <c r="AN9" s="67" t="str">
        <f ca="1">IFERROR(INDEX($U$37:$U$51,MATCH(AN$5,$T$37:OFFSET($T$37,NumPuntosCalib-1,0),1)+1),"")</f>
        <v/>
      </c>
      <c r="AO9" s="67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5" t="s">
        <v>487</v>
      </c>
      <c r="C10" s="213"/>
      <c r="D10" s="156"/>
      <c r="E10" s="291">
        <v>2</v>
      </c>
      <c r="F10" s="222"/>
      <c r="G10" s="222"/>
      <c r="H10" s="222"/>
      <c r="I10" s="222"/>
      <c r="J10" s="222"/>
      <c r="K10" s="223" t="s">
        <v>347</v>
      </c>
      <c r="L10" s="220" t="s">
        <v>348</v>
      </c>
      <c r="V10" s="3"/>
      <c r="W10" s="3"/>
      <c r="X10" s="3"/>
      <c r="Y10" s="3"/>
      <c r="AA10" s="3"/>
      <c r="AB10" s="3"/>
      <c r="AC10" s="3"/>
      <c r="AE10" s="70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R10" s="218" t="s">
        <v>350</v>
      </c>
      <c r="AS10" s="26">
        <v>0.34844000000000003</v>
      </c>
      <c r="AT10" s="219" t="s">
        <v>1354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E11" s="224" t="s">
        <v>345</v>
      </c>
      <c r="F11" s="224"/>
      <c r="G11" s="225">
        <f>IF(E3="Digital",2,IF(AND(E3="Analógico",E7&lt;=0.2),3,2))</f>
        <v>3</v>
      </c>
      <c r="H11" s="222"/>
      <c r="I11" s="224" t="s">
        <v>346</v>
      </c>
      <c r="J11" s="224"/>
      <c r="K11" s="225">
        <f>IF(E3="Digital",0,IF(AND(E3="Analógico",E7&lt;=0.6),8,IF(AND(E3="Analógico",E7&gt;0.6,E7&lt;4),5,3)))</f>
        <v>8</v>
      </c>
      <c r="L11" s="221">
        <f>IF(E3="Analógico",0,IF(AND(E3="Digital",E7&lt;=0.1),15,IF(AND(E3="Digital",E7&gt;0.1,E7&lt;0.25),10,IF(AND(E3="Digital",E7&gt;=0.25,E7&lt;2),5,3))))</f>
        <v>0</v>
      </c>
      <c r="AE11" s="70" t="s">
        <v>166</v>
      </c>
      <c r="AF11" s="121" t="str">
        <f t="shared" ref="AF11:AO11" ca="1" si="0">IFERROR(AF7+(AF5-AF6)*(AF9-AF7)/(AF8-AF6),"")</f>
        <v/>
      </c>
      <c r="AG11" s="121" t="str">
        <f t="shared" ca="1" si="0"/>
        <v/>
      </c>
      <c r="AH11" s="121" t="str">
        <f t="shared" ca="1" si="0"/>
        <v/>
      </c>
      <c r="AI11" s="121" t="str">
        <f t="shared" ca="1" si="0"/>
        <v/>
      </c>
      <c r="AJ11" s="121" t="str">
        <f t="shared" ca="1" si="0"/>
        <v/>
      </c>
      <c r="AK11" s="121" t="str">
        <f t="shared" ca="1" si="0"/>
        <v/>
      </c>
      <c r="AL11" s="121" t="str">
        <f t="shared" ca="1" si="0"/>
        <v/>
      </c>
      <c r="AM11" s="121" t="str">
        <f t="shared" ca="1" si="0"/>
        <v/>
      </c>
      <c r="AN11" s="121" t="str">
        <f t="shared" ca="1" si="0"/>
        <v/>
      </c>
      <c r="AO11" s="121" t="str">
        <f t="shared" ca="1" si="0"/>
        <v/>
      </c>
      <c r="AR11" s="218" t="s">
        <v>351</v>
      </c>
      <c r="AS11" s="26">
        <v>-2.5200000000000001E-3</v>
      </c>
      <c r="AT11" s="219" t="s">
        <v>1355</v>
      </c>
      <c r="AU11" s="26"/>
      <c r="AV11" s="26"/>
    </row>
    <row r="12" spans="2:62" ht="16.2" x14ac:dyDescent="0.3">
      <c r="C12" s="408" t="s">
        <v>279</v>
      </c>
      <c r="D12" s="408"/>
      <c r="E12" s="408"/>
      <c r="F12" s="408"/>
      <c r="G12" s="408" t="s">
        <v>278</v>
      </c>
      <c r="H12" s="408"/>
      <c r="I12" s="408"/>
      <c r="J12" s="408"/>
      <c r="K12" s="408" t="s">
        <v>280</v>
      </c>
      <c r="L12" s="408"/>
      <c r="M12" s="408"/>
      <c r="N12" s="408"/>
      <c r="AE12" s="29"/>
      <c r="AF12" s="3"/>
      <c r="AG12" s="3"/>
      <c r="AH12" s="3"/>
      <c r="AI12" s="3"/>
      <c r="AJ12" s="3"/>
      <c r="AK12" s="3"/>
      <c r="AR12" s="218" t="s">
        <v>352</v>
      </c>
      <c r="AS12" s="26">
        <v>2.0582E-2</v>
      </c>
      <c r="AT12" s="219" t="s">
        <v>1356</v>
      </c>
      <c r="AU12" s="26"/>
      <c r="AV12" s="26"/>
    </row>
    <row r="13" spans="2:62" x14ac:dyDescent="0.3">
      <c r="B13" s="181" t="s">
        <v>31</v>
      </c>
      <c r="C13" s="407" t="s">
        <v>281</v>
      </c>
      <c r="D13" s="407"/>
      <c r="E13" s="407" t="s">
        <v>282</v>
      </c>
      <c r="F13" s="407"/>
      <c r="G13" s="407" t="s">
        <v>283</v>
      </c>
      <c r="H13" s="407"/>
      <c r="I13" s="407" t="s">
        <v>284</v>
      </c>
      <c r="J13" s="407"/>
      <c r="K13" s="407" t="s">
        <v>285</v>
      </c>
      <c r="L13" s="407"/>
      <c r="M13" s="407" t="s">
        <v>286</v>
      </c>
      <c r="N13" s="407"/>
      <c r="S13" s="16" t="str">
        <f>CONCATENATE("Todo en [",unidad,"]")</f>
        <v>Todo en [psi]</v>
      </c>
      <c r="T13" s="16"/>
      <c r="U13" s="50" t="s">
        <v>229</v>
      </c>
      <c r="Y13" s="50" t="s">
        <v>295</v>
      </c>
      <c r="Z13" s="179" t="s">
        <v>295</v>
      </c>
      <c r="AR13" s="26"/>
      <c r="AS13" s="26"/>
      <c r="AT13" s="26"/>
      <c r="AU13" s="26"/>
      <c r="AV13" s="26"/>
    </row>
    <row r="14" spans="2:62" ht="43.2" x14ac:dyDescent="0.3">
      <c r="B14" s="30" t="s">
        <v>102</v>
      </c>
      <c r="C14" s="120" t="s">
        <v>121</v>
      </c>
      <c r="D14" s="120" t="s">
        <v>98</v>
      </c>
      <c r="E14" s="120" t="s">
        <v>121</v>
      </c>
      <c r="F14" s="120" t="s">
        <v>98</v>
      </c>
      <c r="G14" s="120" t="s">
        <v>121</v>
      </c>
      <c r="H14" s="120" t="s">
        <v>98</v>
      </c>
      <c r="I14" s="120" t="s">
        <v>121</v>
      </c>
      <c r="J14" s="120" t="s">
        <v>98</v>
      </c>
      <c r="K14" s="120" t="s">
        <v>121</v>
      </c>
      <c r="L14" s="120" t="s">
        <v>98</v>
      </c>
      <c r="M14" s="120" t="s">
        <v>121</v>
      </c>
      <c r="N14" s="191" t="s">
        <v>98</v>
      </c>
      <c r="O14" s="192" t="s">
        <v>306</v>
      </c>
      <c r="P14" s="120" t="s">
        <v>307</v>
      </c>
      <c r="Q14" s="120" t="s">
        <v>336</v>
      </c>
      <c r="S14" s="80" t="s">
        <v>102</v>
      </c>
      <c r="T14" s="81" t="s">
        <v>122</v>
      </c>
      <c r="U14" s="82" t="s">
        <v>231</v>
      </c>
      <c r="V14" s="150" t="s">
        <v>123</v>
      </c>
      <c r="W14" s="150" t="s">
        <v>124</v>
      </c>
      <c r="X14" s="150" t="s">
        <v>216</v>
      </c>
      <c r="Y14" s="82" t="s">
        <v>230</v>
      </c>
      <c r="Z14" s="150" t="s">
        <v>156</v>
      </c>
      <c r="AA14" s="150" t="s">
        <v>228</v>
      </c>
      <c r="AB14" s="150" t="s">
        <v>227</v>
      </c>
      <c r="AE14" s="16" t="s">
        <v>339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17">
        <v>0</v>
      </c>
      <c r="D15" s="217">
        <v>0</v>
      </c>
      <c r="E15" s="217">
        <v>0</v>
      </c>
      <c r="F15" s="217">
        <v>0</v>
      </c>
      <c r="G15" s="217">
        <v>0</v>
      </c>
      <c r="H15" s="217">
        <v>0</v>
      </c>
      <c r="I15" s="217">
        <v>0</v>
      </c>
      <c r="J15" s="217">
        <v>0</v>
      </c>
      <c r="K15" s="217">
        <v>0</v>
      </c>
      <c r="L15" s="217">
        <v>0</v>
      </c>
      <c r="M15" s="217">
        <v>0</v>
      </c>
      <c r="N15" s="217">
        <v>0</v>
      </c>
      <c r="O15" s="197">
        <f>IF($E$3="Analógico",(MAX(ABS(C15-E15),ABS(G15-I15),ABS(K15-M15))),(MAX(ABS(D15-F15),ABS(H15-J15),ABS(L15-N15))))</f>
        <v>0</v>
      </c>
      <c r="P15" s="198">
        <f>IF($E$3="Analógico",STDEVA(C15,E15,G15,I15,K15,M15),STDEVA(D15,F15,H15,J15,L15,N15))</f>
        <v>0</v>
      </c>
      <c r="Q15" s="209">
        <f>($E$7)*$E$6</f>
        <v>0.5</v>
      </c>
      <c r="S15" s="68">
        <v>1</v>
      </c>
      <c r="T15" s="47" t="str">
        <f ca="1">IFERROR(AVERAGEIFS(C15:N15,OFFSET($C$15:$N$15,-1,0),"=Patrón",C15:N15,"&lt;&gt;0"),"")</f>
        <v/>
      </c>
      <c r="U15" s="48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152" t="str">
        <f ca="1">IFERROR(tblResultCalib[[#This Row],[Promedio Patrón]]+tblResultCalib[[#This Row],[Corrección patrón]],"")</f>
        <v/>
      </c>
      <c r="W15" s="152" t="str">
        <f t="shared" ref="W15:W29" ca="1" si="1">IFERROR(AVERAGEIFS(C15:N15,OFFSET($C$15:$N$15,-1,0),"=Equipo",C15:N15,"&lt;&gt;0"),"")</f>
        <v/>
      </c>
      <c r="X15" s="148" t="str">
        <f ca="1">IFERROR(tblResultCalib[[#This Row],[Patrón corregido]]-tblResultCalib[[#This Row],[Promedio equipo]],"")</f>
        <v/>
      </c>
      <c r="Y15" s="148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8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17">
        <v>0</v>
      </c>
      <c r="D16" s="217">
        <v>0</v>
      </c>
      <c r="E16" s="217">
        <v>0</v>
      </c>
      <c r="F16" s="217">
        <v>0</v>
      </c>
      <c r="G16" s="217">
        <v>0</v>
      </c>
      <c r="H16" s="217">
        <v>0</v>
      </c>
      <c r="I16" s="217">
        <v>0</v>
      </c>
      <c r="J16" s="217">
        <v>0</v>
      </c>
      <c r="K16" s="217">
        <v>0</v>
      </c>
      <c r="L16" s="217">
        <v>0</v>
      </c>
      <c r="M16" s="217">
        <v>0</v>
      </c>
      <c r="N16" s="217">
        <v>0</v>
      </c>
      <c r="O16" s="197">
        <f t="shared" ref="O16:O29" si="2">IF($E$3="Analógico",(MAX(ABS(C16-E16),ABS(G16-I16),ABS(K16-M16))),(MAX(ABS(D16-F16),ABS(H16-J16),ABS(L16-N16))))</f>
        <v>0</v>
      </c>
      <c r="P16" s="198">
        <f t="shared" ref="P16:P29" si="3">IF($E$3="Analógico",STDEVA(C16,E16,G16,I16,K16,M16),STDEVA(D16,F16,H16,J16,L16,N16))</f>
        <v>0</v>
      </c>
      <c r="Q16" s="209">
        <f t="shared" ref="Q16:Q29" si="4">($E$7)*$E$6</f>
        <v>0.5</v>
      </c>
      <c r="S16" s="68">
        <v>2</v>
      </c>
      <c r="T16" s="47" t="str">
        <f t="shared" ref="T16:T29" ca="1" si="5">IFERROR(AVERAGEIFS(C16:N16,OFFSET($C$15:$N$15,-1,0),"=Patrón",C16:N16,"&lt;&gt;0"),"")</f>
        <v/>
      </c>
      <c r="U16" s="48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153" t="str">
        <f ca="1">IFERROR(tblResultCalib[[#This Row],[Promedio Patrón]]+tblResultCalib[[#This Row],[Corrección patrón]],"")</f>
        <v/>
      </c>
      <c r="W16" s="153" t="str">
        <f t="shared" ca="1" si="1"/>
        <v/>
      </c>
      <c r="X16" s="147" t="str">
        <f ca="1">IFERROR(tblResultCalib[[#This Row],[Patrón corregido]]-tblResultCalib[[#This Row],[Promedio equipo]],"")</f>
        <v/>
      </c>
      <c r="Y16" s="147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8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9" t="s">
        <v>167</v>
      </c>
      <c r="AF16" s="49">
        <v>1</v>
      </c>
      <c r="AG16" s="49">
        <v>2</v>
      </c>
      <c r="AH16" s="49">
        <v>3</v>
      </c>
      <c r="AI16" s="49">
        <v>4</v>
      </c>
      <c r="AJ16" s="49">
        <v>5</v>
      </c>
      <c r="AK16" s="49">
        <v>6</v>
      </c>
      <c r="AL16" s="49">
        <v>7</v>
      </c>
      <c r="AM16" s="49">
        <v>8</v>
      </c>
      <c r="AN16" s="49">
        <v>9</v>
      </c>
      <c r="AO16" s="49">
        <v>10</v>
      </c>
    </row>
    <row r="17" spans="1:41" x14ac:dyDescent="0.3">
      <c r="B17" s="21">
        <v>3</v>
      </c>
      <c r="C17" s="217">
        <v>0</v>
      </c>
      <c r="D17" s="217">
        <v>0</v>
      </c>
      <c r="E17" s="217">
        <v>0</v>
      </c>
      <c r="F17" s="217">
        <v>0</v>
      </c>
      <c r="G17" s="217">
        <v>0</v>
      </c>
      <c r="H17" s="217">
        <v>0</v>
      </c>
      <c r="I17" s="217">
        <v>0</v>
      </c>
      <c r="J17" s="217">
        <v>0</v>
      </c>
      <c r="K17" s="217">
        <v>0</v>
      </c>
      <c r="L17" s="217">
        <v>0</v>
      </c>
      <c r="M17" s="217">
        <v>0</v>
      </c>
      <c r="N17" s="217">
        <v>0</v>
      </c>
      <c r="O17" s="197">
        <f t="shared" si="2"/>
        <v>0</v>
      </c>
      <c r="P17" s="198">
        <f t="shared" si="3"/>
        <v>0</v>
      </c>
      <c r="Q17" s="209">
        <f t="shared" si="4"/>
        <v>0.5</v>
      </c>
      <c r="S17" s="68">
        <v>3</v>
      </c>
      <c r="T17" s="47" t="str">
        <f t="shared" ca="1" si="5"/>
        <v/>
      </c>
      <c r="U17" s="48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153" t="str">
        <f ca="1">IFERROR(tblResultCalib[[#This Row],[Promedio Patrón]]+tblResultCalib[[#This Row],[Corrección patrón]],"")</f>
        <v/>
      </c>
      <c r="W17" s="153" t="str">
        <f t="shared" ca="1" si="1"/>
        <v/>
      </c>
      <c r="X17" s="147" t="str">
        <f ca="1">IFERROR(tblResultCalib[[#This Row],[Patrón corregido]]-tblResultCalib[[#This Row],[Promedio equipo]],"")</f>
        <v/>
      </c>
      <c r="Y17" s="147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8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70" t="s">
        <v>161</v>
      </c>
      <c r="AF17" s="71" t="str">
        <f t="array" aca="1" ref="AF17:AO17" ca="1">TRANSPOSE($T$15:$T$29)</f>
        <v/>
      </c>
      <c r="AG17" s="71" t="str">
        <f ca="1"/>
        <v/>
      </c>
      <c r="AH17" s="71" t="str">
        <f ca="1"/>
        <v/>
      </c>
      <c r="AI17" s="71" t="str">
        <f ca="1"/>
        <v/>
      </c>
      <c r="AJ17" s="71" t="str">
        <f ca="1"/>
        <v/>
      </c>
      <c r="AK17" s="71" t="str">
        <f ca="1"/>
        <v/>
      </c>
      <c r="AL17" s="66" t="str">
        <f ca="1"/>
        <v/>
      </c>
      <c r="AM17" s="66" t="str">
        <f ca="1"/>
        <v/>
      </c>
      <c r="AN17" s="66" t="str">
        <f ca="1"/>
        <v/>
      </c>
      <c r="AO17" s="66" t="str">
        <f ca="1"/>
        <v/>
      </c>
    </row>
    <row r="18" spans="1:41" x14ac:dyDescent="0.3">
      <c r="B18" s="21">
        <v>4</v>
      </c>
      <c r="C18" s="217">
        <v>0</v>
      </c>
      <c r="D18" s="217">
        <v>0</v>
      </c>
      <c r="E18" s="217">
        <v>0</v>
      </c>
      <c r="F18" s="217">
        <v>0</v>
      </c>
      <c r="G18" s="217">
        <v>0</v>
      </c>
      <c r="H18" s="217">
        <v>0</v>
      </c>
      <c r="I18" s="217">
        <v>0</v>
      </c>
      <c r="J18" s="217">
        <v>0</v>
      </c>
      <c r="K18" s="217">
        <v>0</v>
      </c>
      <c r="L18" s="217">
        <v>0</v>
      </c>
      <c r="M18" s="217">
        <v>0</v>
      </c>
      <c r="N18" s="217">
        <v>0</v>
      </c>
      <c r="O18" s="197">
        <f t="shared" si="2"/>
        <v>0</v>
      </c>
      <c r="P18" s="198">
        <f t="shared" si="3"/>
        <v>0</v>
      </c>
      <c r="Q18" s="209">
        <f t="shared" si="4"/>
        <v>0.5</v>
      </c>
      <c r="S18" s="68">
        <v>4</v>
      </c>
      <c r="T18" s="47" t="str">
        <f t="shared" ca="1" si="5"/>
        <v/>
      </c>
      <c r="U18" s="48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153" t="str">
        <f ca="1">IFERROR(tblResultCalib[[#This Row],[Promedio Patrón]]+tblResultCalib[[#This Row],[Corrección patrón]],"")</f>
        <v/>
      </c>
      <c r="W18" s="153" t="str">
        <f t="shared" ca="1" si="1"/>
        <v/>
      </c>
      <c r="X18" s="147" t="str">
        <f ca="1">IFERROR(tblResultCalib[[#This Row],[Patrón corregido]]-tblResultCalib[[#This Row],[Promedio equipo]],"")</f>
        <v/>
      </c>
      <c r="Y18" s="147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8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70" t="s">
        <v>162</v>
      </c>
      <c r="AF18" s="67" t="str">
        <f ca="1">IFERROR(INDEX($T$37:$T$51,MATCH(AF$17,$T$37:OFFSET($T$37,NumPuntosCalib-1,0),1)),"")</f>
        <v/>
      </c>
      <c r="AG18" s="67" t="str">
        <f ca="1">IFERROR(INDEX($T$37:$T$51,MATCH(AG$17,$T$37:OFFSET($T$37,NumPuntosCalib-1,0),1)),"")</f>
        <v/>
      </c>
      <c r="AH18" s="67" t="str">
        <f ca="1">IFERROR(INDEX($T$37:$T$51,MATCH(AH$17,$T$37:OFFSET($T$37,NumPuntosCalib-1,0),1)),"")</f>
        <v/>
      </c>
      <c r="AI18" s="67" t="str">
        <f ca="1">IFERROR(INDEX($T$37:$T$51,MATCH(AI$17,$T$37:OFFSET($T$37,NumPuntosCalib-1,0),1)),"")</f>
        <v/>
      </c>
      <c r="AJ18" s="67" t="str">
        <f ca="1">IFERROR(INDEX($T$37:$T$51,MATCH(AJ$17,$T$37:OFFSET($T$37,NumPuntosCalib-1,0),1)),"")</f>
        <v/>
      </c>
      <c r="AK18" s="67" t="str">
        <f ca="1">IFERROR(INDEX($T$37:$T$51,MATCH(AK$17,$T$37:OFFSET($T$37,NumPuntosCalib-1,0),1)),"")</f>
        <v/>
      </c>
      <c r="AL18" s="67" t="str">
        <f ca="1">IFERROR(INDEX($T$37:$T$51,MATCH(AL$17,$T$37:OFFSET($T$37,NumPuntosCalib-1,0),1)),"")</f>
        <v/>
      </c>
      <c r="AM18" s="67" t="str">
        <f ca="1">IFERROR(INDEX($T$37:$T$51,MATCH(AM$17,$T$37:OFFSET($T$37,NumPuntosCalib-1,0),1)),"")</f>
        <v/>
      </c>
      <c r="AN18" s="67" t="str">
        <f ca="1">IFERROR(INDEX($T$37:$T$51,MATCH(AN$17,$T$37:OFFSET($T$37,NumPuntosCalib-1,0),1)),"")</f>
        <v/>
      </c>
      <c r="AO18" s="67" t="str">
        <f ca="1">IFERROR(INDEX($T$37:$T$51,MATCH(AO$17,$T$37:OFFSET($T$37,NumPuntosCalib-1,0),1)),"")</f>
        <v/>
      </c>
    </row>
    <row r="19" spans="1:41" x14ac:dyDescent="0.3">
      <c r="B19" s="21">
        <v>5</v>
      </c>
      <c r="C19" s="217">
        <v>0</v>
      </c>
      <c r="D19" s="217">
        <v>0</v>
      </c>
      <c r="E19" s="217">
        <v>0</v>
      </c>
      <c r="F19" s="217">
        <v>0</v>
      </c>
      <c r="G19" s="217">
        <v>0</v>
      </c>
      <c r="H19" s="217">
        <v>0</v>
      </c>
      <c r="I19" s="217">
        <v>0</v>
      </c>
      <c r="J19" s="217">
        <v>0</v>
      </c>
      <c r="K19" s="217">
        <v>0</v>
      </c>
      <c r="L19" s="217">
        <v>0</v>
      </c>
      <c r="M19" s="217">
        <v>0</v>
      </c>
      <c r="N19" s="217">
        <v>0</v>
      </c>
      <c r="O19" s="197">
        <f t="shared" si="2"/>
        <v>0</v>
      </c>
      <c r="P19" s="198">
        <f t="shared" si="3"/>
        <v>0</v>
      </c>
      <c r="Q19" s="209">
        <f t="shared" si="4"/>
        <v>0.5</v>
      </c>
      <c r="S19" s="68">
        <v>5</v>
      </c>
      <c r="T19" s="47" t="str">
        <f t="shared" ca="1" si="5"/>
        <v/>
      </c>
      <c r="U19" s="48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153" t="str">
        <f ca="1">IFERROR(tblResultCalib[[#This Row],[Promedio Patrón]]+tblResultCalib[[#This Row],[Corrección patrón]],"")</f>
        <v/>
      </c>
      <c r="W19" s="153" t="str">
        <f t="shared" ca="1" si="1"/>
        <v/>
      </c>
      <c r="X19" s="147" t="str">
        <f ca="1">IFERROR(tblResultCalib[[#This Row],[Patrón corregido]]-tblResultCalib[[#This Row],[Promedio equipo]],"")</f>
        <v/>
      </c>
      <c r="Y19" s="147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8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70" t="s">
        <v>164</v>
      </c>
      <c r="AF19" s="67" t="str">
        <f ca="1">IFERROR(INDEX($V$37:$V$51,MATCH(AF$17,$T$37:OFFSET($T$37,NumPuntosCalib-1,0),1)),"")</f>
        <v/>
      </c>
      <c r="AG19" s="67" t="str">
        <f ca="1">IFERROR(INDEX($V$37:$V$51,MATCH(AG$17,$T$37:OFFSET($T$37,NumPuntosCalib-1,0),1)),"")</f>
        <v/>
      </c>
      <c r="AH19" s="67" t="str">
        <f ca="1">IFERROR(INDEX($V$37:$V$51,MATCH(AH$17,$T$37:OFFSET($T$37,NumPuntosCalib-1,0),1)),"")</f>
        <v/>
      </c>
      <c r="AI19" s="67" t="str">
        <f ca="1">IFERROR(INDEX($V$37:$V$51,MATCH(AI$17,$T$37:OFFSET($T$37,NumPuntosCalib-1,0),1)),"")</f>
        <v/>
      </c>
      <c r="AJ19" s="67" t="str">
        <f ca="1">IFERROR(INDEX($V$37:$V$51,MATCH(AJ$17,$T$37:OFFSET($T$37,NumPuntosCalib-1,0),1)),"")</f>
        <v/>
      </c>
      <c r="AK19" s="67" t="str">
        <f ca="1">IFERROR(INDEX($V$37:$V$51,MATCH(AK$17,$T$37:OFFSET($T$37,NumPuntosCalib-1,0),1)),"")</f>
        <v/>
      </c>
      <c r="AL19" s="67" t="str">
        <f ca="1">IFERROR(INDEX($V$37:$V$51,MATCH(AL$17,$T$37:OFFSET($T$37,NumPuntosCalib-1,0),1)),"")</f>
        <v/>
      </c>
      <c r="AM19" s="67" t="str">
        <f ca="1">IFERROR(INDEX($V$37:$V$51,MATCH(AM$17,$T$37:OFFSET($T$37,NumPuntosCalib-1,0),1)),"")</f>
        <v/>
      </c>
      <c r="AN19" s="67" t="str">
        <f ca="1">IFERROR(INDEX($V$37:$V$51,MATCH(AN$17,$T$37:OFFSET($T$37,NumPuntosCalib-1,0),1)),"")</f>
        <v/>
      </c>
      <c r="AO19" s="67" t="str">
        <f ca="1">IFERROR(INDEX($V$37:$V$51,MATCH(AO$17,$T$37:OFFSET($T$37,NumPuntosCalib-1,0),1)),"")</f>
        <v/>
      </c>
    </row>
    <row r="20" spans="1:41" ht="14.4" customHeight="1" x14ac:dyDescent="0.3">
      <c r="B20" s="21">
        <v>6</v>
      </c>
      <c r="C20" s="217">
        <v>0</v>
      </c>
      <c r="D20" s="217">
        <v>0</v>
      </c>
      <c r="E20" s="217">
        <v>0</v>
      </c>
      <c r="F20" s="217">
        <v>0</v>
      </c>
      <c r="G20" s="217">
        <v>0</v>
      </c>
      <c r="H20" s="217">
        <v>0</v>
      </c>
      <c r="I20" s="217">
        <v>0</v>
      </c>
      <c r="J20" s="217">
        <v>0</v>
      </c>
      <c r="K20" s="217">
        <v>0</v>
      </c>
      <c r="L20" s="217">
        <v>0</v>
      </c>
      <c r="M20" s="217">
        <v>0</v>
      </c>
      <c r="N20" s="217">
        <v>0</v>
      </c>
      <c r="O20" s="197">
        <f t="shared" si="2"/>
        <v>0</v>
      </c>
      <c r="P20" s="198">
        <f t="shared" si="3"/>
        <v>0</v>
      </c>
      <c r="Q20" s="209">
        <f t="shared" si="4"/>
        <v>0.5</v>
      </c>
      <c r="S20" s="68">
        <v>6</v>
      </c>
      <c r="T20" s="47" t="str">
        <f t="shared" ca="1" si="5"/>
        <v/>
      </c>
      <c r="U20" s="48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153" t="str">
        <f ca="1">IFERROR(tblResultCalib[[#This Row],[Promedio Patrón]]+tblResultCalib[[#This Row],[Corrección patrón]],"")</f>
        <v/>
      </c>
      <c r="W20" s="153" t="str">
        <f t="shared" ca="1" si="1"/>
        <v/>
      </c>
      <c r="X20" s="147" t="str">
        <f ca="1">IFERROR(tblResultCalib[[#This Row],[Patrón corregido]]-tblResultCalib[[#This Row],[Promedio equipo]],"")</f>
        <v/>
      </c>
      <c r="Y20" s="147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8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70" t="s">
        <v>163</v>
      </c>
      <c r="AF20" s="67" t="str">
        <f ca="1">IFERROR(INDEX($T$37:$T$51,MATCH(AF$17,$T$37:OFFSET($T$37,NumPuntosCalib-1,0),1)+1),"")</f>
        <v/>
      </c>
      <c r="AG20" s="67" t="str">
        <f ca="1">IFERROR(INDEX($T$37:$T$51,MATCH(AG$17,$T$37:OFFSET($T$37,NumPuntosCalib-1,0),1)+1),"")</f>
        <v/>
      </c>
      <c r="AH20" s="67" t="str">
        <f ca="1">IFERROR(INDEX($T$37:$T$51,MATCH(AH$17,$T$37:OFFSET($T$37,NumPuntosCalib-1,0),1)+1),"")</f>
        <v/>
      </c>
      <c r="AI20" s="67" t="str">
        <f ca="1">IFERROR(INDEX($T$37:$T$51,MATCH(AI$17,$T$37:OFFSET($T$37,NumPuntosCalib-1,0),1)+1),"")</f>
        <v/>
      </c>
      <c r="AJ20" s="67" t="str">
        <f ca="1">IFERROR(INDEX($T$37:$T$51,MATCH(AJ$17,$T$37:OFFSET($T$37,NumPuntosCalib-1,0),1)+1),"")</f>
        <v/>
      </c>
      <c r="AK20" s="67" t="str">
        <f ca="1">IFERROR(INDEX($T$37:$T$51,MATCH(AK$17,$T$37:OFFSET($T$37,NumPuntosCalib-1,0),1)+1),"")</f>
        <v/>
      </c>
      <c r="AL20" s="67" t="str">
        <f ca="1">IFERROR(INDEX($T$37:$T$51,MATCH(AL$17,$T$37:OFFSET($T$37,NumPuntosCalib-1,0),1)+1),"")</f>
        <v/>
      </c>
      <c r="AM20" s="67" t="str">
        <f ca="1">IFERROR(INDEX($T$37:$T$51,MATCH(AM$17,$T$37:OFFSET($T$37,NumPuntosCalib-1,0),1)+1),"")</f>
        <v/>
      </c>
      <c r="AN20" s="67" t="str">
        <f ca="1">IFERROR(INDEX($T$37:$T$51,MATCH(AN$17,$T$37:OFFSET($T$37,NumPuntosCalib-1,0),1)+1),"")</f>
        <v/>
      </c>
      <c r="AO20" s="67" t="str">
        <f ca="1">IFERROR(INDEX($T$37:$T$51,MATCH(AO$17,$T$37:OFFSET($T$37,NumPuntosCalib-1,0),1)+1),"")</f>
        <v/>
      </c>
    </row>
    <row r="21" spans="1:41" x14ac:dyDescent="0.3">
      <c r="B21" s="21">
        <v>7</v>
      </c>
      <c r="C21" s="217">
        <v>0</v>
      </c>
      <c r="D21" s="217">
        <v>0</v>
      </c>
      <c r="E21" s="217">
        <v>0</v>
      </c>
      <c r="F21" s="217">
        <v>0</v>
      </c>
      <c r="G21" s="217">
        <v>0</v>
      </c>
      <c r="H21" s="217">
        <v>0</v>
      </c>
      <c r="I21" s="217">
        <v>0</v>
      </c>
      <c r="J21" s="217">
        <v>0</v>
      </c>
      <c r="K21" s="217">
        <v>0</v>
      </c>
      <c r="L21" s="217">
        <v>0</v>
      </c>
      <c r="M21" s="217">
        <v>0</v>
      </c>
      <c r="N21" s="217">
        <v>0</v>
      </c>
      <c r="O21" s="197">
        <f t="shared" si="2"/>
        <v>0</v>
      </c>
      <c r="P21" s="198">
        <f t="shared" si="3"/>
        <v>0</v>
      </c>
      <c r="Q21" s="209">
        <f t="shared" si="4"/>
        <v>0.5</v>
      </c>
      <c r="S21" s="68">
        <v>7</v>
      </c>
      <c r="T21" s="47" t="str">
        <f t="shared" ca="1" si="5"/>
        <v/>
      </c>
      <c r="U21" s="48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153" t="str">
        <f ca="1">IFERROR(tblResultCalib[[#This Row],[Promedio Patrón]]+tblResultCalib[[#This Row],[Corrección patrón]],"")</f>
        <v/>
      </c>
      <c r="W21" s="153" t="str">
        <f t="shared" ca="1" si="1"/>
        <v/>
      </c>
      <c r="X21" s="147" t="str">
        <f ca="1">IFERROR(tblResultCalib[[#This Row],[Patrón corregido]]-tblResultCalib[[#This Row],[Promedio equipo]],"")</f>
        <v/>
      </c>
      <c r="Y21" s="147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8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70" t="s">
        <v>165</v>
      </c>
      <c r="AF21" s="67" t="str">
        <f ca="1">IFERROR(INDEX($V$37:$V$51,MATCH(AF$6,$T$37:OFFSET($T$37,NumPuntosCalib-1,0),1)+1),"")</f>
        <v/>
      </c>
      <c r="AG21" s="67" t="str">
        <f ca="1">IFERROR(INDEX($V$37:$V$51,MATCH(AG$6,$T$37:OFFSET($T$37,NumPuntosCalib-1,0),1)+1),"")</f>
        <v/>
      </c>
      <c r="AH21" s="67" t="str">
        <f ca="1">IFERROR(INDEX($V$37:$V$51,MATCH(AH$6,$T$37:OFFSET($T$37,NumPuntosCalib-1,0),1)+1),"")</f>
        <v/>
      </c>
      <c r="AI21" s="67" t="str">
        <f ca="1">IFERROR(INDEX($V$37:$V$51,MATCH(AI$6,$T$37:OFFSET($T$37,NumPuntosCalib-1,0),1)+1),"")</f>
        <v/>
      </c>
      <c r="AJ21" s="67" t="str">
        <f ca="1">IFERROR(INDEX($V$37:$V$51,MATCH(AJ$6,$T$37:OFFSET($T$37,NumPuntosCalib-1,0),1)+1),"")</f>
        <v/>
      </c>
      <c r="AK21" s="67" t="str">
        <f ca="1">IFERROR(INDEX($V$37:$V$51,MATCH(AK$6,$T$37:OFFSET($T$37,NumPuntosCalib-1,0),1)+1),"")</f>
        <v/>
      </c>
      <c r="AL21" s="67" t="str">
        <f ca="1">IFERROR(INDEX($V$37:$V$51,MATCH(AL$6,$T$37:OFFSET($T$37,NumPuntosCalib-1,0),1)+1),"")</f>
        <v/>
      </c>
      <c r="AM21" s="67" t="str">
        <f ca="1">IFERROR(INDEX($V$37:$V$51,MATCH(AM$6,$T$37:OFFSET($T$37,NumPuntosCalib-1,0),1)+1),"")</f>
        <v/>
      </c>
      <c r="AN21" s="67" t="str">
        <f ca="1">IFERROR(INDEX($V$37:$V$51,MATCH(AN$6,$T$37:OFFSET($T$37,NumPuntosCalib-1,0),1)+1),"")</f>
        <v/>
      </c>
      <c r="AO21" s="67" t="str">
        <f ca="1">IFERROR(INDEX($V$37:$V$51,MATCH(AO$6,$T$37:OFFSET($T$37,NumPuntosCalib-1,0),1)+1),"")</f>
        <v/>
      </c>
    </row>
    <row r="22" spans="1:41" x14ac:dyDescent="0.3">
      <c r="B22" s="21">
        <v>8</v>
      </c>
      <c r="C22" s="217">
        <v>0</v>
      </c>
      <c r="D22" s="217">
        <v>0</v>
      </c>
      <c r="E22" s="217">
        <v>0</v>
      </c>
      <c r="F22" s="217">
        <v>0</v>
      </c>
      <c r="G22" s="217">
        <v>0</v>
      </c>
      <c r="H22" s="217">
        <v>0</v>
      </c>
      <c r="I22" s="217">
        <v>0</v>
      </c>
      <c r="J22" s="217">
        <v>0</v>
      </c>
      <c r="K22" s="217">
        <v>0</v>
      </c>
      <c r="L22" s="217">
        <v>0</v>
      </c>
      <c r="M22" s="217">
        <v>0</v>
      </c>
      <c r="N22" s="217">
        <v>0</v>
      </c>
      <c r="O22" s="197">
        <f t="shared" si="2"/>
        <v>0</v>
      </c>
      <c r="P22" s="198">
        <f t="shared" si="3"/>
        <v>0</v>
      </c>
      <c r="Q22" s="209">
        <f t="shared" si="4"/>
        <v>0.5</v>
      </c>
      <c r="S22" s="68">
        <v>8</v>
      </c>
      <c r="T22" s="47" t="str">
        <f t="shared" ca="1" si="5"/>
        <v/>
      </c>
      <c r="U22" s="48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3" t="str">
        <f ca="1">IFERROR(tblResultCalib[[#This Row],[Promedio Patrón]]+tblResultCalib[[#This Row],[Corrección patrón]],"")</f>
        <v/>
      </c>
      <c r="W22" s="153" t="str">
        <f t="shared" ca="1" si="1"/>
        <v/>
      </c>
      <c r="X22" s="147" t="str">
        <f ca="1">IFERROR(tblResultCalib[[#This Row],[Patrón corregido]]-tblResultCalib[[#This Row],[Promedio equipo]],"")</f>
        <v/>
      </c>
      <c r="Y22" s="147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8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70" t="s">
        <v>166</v>
      </c>
      <c r="AF22" s="121" t="str">
        <f t="shared" ref="AF22:AO22" ca="1" si="6">IFERROR(AF19+(AF17-AF18)*(AF21-AF19)/(AF20-AF18),"")</f>
        <v/>
      </c>
      <c r="AG22" s="121" t="str">
        <f t="shared" ca="1" si="6"/>
        <v/>
      </c>
      <c r="AH22" s="121" t="str">
        <f t="shared" ca="1" si="6"/>
        <v/>
      </c>
      <c r="AI22" s="121" t="str">
        <f t="shared" ca="1" si="6"/>
        <v/>
      </c>
      <c r="AJ22" s="121" t="str">
        <f t="shared" ca="1" si="6"/>
        <v/>
      </c>
      <c r="AK22" s="121" t="str">
        <f t="shared" ca="1" si="6"/>
        <v/>
      </c>
      <c r="AL22" s="121" t="str">
        <f t="shared" ca="1" si="6"/>
        <v/>
      </c>
      <c r="AM22" s="121" t="str">
        <f t="shared" ca="1" si="6"/>
        <v/>
      </c>
      <c r="AN22" s="121" t="str">
        <f t="shared" ca="1" si="6"/>
        <v/>
      </c>
      <c r="AO22" s="121" t="str">
        <f t="shared" ca="1" si="6"/>
        <v/>
      </c>
    </row>
    <row r="23" spans="1:41" x14ac:dyDescent="0.3">
      <c r="B23" s="21">
        <v>9</v>
      </c>
      <c r="C23" s="217">
        <v>0</v>
      </c>
      <c r="D23" s="217">
        <v>0</v>
      </c>
      <c r="E23" s="217">
        <v>0</v>
      </c>
      <c r="F23" s="217">
        <v>0</v>
      </c>
      <c r="G23" s="217">
        <v>0</v>
      </c>
      <c r="H23" s="217">
        <v>0</v>
      </c>
      <c r="I23" s="217">
        <v>0</v>
      </c>
      <c r="J23" s="217">
        <v>0</v>
      </c>
      <c r="K23" s="217">
        <v>0</v>
      </c>
      <c r="L23" s="217">
        <v>0</v>
      </c>
      <c r="M23" s="217">
        <v>0</v>
      </c>
      <c r="N23" s="217">
        <v>0</v>
      </c>
      <c r="O23" s="197">
        <f t="shared" si="2"/>
        <v>0</v>
      </c>
      <c r="P23" s="198">
        <f t="shared" si="3"/>
        <v>0</v>
      </c>
      <c r="Q23" s="209">
        <f t="shared" si="4"/>
        <v>0.5</v>
      </c>
      <c r="S23" s="68">
        <v>9</v>
      </c>
      <c r="T23" s="47" t="str">
        <f t="shared" ca="1" si="5"/>
        <v/>
      </c>
      <c r="U23" s="48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3" t="str">
        <f ca="1">IFERROR(tblResultCalib[[#This Row],[Promedio Patrón]]+tblResultCalib[[#This Row],[Corrección patrón]],"")</f>
        <v/>
      </c>
      <c r="W23" s="153" t="str">
        <f t="shared" ca="1" si="1"/>
        <v/>
      </c>
      <c r="X23" s="147" t="str">
        <f ca="1">IFERROR(tblResultCalib[[#This Row],[Patrón corregido]]-tblResultCalib[[#This Row],[Promedio equipo]],"")</f>
        <v/>
      </c>
      <c r="Y23" s="147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8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1:41" x14ac:dyDescent="0.3">
      <c r="A24">
        <v>0</v>
      </c>
      <c r="B24" s="21">
        <v>10</v>
      </c>
      <c r="C24" s="217">
        <v>0</v>
      </c>
      <c r="D24" s="217">
        <v>0</v>
      </c>
      <c r="E24" s="217">
        <v>0</v>
      </c>
      <c r="F24" s="217">
        <v>0</v>
      </c>
      <c r="G24" s="217">
        <v>0</v>
      </c>
      <c r="H24" s="217">
        <v>0</v>
      </c>
      <c r="I24" s="217">
        <v>0</v>
      </c>
      <c r="J24" s="217">
        <v>0</v>
      </c>
      <c r="K24" s="217">
        <v>0</v>
      </c>
      <c r="L24" s="217">
        <v>0</v>
      </c>
      <c r="M24" s="217">
        <v>0</v>
      </c>
      <c r="N24" s="217">
        <v>0</v>
      </c>
      <c r="O24" s="197">
        <f t="shared" si="2"/>
        <v>0</v>
      </c>
      <c r="P24" s="198">
        <f t="shared" si="3"/>
        <v>0</v>
      </c>
      <c r="Q24" s="209">
        <f t="shared" si="4"/>
        <v>0.5</v>
      </c>
      <c r="S24" s="68">
        <v>10</v>
      </c>
      <c r="T24" s="47" t="str">
        <f t="shared" ca="1" si="5"/>
        <v/>
      </c>
      <c r="U24" s="48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4" t="str">
        <f ca="1">IFERROR(tblResultCalib[[#This Row],[Promedio Patrón]]+tblResultCalib[[#This Row],[Corrección patrón]],"")</f>
        <v/>
      </c>
      <c r="W24" s="154" t="str">
        <f t="shared" ca="1" si="1"/>
        <v/>
      </c>
      <c r="X24" s="149" t="str">
        <f ca="1">IFERROR(tblResultCalib[[#This Row],[Patrón corregido]]-tblResultCalib[[#This Row],[Promedio equipo]],"")</f>
        <v/>
      </c>
      <c r="Y24" s="149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7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1:41" x14ac:dyDescent="0.3">
      <c r="B25" s="21">
        <v>11</v>
      </c>
      <c r="C25" s="242"/>
      <c r="D25" s="242"/>
      <c r="E25" s="242"/>
      <c r="F25" s="242"/>
      <c r="G25" s="242"/>
      <c r="H25" s="217"/>
      <c r="I25" s="196"/>
      <c r="J25" s="196"/>
      <c r="K25" s="196"/>
      <c r="L25" s="196"/>
      <c r="M25" s="196"/>
      <c r="N25" s="196"/>
      <c r="O25" s="197">
        <f t="shared" si="2"/>
        <v>0</v>
      </c>
      <c r="P25" s="198" t="e">
        <f t="shared" si="3"/>
        <v>#DIV/0!</v>
      </c>
      <c r="Q25" s="209">
        <f t="shared" si="4"/>
        <v>0.5</v>
      </c>
      <c r="S25" s="68">
        <v>11</v>
      </c>
      <c r="T25" s="47" t="str">
        <f t="shared" ca="1" si="5"/>
        <v/>
      </c>
      <c r="U25" s="48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7" t="str">
        <f ca="1">IFERROR(tblResultCalib[[#This Row],[Promedio Patrón]]+tblResultCalib[[#This Row],[Corrección patrón]],"")</f>
        <v/>
      </c>
      <c r="W25" s="47" t="str">
        <f t="shared" ca="1" si="1"/>
        <v/>
      </c>
      <c r="X25" s="48" t="str">
        <f ca="1">IFERROR(tblResultCalib[[#This Row],[Patrón corregido]]-tblResultCalib[[#This Row],[Promedio equipo]],"")</f>
        <v/>
      </c>
      <c r="Y25" s="48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8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340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1:41" x14ac:dyDescent="0.3">
      <c r="B26" s="21">
        <v>12</v>
      </c>
      <c r="C26" s="242"/>
      <c r="D26" s="242"/>
      <c r="E26" s="242"/>
      <c r="F26" s="242"/>
      <c r="G26" s="242"/>
      <c r="H26" s="217"/>
      <c r="I26" s="196"/>
      <c r="J26" s="196"/>
      <c r="K26" s="196"/>
      <c r="L26" s="196"/>
      <c r="M26" s="196"/>
      <c r="N26" s="196"/>
      <c r="O26" s="197">
        <f t="shared" si="2"/>
        <v>0</v>
      </c>
      <c r="P26" s="198" t="e">
        <f t="shared" si="3"/>
        <v>#DIV/0!</v>
      </c>
      <c r="Q26" s="209">
        <f t="shared" si="4"/>
        <v>0.5</v>
      </c>
      <c r="S26" s="68">
        <v>12</v>
      </c>
      <c r="T26" s="47" t="str">
        <f t="shared" ca="1" si="5"/>
        <v/>
      </c>
      <c r="U26" s="48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7" t="str">
        <f ca="1">IFERROR(tblResultCalib[[#This Row],[Promedio Patrón]]+tblResultCalib[[#This Row],[Corrección patrón]],"")</f>
        <v/>
      </c>
      <c r="W26" s="47" t="str">
        <f t="shared" ca="1" si="1"/>
        <v/>
      </c>
      <c r="X26" s="48" t="str">
        <f ca="1">IFERROR(tblResultCalib[[#This Row],[Patrón corregido]]-tblResultCalib[[#This Row],[Promedio equipo]],"")</f>
        <v/>
      </c>
      <c r="Y26" s="48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8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1:41" x14ac:dyDescent="0.3">
      <c r="B27" s="21">
        <v>13</v>
      </c>
      <c r="C27" s="242"/>
      <c r="D27" s="242"/>
      <c r="E27" s="242"/>
      <c r="F27" s="242"/>
      <c r="G27" s="242"/>
      <c r="H27" s="217"/>
      <c r="I27" s="196"/>
      <c r="J27" s="196"/>
      <c r="K27" s="196"/>
      <c r="L27" s="196"/>
      <c r="M27" s="196"/>
      <c r="N27" s="196"/>
      <c r="O27" s="197">
        <f t="shared" si="2"/>
        <v>0</v>
      </c>
      <c r="P27" s="198" t="e">
        <f t="shared" si="3"/>
        <v>#DIV/0!</v>
      </c>
      <c r="Q27" s="209">
        <f t="shared" si="4"/>
        <v>0.5</v>
      </c>
      <c r="S27" s="68">
        <v>13</v>
      </c>
      <c r="T27" s="47" t="str">
        <f t="shared" ca="1" si="5"/>
        <v/>
      </c>
      <c r="U27" s="48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7" t="str">
        <f ca="1">IFERROR(tblResultCalib[[#This Row],[Promedio Patrón]]+tblResultCalib[[#This Row],[Corrección patrón]],"")</f>
        <v/>
      </c>
      <c r="W27" s="47" t="str">
        <f t="shared" ca="1" si="1"/>
        <v/>
      </c>
      <c r="X27" s="48" t="str">
        <f ca="1">IFERROR(tblResultCalib[[#This Row],[Patrón corregido]]-tblResultCalib[[#This Row],[Promedio equipo]],"")</f>
        <v/>
      </c>
      <c r="Y27" s="48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8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9" t="s">
        <v>167</v>
      </c>
      <c r="AF27" s="49">
        <v>1</v>
      </c>
      <c r="AG27" s="49">
        <v>2</v>
      </c>
      <c r="AH27" s="49">
        <v>3</v>
      </c>
      <c r="AI27" s="49">
        <v>4</v>
      </c>
      <c r="AJ27" s="49">
        <v>5</v>
      </c>
      <c r="AK27" s="49">
        <v>6</v>
      </c>
      <c r="AL27" s="49">
        <v>7</v>
      </c>
      <c r="AM27" s="49">
        <v>8</v>
      </c>
      <c r="AN27" s="49">
        <v>9</v>
      </c>
      <c r="AO27" s="49">
        <v>10</v>
      </c>
    </row>
    <row r="28" spans="1:41" x14ac:dyDescent="0.3">
      <c r="B28" s="21">
        <v>14</v>
      </c>
      <c r="C28" s="242"/>
      <c r="D28" s="242"/>
      <c r="E28" s="242"/>
      <c r="F28" s="242"/>
      <c r="G28" s="242"/>
      <c r="H28" s="217"/>
      <c r="I28" s="196"/>
      <c r="J28" s="196"/>
      <c r="K28" s="196"/>
      <c r="L28" s="196"/>
      <c r="M28" s="196"/>
      <c r="N28" s="196"/>
      <c r="O28" s="197">
        <f t="shared" si="2"/>
        <v>0</v>
      </c>
      <c r="P28" s="198" t="e">
        <f t="shared" si="3"/>
        <v>#DIV/0!</v>
      </c>
      <c r="Q28" s="209">
        <f t="shared" si="4"/>
        <v>0.5</v>
      </c>
      <c r="S28" s="68">
        <v>14</v>
      </c>
      <c r="T28" s="47" t="str">
        <f t="shared" ca="1" si="5"/>
        <v/>
      </c>
      <c r="U28" s="48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7" t="str">
        <f ca="1">IFERROR(tblResultCalib[[#This Row],[Promedio Patrón]]+tblResultCalib[[#This Row],[Corrección patrón]],"")</f>
        <v/>
      </c>
      <c r="W28" s="47" t="str">
        <f t="shared" ca="1" si="1"/>
        <v/>
      </c>
      <c r="X28" s="48" t="str">
        <f ca="1">IFERROR(tblResultCalib[[#This Row],[Patrón corregido]]-tblResultCalib[[#This Row],[Promedio equipo]],"")</f>
        <v/>
      </c>
      <c r="Y28" s="48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8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70" t="s">
        <v>161</v>
      </c>
      <c r="AF28" s="71" t="str">
        <f t="array" aca="1" ref="AF28:AO28" ca="1">TRANSPOSE($T$15:$T$29)</f>
        <v/>
      </c>
      <c r="AG28" s="71" t="str">
        <f ca="1"/>
        <v/>
      </c>
      <c r="AH28" s="71" t="str">
        <f ca="1"/>
        <v/>
      </c>
      <c r="AI28" s="71" t="str">
        <f ca="1"/>
        <v/>
      </c>
      <c r="AJ28" s="71" t="str">
        <f ca="1"/>
        <v/>
      </c>
      <c r="AK28" s="71" t="str">
        <f ca="1"/>
        <v/>
      </c>
      <c r="AL28" s="66" t="str">
        <f ca="1"/>
        <v/>
      </c>
      <c r="AM28" s="66" t="str">
        <f ca="1"/>
        <v/>
      </c>
      <c r="AN28" s="66" t="str">
        <f ca="1"/>
        <v/>
      </c>
      <c r="AO28" s="66" t="str">
        <f ca="1"/>
        <v/>
      </c>
    </row>
    <row r="29" spans="1:41" x14ac:dyDescent="0.3">
      <c r="B29" s="21">
        <v>15</v>
      </c>
      <c r="C29" s="215"/>
      <c r="D29" s="215"/>
      <c r="E29" s="215"/>
      <c r="F29" s="215"/>
      <c r="G29" s="215"/>
      <c r="H29" s="196"/>
      <c r="I29" s="196"/>
      <c r="J29" s="196"/>
      <c r="K29" s="196"/>
      <c r="L29" s="196"/>
      <c r="M29" s="196"/>
      <c r="N29" s="196"/>
      <c r="O29" s="197">
        <f t="shared" si="2"/>
        <v>0</v>
      </c>
      <c r="P29" s="198" t="e">
        <f t="shared" si="3"/>
        <v>#DIV/0!</v>
      </c>
      <c r="Q29" s="209">
        <f t="shared" si="4"/>
        <v>0.5</v>
      </c>
      <c r="S29" s="184">
        <v>15</v>
      </c>
      <c r="T29" s="47" t="str">
        <f t="shared" ca="1" si="5"/>
        <v/>
      </c>
      <c r="U29" s="186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5" t="str">
        <f ca="1">IFERROR(tblResultCalib[[#This Row],[Promedio Patrón]]+tblResultCalib[[#This Row],[Corrección patrón]],"")</f>
        <v/>
      </c>
      <c r="W29" s="185" t="str">
        <f t="shared" ca="1" si="1"/>
        <v/>
      </c>
      <c r="X29" s="186" t="str">
        <f ca="1">IFERROR(tblResultCalib[[#This Row],[Patrón corregido]]-tblResultCalib[[#This Row],[Promedio equipo]],"")</f>
        <v/>
      </c>
      <c r="Y29" s="186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8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1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8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70" t="s">
        <v>162</v>
      </c>
      <c r="AF29" s="67" t="str">
        <f ca="1">IFERROR(INDEX($T$37:$T$51,MATCH(AF$28,$T$37:OFFSET($T$37,NumPuntosCalib-1,0),1)),"")</f>
        <v/>
      </c>
      <c r="AG29" s="67" t="str">
        <f ca="1">IFERROR(INDEX($T$37:$T$51,MATCH(AG$28,$T$37:OFFSET($T$37,NumPuntosCalib-1,0),1)),"")</f>
        <v/>
      </c>
      <c r="AH29" s="67" t="str">
        <f ca="1">IFERROR(INDEX($T$37:$T$51,MATCH(AH$28,$T$37:OFFSET($T$37,NumPuntosCalib-1,0),1)),"")</f>
        <v/>
      </c>
      <c r="AI29" s="67" t="str">
        <f ca="1">IFERROR(INDEX($T$37:$T$51,MATCH(AI$28,$T$37:OFFSET($T$37,NumPuntosCalib-1,0),1)),"")</f>
        <v/>
      </c>
      <c r="AJ29" s="67" t="str">
        <f ca="1">IFERROR(INDEX($T$37:$T$51,MATCH(AJ$28,$T$37:OFFSET($T$37,NumPuntosCalib-1,0),1)),"")</f>
        <v/>
      </c>
      <c r="AK29" s="67" t="str">
        <f ca="1">IFERROR(INDEX($T$37:$T$51,MATCH(AK$28,$T$37:OFFSET($T$37,NumPuntosCalib-1,0),1)),"")</f>
        <v/>
      </c>
      <c r="AL29" s="67" t="str">
        <f ca="1">IFERROR(INDEX($T$37:$T$51,MATCH(AL$28,$T$37:OFFSET($T$37,NumPuntosCalib-1,0),1)),"")</f>
        <v/>
      </c>
      <c r="AM29" s="67" t="str">
        <f ca="1">IFERROR(INDEX($T$37:$T$51,MATCH(AM$28,$T$37:OFFSET($T$37,NumPuntosCalib-1,0),1)),"")</f>
        <v/>
      </c>
      <c r="AN29" s="67" t="str">
        <f ca="1">IFERROR(INDEX($T$37:$T$51,MATCH(AN$28,$T$37:OFFSET($T$37,NumPuntosCalib-1,0),1)),"")</f>
        <v/>
      </c>
      <c r="AO29" s="67" t="str">
        <f ca="1">IFERROR(INDEX($T$37:$T$51,MATCH(AO$28,$T$37:OFFSET($T$37,NumPuntosCalib-1,0),1)),"")</f>
        <v/>
      </c>
    </row>
    <row r="30" spans="1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70" t="s">
        <v>164</v>
      </c>
      <c r="AF30" s="67" t="str">
        <f ca="1">IFERROR(INDEX($W$37:$W$51,MATCH(AF$28,$T$37:OFFSET($T$37,NumPuntosCalib-1,0),1)),"")</f>
        <v/>
      </c>
      <c r="AG30" s="67" t="str">
        <f ca="1">IFERROR(INDEX($W$37:$W$51,MATCH(AG$28,$T$37:OFFSET($T$37,NumPuntosCalib-1,0),1)),"")</f>
        <v/>
      </c>
      <c r="AH30" s="67" t="str">
        <f ca="1">IFERROR(INDEX($W$37:$W$51,MATCH(AH$28,$T$37:OFFSET($T$37,NumPuntosCalib-1,0),1)),"")</f>
        <v/>
      </c>
      <c r="AI30" s="67" t="str">
        <f ca="1">IFERROR(INDEX($W$37:$W$51,MATCH(AI$28,$T$37:OFFSET($T$37,NumPuntosCalib-1,0),1)),"")</f>
        <v/>
      </c>
      <c r="AJ30" s="67" t="str">
        <f ca="1">IFERROR(INDEX($W$37:$W$51,MATCH(AJ$28,$T$37:OFFSET($T$37,NumPuntosCalib-1,0),1)),"")</f>
        <v/>
      </c>
      <c r="AK30" s="67" t="str">
        <f ca="1">IFERROR(INDEX($W$37:$W$51,MATCH(AK$28,$T$37:OFFSET($T$37,NumPuntosCalib-1,0),1)),"")</f>
        <v/>
      </c>
      <c r="AL30" s="67" t="str">
        <f ca="1">IFERROR(INDEX($W$37:$W$51,MATCH(AL$28,$T$37:OFFSET($T$37,NumPuntosCalib-1,0),1)),"")</f>
        <v/>
      </c>
      <c r="AM30" s="67" t="str">
        <f ca="1">IFERROR(INDEX($W$37:$W$51,MATCH(AM$28,$T$37:OFFSET($T$37,NumPuntosCalib-1,0),1)),"")</f>
        <v/>
      </c>
      <c r="AN30" s="67" t="str">
        <f ca="1">IFERROR(INDEX($W$37:$W$51,MATCH(AN$28,$T$37:OFFSET($T$37,NumPuntosCalib-1,0),1)),"")</f>
        <v/>
      </c>
      <c r="AO30" s="67" t="str">
        <f ca="1">IFERROR(INDEX($W$37:$W$51,MATCH(AO$28,$T$37:OFFSET($T$37,NumPuntosCalib-1,0),1)),"")</f>
        <v/>
      </c>
    </row>
    <row r="31" spans="1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70" t="s">
        <v>163</v>
      </c>
      <c r="AF31" s="67" t="str">
        <f ca="1">IFERROR(INDEX($T$37:$T$51,MATCH(AF$28,$T$37:OFFSET($T$37,NumPuntosCalib-1,0),1)+1),"")</f>
        <v/>
      </c>
      <c r="AG31" s="67" t="str">
        <f ca="1">IFERROR(INDEX($T$37:$T$51,MATCH(AG$28,$T$37:OFFSET($T$37,NumPuntosCalib-1,0),1)+1),"")</f>
        <v/>
      </c>
      <c r="AH31" s="67" t="str">
        <f ca="1">IFERROR(INDEX($T$37:$T$51,MATCH(AH$28,$T$37:OFFSET($T$37,NumPuntosCalib-1,0),1)+1),"")</f>
        <v/>
      </c>
      <c r="AI31" s="67" t="str">
        <f ca="1">IFERROR(INDEX($T$37:$T$51,MATCH(AI$28,$T$37:OFFSET($T$37,NumPuntosCalib-1,0),1)+1),"")</f>
        <v/>
      </c>
      <c r="AJ31" s="67" t="str">
        <f ca="1">IFERROR(INDEX($T$37:$T$51,MATCH(AJ$28,$T$37:OFFSET($T$37,NumPuntosCalib-1,0),1)+1),"")</f>
        <v/>
      </c>
      <c r="AK31" s="67" t="str">
        <f ca="1">IFERROR(INDEX($T$37:$T$51,MATCH(AK$28,$T$37:OFFSET($T$37,NumPuntosCalib-1,0),1)+1),"")</f>
        <v/>
      </c>
      <c r="AL31" s="67" t="str">
        <f ca="1">IFERROR(INDEX($T$37:$T$51,MATCH(AL$28,$T$37:OFFSET($T$37,NumPuntosCalib-1,0),1)+1),"")</f>
        <v/>
      </c>
      <c r="AM31" s="67" t="str">
        <f ca="1">IFERROR(INDEX($T$37:$T$51,MATCH(AM$28,$T$37:OFFSET($T$37,NumPuntosCalib-1,0),1)+1),"")</f>
        <v/>
      </c>
      <c r="AN31" s="67" t="str">
        <f ca="1">IFERROR(INDEX($T$37:$T$51,MATCH(AN$28,$T$37:OFFSET($T$37,NumPuntosCalib-1,0),1)+1),"")</f>
        <v/>
      </c>
      <c r="AO31" s="67" t="str">
        <f ca="1">IFERROR(INDEX($T$37:$T$51,MATCH(AO$28,$T$37:OFFSET($T$37,NumPuntosCalib-1,0),1)+1),"")</f>
        <v/>
      </c>
    </row>
    <row r="32" spans="1:41" x14ac:dyDescent="0.3">
      <c r="AE32" s="70" t="s">
        <v>165</v>
      </c>
      <c r="AF32" s="67" t="str">
        <f ca="1">IFERROR(INDEX($W$37:$W$51,MATCH(AF$28,$T$37:OFFSET($T$37,NumPuntosCalib-1,0),1)+1),"")</f>
        <v/>
      </c>
      <c r="AG32" s="67" t="str">
        <f ca="1">IFERROR(INDEX($W$37:$W$51,MATCH(AG$28,$T$37:OFFSET($T$37,NumPuntosCalib-1,0),1)+1),"")</f>
        <v/>
      </c>
      <c r="AH32" s="67" t="str">
        <f ca="1">IFERROR(INDEX($W$37:$W$51,MATCH(AH$28,$T$37:OFFSET($T$37,NumPuntosCalib-1,0),1)+1),"")</f>
        <v/>
      </c>
      <c r="AI32" s="67" t="str">
        <f ca="1">IFERROR(INDEX($W$37:$W$51,MATCH(AI$28,$T$37:OFFSET($T$37,NumPuntosCalib-1,0),1)+1),"")</f>
        <v/>
      </c>
      <c r="AJ32" s="67" t="str">
        <f ca="1">IFERROR(INDEX($W$37:$W$51,MATCH(AJ$28,$T$37:OFFSET($T$37,NumPuntosCalib-1,0),1)+1),"")</f>
        <v/>
      </c>
      <c r="AK32" s="67" t="str">
        <f ca="1">IFERROR(INDEX($W$37:$W$51,MATCH(AK$28,$T$37:OFFSET($T$37,NumPuntosCalib-1,0),1)+1),"")</f>
        <v/>
      </c>
      <c r="AL32" s="67" t="str">
        <f ca="1">IFERROR(INDEX($W$37:$W$51,MATCH(AL$28,$T$37:OFFSET($T$37,NumPuntosCalib-1,0),1)+1),"")</f>
        <v/>
      </c>
      <c r="AM32" s="67" t="str">
        <f ca="1">IFERROR(INDEX($W$37:$W$51,MATCH(AM$28,$T$37:OFFSET($T$37,NumPuntosCalib-1,0),1)+1),"")</f>
        <v/>
      </c>
      <c r="AN32" s="67" t="str">
        <f ca="1">IFERROR(INDEX($W$37:$W$51,MATCH(AN$28,$T$37:OFFSET($T$37,NumPuntosCalib-1,0),1)+1),"")</f>
        <v/>
      </c>
      <c r="AO32" s="67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7"/>
      <c r="M33" s="207"/>
      <c r="S33" s="16"/>
      <c r="T33" s="16" t="s">
        <v>331</v>
      </c>
      <c r="U33" s="16"/>
      <c r="V33" s="16"/>
      <c r="W33" s="16" t="str">
        <f>CONCATENATE("[Todo en ", unidad,"]")</f>
        <v>[Todo en psi]</v>
      </c>
      <c r="Y33" s="16" t="s">
        <v>332</v>
      </c>
      <c r="Z33" s="16"/>
      <c r="AA33" s="16"/>
      <c r="AB33" s="16" t="str">
        <f>CONCATENATE("[Todo en ", unidad,"]")</f>
        <v>[Todo en psi]</v>
      </c>
      <c r="AE33" s="70" t="s">
        <v>166</v>
      </c>
      <c r="AF33" s="121" t="str">
        <f t="shared" ref="AF33:AO33" ca="1" si="7">IFERROR(AF30+(AF28-AF29)*(AF32-AF30)/(AF31-AF29),"")</f>
        <v/>
      </c>
      <c r="AG33" s="121" t="str">
        <f t="shared" ca="1" si="7"/>
        <v/>
      </c>
      <c r="AH33" s="121" t="str">
        <f t="shared" ca="1" si="7"/>
        <v/>
      </c>
      <c r="AI33" s="121" t="str">
        <f t="shared" ca="1" si="7"/>
        <v/>
      </c>
      <c r="AJ33" s="121" t="str">
        <f t="shared" ca="1" si="7"/>
        <v/>
      </c>
      <c r="AK33" s="121" t="str">
        <f t="shared" ca="1" si="7"/>
        <v/>
      </c>
      <c r="AL33" s="121" t="str">
        <f t="shared" ca="1" si="7"/>
        <v/>
      </c>
      <c r="AM33" s="121" t="str">
        <f t="shared" ca="1" si="7"/>
        <v/>
      </c>
      <c r="AN33" s="121" t="str">
        <f t="shared" ca="1" si="7"/>
        <v/>
      </c>
      <c r="AO33" s="121" t="str">
        <f t="shared" ca="1" si="7"/>
        <v/>
      </c>
    </row>
    <row r="35" spans="2:41" x14ac:dyDescent="0.3">
      <c r="C35" s="16" t="s">
        <v>95</v>
      </c>
      <c r="D35" s="16"/>
      <c r="E35" s="16"/>
      <c r="M35" s="16" t="s">
        <v>308</v>
      </c>
      <c r="N35" s="16"/>
      <c r="O35" s="16"/>
      <c r="T35" s="28" t="s">
        <v>121</v>
      </c>
      <c r="U35" s="27" t="str">
        <f>I3</f>
        <v>NI-MCPP-05</v>
      </c>
      <c r="Z35" s="28" t="s">
        <v>121</v>
      </c>
      <c r="AA35" s="27">
        <f>I5</f>
        <v>0</v>
      </c>
    </row>
    <row r="36" spans="2:41" ht="44.4" x14ac:dyDescent="0.3">
      <c r="C36" s="72" t="s">
        <v>318</v>
      </c>
      <c r="D36" s="72" t="s">
        <v>319</v>
      </c>
      <c r="E36" s="72" t="s">
        <v>96</v>
      </c>
      <c r="F36" s="101" t="s">
        <v>168</v>
      </c>
      <c r="G36" s="98" t="s">
        <v>318</v>
      </c>
      <c r="H36" s="72" t="s">
        <v>319</v>
      </c>
      <c r="I36" s="72" t="s">
        <v>96</v>
      </c>
      <c r="J36" s="72" t="s">
        <v>168</v>
      </c>
      <c r="K36" s="72" t="s">
        <v>232</v>
      </c>
      <c r="M36" s="72" t="s">
        <v>137</v>
      </c>
      <c r="N36" s="51" t="s">
        <v>343</v>
      </c>
      <c r="O36" s="72" t="s">
        <v>237</v>
      </c>
      <c r="P36" s="72" t="s">
        <v>238</v>
      </c>
      <c r="Q36" s="72" t="s">
        <v>296</v>
      </c>
      <c r="S36" s="30" t="s">
        <v>102</v>
      </c>
      <c r="T36" s="49" t="s">
        <v>333</v>
      </c>
      <c r="U36" s="49" t="s">
        <v>217</v>
      </c>
      <c r="V36" s="49" t="s">
        <v>1357</v>
      </c>
      <c r="W36" s="49" t="s">
        <v>156</v>
      </c>
      <c r="Y36" s="30" t="s">
        <v>102</v>
      </c>
      <c r="Z36" s="49" t="s">
        <v>333</v>
      </c>
      <c r="AA36" s="49" t="s">
        <v>217</v>
      </c>
      <c r="AB36" s="49" t="s">
        <v>1357</v>
      </c>
      <c r="AC36" s="49" t="s">
        <v>156</v>
      </c>
      <c r="AE36" s="16" t="s">
        <v>341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50" t="str">
        <f>unidad</f>
        <v>psi</v>
      </c>
      <c r="D37" s="50" t="str">
        <f>unidad</f>
        <v>psi</v>
      </c>
      <c r="E37" s="50" t="str">
        <f>unidad</f>
        <v>psi</v>
      </c>
      <c r="F37" s="102" t="str">
        <f>unidad</f>
        <v>psi</v>
      </c>
      <c r="G37" s="99" t="s">
        <v>296</v>
      </c>
      <c r="H37" s="50" t="s">
        <v>296</v>
      </c>
      <c r="I37" s="50" t="s">
        <v>296</v>
      </c>
      <c r="J37" s="50" t="s">
        <v>296</v>
      </c>
      <c r="K37" s="50" t="str">
        <f>unidad</f>
        <v>psi</v>
      </c>
      <c r="M37" s="199" t="s">
        <v>237</v>
      </c>
      <c r="N37" s="195">
        <v>1</v>
      </c>
      <c r="O37" s="195">
        <v>1</v>
      </c>
      <c r="P37" s="195">
        <v>6.8947599999999998E-2</v>
      </c>
      <c r="Q37" s="270">
        <v>6.8947570000000002</v>
      </c>
      <c r="S37" s="21">
        <v>1</v>
      </c>
      <c r="T37" s="193">
        <f>INDEX(Cert_patrones[[#All],[Código Patrón]:[Deriva]],MATCH($U$35,Cert_patrones[Código Patrón],0)+S37,3)*coef_unidad</f>
        <v>0</v>
      </c>
      <c r="U37" s="193">
        <f>INDEX(Cert_patrones[[#All],[Código Patrón]:[Deriva]],MATCH($U$35,Cert_patrones[Código Patrón],0)+S37,4)*coef_unidad</f>
        <v>0</v>
      </c>
      <c r="V37" s="193">
        <f>INDEX(Cert_patrones[[#All],[Código Patrón]:[Deriva]],MATCH($U$35,Cert_patrones[Código Patrón],0)+S37,5)*coef_unidad</f>
        <v>5.2999999999999999E-2</v>
      </c>
      <c r="W37" s="193">
        <f>INDEX(Cert_patrones[[#All],[Código Patrón]:[Deriva]],MATCH($U$35,Cert_patrones[Código Patrón],0)+S37,9)*coef_unidad</f>
        <v>0</v>
      </c>
      <c r="Y37" s="21">
        <v>1</v>
      </c>
      <c r="Z37" s="193" t="str">
        <f>IFERROR(INDEX(Cert_patrones[[#All],[Código Patrón]:[Deriva]],MATCH($AA$35,Cert_patrones[Código Patrón],0)+Y37,3)*coef_unidad,"")</f>
        <v/>
      </c>
      <c r="AA37" s="193" t="str">
        <f>IFERROR(INDEX(Cert_patrones[[#All],[Código Patrón]:[Deriva]],MATCH($AA$35,Cert_patrones[Código Patrón],0)+Y37,4)*coef_unidad,"")</f>
        <v/>
      </c>
      <c r="AB37" s="193" t="str">
        <f>IFERROR(INDEX(Cert_patrones[[#All],[Código Patrón]:[Deriva]],MATCH($AA$35,Cert_patrones[Código Patrón],0)+Y37,5)*coef_unidad,"")</f>
        <v/>
      </c>
      <c r="AC37" s="193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7" t="str">
        <f ca="1">V15</f>
        <v/>
      </c>
      <c r="D38" s="97" t="str">
        <f t="shared" ref="D38:D52" ca="1" si="8">W15</f>
        <v/>
      </c>
      <c r="E38" s="97" t="str">
        <f t="shared" ref="E38:E52" ca="1" si="9">X15</f>
        <v/>
      </c>
      <c r="F38" s="100" t="str">
        <f ca="1">IFERROR(IF(C38&lt;&gt;"",'kU(E)'!G19*'kU(E)'!G56,""),"")</f>
        <v/>
      </c>
      <c r="G38" s="282" t="str">
        <f t="shared" ref="G38:G52" ca="1" si="10">IFERROR(V15*INDEX($M$37:$Q$51,MATCH(unidad,$M$37:$M$51,0),5),"")</f>
        <v/>
      </c>
      <c r="H38" s="97" t="str">
        <f t="shared" ref="H38:H52" ca="1" si="11">IFERROR(W15*INDEX($M$37:$Q$51,MATCH(unidad,$M$37:$M$51,0),5),"")</f>
        <v/>
      </c>
      <c r="I38" s="97" t="str">
        <f t="shared" ref="I38:I52" ca="1" si="12">IFERROR(X15*INDEX($M$37:$Q$51,MATCH(unidad,$M$37:$M$51,0),5),"")</f>
        <v/>
      </c>
      <c r="J38" s="100" t="str">
        <f t="shared" ref="J38:J52" ca="1" si="13">IFERROR(F38*INDEX($M$37:$Q$51,MATCH(unidad,$M$37:$M$51,0),5),"")</f>
        <v/>
      </c>
      <c r="K38" s="210" t="str">
        <f ca="1">IFERROR(IF(C38="","",#REF!),"")</f>
        <v/>
      </c>
      <c r="M38" s="199" t="s">
        <v>238</v>
      </c>
      <c r="N38" s="195">
        <v>6.8947999999999995E-2</v>
      </c>
      <c r="O38" s="195">
        <v>6.8947999999999995E-2</v>
      </c>
      <c r="P38" s="195">
        <v>1</v>
      </c>
      <c r="Q38" s="270">
        <v>100</v>
      </c>
      <c r="S38" s="21">
        <v>2</v>
      </c>
      <c r="T38" s="194">
        <f>INDEX(Cert_patrones[[#All],[Código Patrón]:[Deriva]],MATCH($U$35,Cert_patrones[Código Patrón],0)+S38,3)*coef_unidad</f>
        <v>59.9</v>
      </c>
      <c r="U38" s="194">
        <f>INDEX(Cert_patrones[[#All],[Código Patrón]:[Deriva]],MATCH($U$35,Cert_patrones[Código Patrón],0)+S38,4)*coef_unidad</f>
        <v>0</v>
      </c>
      <c r="V38" s="194">
        <f>INDEX(Cert_patrones[[#All],[Código Patrón]:[Deriva]],MATCH($U$35,Cert_patrones[Código Patrón],0)+S38,5)*coef_unidad</f>
        <v>5.2999999999999999E-2</v>
      </c>
      <c r="W38" s="194">
        <f>INDEX(Cert_patrones[[#All],[Código Patrón]:[Deriva]],MATCH($U$35,Cert_patrones[Código Patrón],0)+S38,9)*coef_unidad</f>
        <v>0.05</v>
      </c>
      <c r="Y38" s="21">
        <v>2</v>
      </c>
      <c r="Z38" s="194" t="str">
        <f>IFERROR(INDEX(Cert_patrones[[#All],[Código Patrón]:[Deriva]],MATCH($AA$35,Cert_patrones[Código Patrón],0)+Y38,3)*coef_unidad,"")</f>
        <v/>
      </c>
      <c r="AA38" s="194" t="str">
        <f>IFERROR(INDEX(Cert_patrones[[#All],[Código Patrón]:[Deriva]],MATCH($AA$35,Cert_patrones[Código Patrón],0)+Y38,4)*coef_unidad,"")</f>
        <v/>
      </c>
      <c r="AB38" s="194" t="str">
        <f>IFERROR(INDEX(Cert_patrones[[#All],[Código Patrón]:[Deriva]],MATCH($AA$35,Cert_patrones[Código Patrón],0)+Y38,5)*coef_unidad,"")</f>
        <v/>
      </c>
      <c r="AC38" s="194" t="str">
        <f>IFERROR(INDEX(Cert_patrones[[#All],[Código Patrón]:[Deriva]],MATCH($AA$35,Cert_patrones[Código Patrón],0)+Y38,9)*coef_unidad,"")</f>
        <v/>
      </c>
      <c r="AE38" s="49" t="s">
        <v>167</v>
      </c>
      <c r="AF38" s="49">
        <v>1</v>
      </c>
      <c r="AG38" s="49">
        <v>2</v>
      </c>
      <c r="AH38" s="49">
        <v>3</v>
      </c>
      <c r="AI38" s="49">
        <v>4</v>
      </c>
      <c r="AJ38" s="49">
        <v>5</v>
      </c>
      <c r="AK38" s="49">
        <v>6</v>
      </c>
      <c r="AL38" s="49">
        <v>7</v>
      </c>
      <c r="AM38" s="49">
        <v>8</v>
      </c>
      <c r="AN38" s="49">
        <v>9</v>
      </c>
      <c r="AO38" s="49">
        <v>10</v>
      </c>
    </row>
    <row r="39" spans="2:41" x14ac:dyDescent="0.3">
      <c r="B39">
        <v>2</v>
      </c>
      <c r="C39" s="97" t="str">
        <f t="shared" ref="C39:C52" ca="1" si="14">V16</f>
        <v/>
      </c>
      <c r="D39" s="97" t="str">
        <f t="shared" ca="1" si="8"/>
        <v/>
      </c>
      <c r="E39" s="97" t="str">
        <f t="shared" ca="1" si="9"/>
        <v/>
      </c>
      <c r="F39" s="100" t="str">
        <f ca="1">IFERROR(IF(C39&lt;&gt;"",'kU(E)'!H19*'kU(E)'!G57,""),"")</f>
        <v/>
      </c>
      <c r="G39" s="282" t="str">
        <f t="shared" ca="1" si="10"/>
        <v/>
      </c>
      <c r="H39" s="97" t="str">
        <f t="shared" ca="1" si="11"/>
        <v/>
      </c>
      <c r="I39" s="97" t="str">
        <f t="shared" ca="1" si="12"/>
        <v/>
      </c>
      <c r="J39" s="100" t="str">
        <f t="shared" ca="1" si="13"/>
        <v/>
      </c>
      <c r="K39" s="210" t="str">
        <f ca="1">IFERROR(IF(C39="","",#REF!),"")</f>
        <v/>
      </c>
      <c r="M39" s="199" t="s">
        <v>239</v>
      </c>
      <c r="N39" s="270">
        <v>6894.7573000000002</v>
      </c>
      <c r="O39" s="270">
        <v>6894.7573000000002</v>
      </c>
      <c r="P39" s="195">
        <v>1.0000000000000001E-5</v>
      </c>
      <c r="Q39" s="270">
        <v>1E-3</v>
      </c>
      <c r="S39" s="21">
        <v>3</v>
      </c>
      <c r="T39" s="194">
        <f>INDEX(Cert_patrones[[#All],[Código Patrón]:[Deriva]],MATCH($U$35,Cert_patrones[Código Patrón],0)+S39,3)*coef_unidad</f>
        <v>79.91</v>
      </c>
      <c r="U39" s="194">
        <f>INDEX(Cert_patrones[[#All],[Código Patrón]:[Deriva]],MATCH($U$35,Cert_patrones[Código Patrón],0)+S39,4)*coef_unidad</f>
        <v>0</v>
      </c>
      <c r="V39" s="194">
        <f>INDEX(Cert_patrones[[#All],[Código Patrón]:[Deriva]],MATCH($U$35,Cert_patrones[Código Patrón],0)+S39,5)*coef_unidad</f>
        <v>6.9599999999999995E-2</v>
      </c>
      <c r="W39" s="194">
        <f>INDEX(Cert_patrones[[#All],[Código Patrón]:[Deriva]],MATCH($U$35,Cert_patrones[Código Patrón],0)+S39,9)*coef_unidad</f>
        <v>0.01</v>
      </c>
      <c r="Y39" s="21">
        <v>3</v>
      </c>
      <c r="Z39" s="194" t="str">
        <f>IFERROR(INDEX(Cert_patrones[[#All],[Código Patrón]:[Deriva]],MATCH($AA$35,Cert_patrones[Código Patrón],0)+Y39,3)*coef_unidad,"")</f>
        <v/>
      </c>
      <c r="AA39" s="194" t="str">
        <f>IFERROR(INDEX(Cert_patrones[[#All],[Código Patrón]:[Deriva]],MATCH($AA$35,Cert_patrones[Código Patrón],0)+Y39,4)*coef_unidad,"")</f>
        <v/>
      </c>
      <c r="AB39" s="194" t="str">
        <f>IFERROR(INDEX(Cert_patrones[[#All],[Código Patrón]:[Deriva]],MATCH($AA$35,Cert_patrones[Código Patrón],0)+Y39,5)*coef_unidad,"")</f>
        <v/>
      </c>
      <c r="AC39" s="194" t="str">
        <f>IFERROR(INDEX(Cert_patrones[[#All],[Código Patrón]:[Deriva]],MATCH($AA$35,Cert_patrones[Código Patrón],0)+Y39,9)*coef_unidad,"")</f>
        <v/>
      </c>
      <c r="AE39" s="70" t="s">
        <v>161</v>
      </c>
      <c r="AF39" s="71" t="str">
        <f t="array" aca="1" ref="AF39:AO39" ca="1">TRANSPOSE($T$15:$T$29)</f>
        <v/>
      </c>
      <c r="AG39" s="71" t="str">
        <f ca="1"/>
        <v/>
      </c>
      <c r="AH39" s="71" t="str">
        <f ca="1"/>
        <v/>
      </c>
      <c r="AI39" s="71" t="str">
        <f ca="1"/>
        <v/>
      </c>
      <c r="AJ39" s="71" t="str">
        <f ca="1"/>
        <v/>
      </c>
      <c r="AK39" s="71" t="str">
        <f ca="1"/>
        <v/>
      </c>
      <c r="AL39" s="66" t="str">
        <f ca="1"/>
        <v/>
      </c>
      <c r="AM39" s="66" t="str">
        <f ca="1"/>
        <v/>
      </c>
      <c r="AN39" s="66" t="str">
        <f ca="1"/>
        <v/>
      </c>
      <c r="AO39" s="66" t="str">
        <f ca="1"/>
        <v/>
      </c>
    </row>
    <row r="40" spans="2:41" x14ac:dyDescent="0.3">
      <c r="B40">
        <v>3</v>
      </c>
      <c r="C40" s="97" t="str">
        <f t="shared" ca="1" si="14"/>
        <v/>
      </c>
      <c r="D40" s="97" t="str">
        <f t="shared" ca="1" si="8"/>
        <v/>
      </c>
      <c r="E40" s="97" t="str">
        <f t="shared" ca="1" si="9"/>
        <v/>
      </c>
      <c r="F40" s="100" t="str">
        <f ca="1">IFERROR(IF(C40&lt;&gt;"",'kU(E)'!I19*'kU(E)'!G58,""),"")</f>
        <v/>
      </c>
      <c r="G40" s="282" t="str">
        <f t="shared" ca="1" si="10"/>
        <v/>
      </c>
      <c r="H40" s="97" t="str">
        <f t="shared" ca="1" si="11"/>
        <v/>
      </c>
      <c r="I40" s="97" t="str">
        <f t="shared" ca="1" si="12"/>
        <v/>
      </c>
      <c r="J40" s="100" t="str">
        <f t="shared" ca="1" si="13"/>
        <v/>
      </c>
      <c r="K40" s="210" t="str">
        <f ca="1">IFERROR(IF(C40="","",#REF!),"")</f>
        <v/>
      </c>
      <c r="M40" s="199" t="s">
        <v>296</v>
      </c>
      <c r="N40" s="195">
        <v>6.8948</v>
      </c>
      <c r="O40" s="195">
        <v>6.8948</v>
      </c>
      <c r="P40" s="195">
        <v>0.01</v>
      </c>
      <c r="Q40" s="270">
        <v>1</v>
      </c>
      <c r="S40" s="21">
        <v>4</v>
      </c>
      <c r="T40" s="194">
        <f>INDEX(Cert_patrones[[#All],[Código Patrón]:[Deriva]],MATCH($U$35,Cert_patrones[Código Patrón],0)+S40,3)*coef_unidad</f>
        <v>100.06</v>
      </c>
      <c r="U40" s="194">
        <f>INDEX(Cert_patrones[[#All],[Código Patrón]:[Deriva]],MATCH($U$35,Cert_patrones[Código Patrón],0)+S40,4)*coef_unidad</f>
        <v>-8.6999999999999994E-3</v>
      </c>
      <c r="V40" s="194">
        <f>INDEX(Cert_patrones[[#All],[Código Patrón]:[Deriva]],MATCH($U$35,Cert_patrones[Código Patrón],0)+S40,5)*coef_unidad</f>
        <v>7.5399999999999995E-2</v>
      </c>
      <c r="W40" s="194">
        <f>INDEX(Cert_patrones[[#All],[Código Patrón]:[Deriva]],MATCH($U$35,Cert_patrones[Código Patrón],0)+S40,9)*coef_unidad</f>
        <v>1.8700000000000001E-2</v>
      </c>
      <c r="Y40" s="21">
        <v>4</v>
      </c>
      <c r="Z40" s="194" t="str">
        <f>IFERROR(INDEX(Cert_patrones[[#All],[Código Patrón]:[Deriva]],MATCH($AA$35,Cert_patrones[Código Patrón],0)+Y40,3)*coef_unidad,"")</f>
        <v/>
      </c>
      <c r="AA40" s="194" t="str">
        <f>IFERROR(INDEX(Cert_patrones[[#All],[Código Patrón]:[Deriva]],MATCH($AA$35,Cert_patrones[Código Patrón],0)+Y40,4)*coef_unidad,"")</f>
        <v/>
      </c>
      <c r="AB40" s="194" t="str">
        <f>IFERROR(INDEX(Cert_patrones[[#All],[Código Patrón]:[Deriva]],MATCH($AA$35,Cert_patrones[Código Patrón],0)+Y40,5)*coef_unidad,"")</f>
        <v/>
      </c>
      <c r="AC40" s="194" t="str">
        <f>IFERROR(INDEX(Cert_patrones[[#All],[Código Patrón]:[Deriva]],MATCH($AA$35,Cert_patrones[Código Patrón],0)+Y40,9)*coef_unidad,"")</f>
        <v/>
      </c>
      <c r="AE40" s="70" t="s">
        <v>162</v>
      </c>
      <c r="AF40" s="67" t="str">
        <f ca="1">IFERROR(INDEX($Z$37:$Z$51,MATCH(AF$39,$Z$37:OFFSET($Z$37,NumPuntosCalib2-1,0),1)),"")</f>
        <v/>
      </c>
      <c r="AG40" s="67" t="str">
        <f ca="1">IFERROR(INDEX($Z$37:$Z$51,MATCH(AG$39,$Z$37:OFFSET($Z$37,NumPuntosCalib2-1,0),1)),"")</f>
        <v/>
      </c>
      <c r="AH40" s="67" t="str">
        <f ca="1">IFERROR(INDEX($Z$37:$Z$51,MATCH(AH$39,$Z$37:OFFSET($Z$37,NumPuntosCalib2-1,0),1)),"")</f>
        <v/>
      </c>
      <c r="AI40" s="67" t="str">
        <f ca="1">IFERROR(INDEX($Z$37:$Z$51,MATCH(AI$39,$Z$37:OFFSET($Z$37,NumPuntosCalib2-1,0),1)),"")</f>
        <v/>
      </c>
      <c r="AJ40" s="67" t="str">
        <f ca="1">IFERROR(INDEX($Z$37:$Z$51,MATCH(AJ$39,$Z$37:OFFSET($Z$37,NumPuntosCalib2-1,0),1)),"")</f>
        <v/>
      </c>
      <c r="AK40" s="67" t="str">
        <f ca="1">IFERROR(INDEX($Z$37:$Z$51,MATCH(AK$39,$Z$37:OFFSET($Z$37,NumPuntosCalib2-1,0),1)),"")</f>
        <v/>
      </c>
      <c r="AL40" s="67" t="str">
        <f ca="1">IFERROR(INDEX($Z$37:$Z$51,MATCH(AL$39,$Z$37:OFFSET($Z$37,NumPuntosCalib2-1,0),1)),"")</f>
        <v/>
      </c>
      <c r="AM40" s="67" t="str">
        <f ca="1">IFERROR(INDEX($Z$37:$Z$51,MATCH(AM$39,$Z$37:OFFSET($Z$37,NumPuntosCalib2-1,0),1)),"")</f>
        <v/>
      </c>
      <c r="AN40" s="67" t="str">
        <f ca="1">IFERROR(INDEX($Z$37:$Z$51,MATCH(AN$39,$Z$37:OFFSET($Z$37,NumPuntosCalib2-1,0),1)),"")</f>
        <v/>
      </c>
      <c r="AO40" s="67" t="str">
        <f ca="1">IFERROR(INDEX($Z$37:$Z$51,MATCH(AO$39,$Z$37:OFFSET($Z$37,NumPuntosCalib2-1,0),1)),"")</f>
        <v/>
      </c>
    </row>
    <row r="41" spans="2:41" x14ac:dyDescent="0.3">
      <c r="B41">
        <v>4</v>
      </c>
      <c r="C41" s="97" t="str">
        <f t="shared" ca="1" si="14"/>
        <v/>
      </c>
      <c r="D41" s="97" t="str">
        <f t="shared" ca="1" si="8"/>
        <v/>
      </c>
      <c r="E41" s="97" t="str">
        <f t="shared" ca="1" si="9"/>
        <v/>
      </c>
      <c r="F41" s="100" t="str">
        <f ca="1">IFERROR(IF(C41&lt;&gt;"",'kU(E)'!J19*'kU(E)'!G59,""),"")</f>
        <v/>
      </c>
      <c r="G41" s="282" t="str">
        <f t="shared" ca="1" si="10"/>
        <v/>
      </c>
      <c r="H41" s="97" t="str">
        <f t="shared" ca="1" si="11"/>
        <v/>
      </c>
      <c r="I41" s="97" t="str">
        <f t="shared" ca="1" si="12"/>
        <v/>
      </c>
      <c r="J41" s="100" t="str">
        <f t="shared" ca="1" si="13"/>
        <v/>
      </c>
      <c r="K41" s="210" t="str">
        <f ca="1">IFERROR(IF(C41="","",#REF!),"")</f>
        <v/>
      </c>
      <c r="M41" s="199" t="s">
        <v>240</v>
      </c>
      <c r="N41" s="195">
        <v>68.947999999999993</v>
      </c>
      <c r="O41" s="195">
        <v>68.947999999999993</v>
      </c>
      <c r="P41" s="195">
        <v>1E-3</v>
      </c>
      <c r="Q41" s="270">
        <v>0.01</v>
      </c>
      <c r="S41" s="21">
        <v>5</v>
      </c>
      <c r="T41" s="194">
        <f>INDEX(Cert_patrones[[#All],[Código Patrón]:[Deriva]],MATCH($U$35,Cert_patrones[Código Patrón],0)+S41,3)*coef_unidad</f>
        <v>159.97</v>
      </c>
      <c r="U41" s="194">
        <f>INDEX(Cert_patrones[[#All],[Código Patrón]:[Deriva]],MATCH($U$35,Cert_patrones[Código Patrón],0)+S41,4)*coef_unidad</f>
        <v>-4.4000000000000003E-3</v>
      </c>
      <c r="V41" s="194">
        <f>INDEX(Cert_patrones[[#All],[Código Patrón]:[Deriva]],MATCH($U$35,Cert_patrones[Código Patrón],0)+S41,5)*coef_unidad</f>
        <v>7.5399999999999995E-2</v>
      </c>
      <c r="W41" s="194">
        <f>INDEX(Cert_patrones[[#All],[Código Patrón]:[Deriva]],MATCH($U$35,Cert_patrones[Código Patrón],0)+S41,9)*coef_unidad</f>
        <v>4.4400000000000002E-2</v>
      </c>
      <c r="Y41" s="21">
        <v>5</v>
      </c>
      <c r="Z41" s="194" t="str">
        <f>IFERROR(INDEX(Cert_patrones[[#All],[Código Patrón]:[Deriva]],MATCH($AA$35,Cert_patrones[Código Patrón],0)+Y41,3)*coef_unidad,"")</f>
        <v/>
      </c>
      <c r="AA41" s="194" t="str">
        <f>IFERROR(INDEX(Cert_patrones[[#All],[Código Patrón]:[Deriva]],MATCH($AA$35,Cert_patrones[Código Patrón],0)+Y41,4)*coef_unidad,"")</f>
        <v/>
      </c>
      <c r="AB41" s="194" t="str">
        <f>IFERROR(INDEX(Cert_patrones[[#All],[Código Patrón]:[Deriva]],MATCH($AA$35,Cert_patrones[Código Patrón],0)+Y41,5)*coef_unidad,"")</f>
        <v/>
      </c>
      <c r="AC41" s="194" t="str">
        <f>IFERROR(INDEX(Cert_patrones[[#All],[Código Patrón]:[Deriva]],MATCH($AA$35,Cert_patrones[Código Patrón],0)+Y41,9)*coef_unidad,"")</f>
        <v/>
      </c>
      <c r="AE41" s="70" t="s">
        <v>164</v>
      </c>
      <c r="AF41" s="67" t="str">
        <f ca="1">IFERROR(INDEX($AA$37:$AA$51,MATCH(AF$39,$Z$37:OFFSET($Z$37,NumPuntosCalib2-1,0),1)),"")</f>
        <v/>
      </c>
      <c r="AG41" s="67" t="str">
        <f ca="1">IFERROR(INDEX($AA$37:$AA$51,MATCH(AG$39,$Z$37:OFFSET($Z$37,NumPuntosCalib2-1,0),1)),"")</f>
        <v/>
      </c>
      <c r="AH41" s="67" t="str">
        <f ca="1">IFERROR(INDEX($AA$37:$AA$51,MATCH(AH$39,$Z$37:OFFSET($Z$37,NumPuntosCalib2-1,0),1)),"")</f>
        <v/>
      </c>
      <c r="AI41" s="67" t="str">
        <f ca="1">IFERROR(INDEX($AA$37:$AA$51,MATCH(AI$39,$Z$37:OFFSET($Z$37,NumPuntosCalib2-1,0),1)),"")</f>
        <v/>
      </c>
      <c r="AJ41" s="67" t="str">
        <f ca="1">IFERROR(INDEX($AA$37:$AA$51,MATCH(AJ$39,$Z$37:OFFSET($Z$37,NumPuntosCalib2-1,0),1)),"")</f>
        <v/>
      </c>
      <c r="AK41" s="67" t="str">
        <f ca="1">IFERROR(INDEX($AA$37:$AA$51,MATCH(AK$39,$Z$37:OFFSET($Z$37,NumPuntosCalib2-1,0),1)),"")</f>
        <v/>
      </c>
      <c r="AL41" s="67" t="str">
        <f ca="1">IFERROR(INDEX($AA$37:$AA$51,MATCH(AL$39,$Z$37:OFFSET($Z$37,NumPuntosCalib2-1,0),1)),"")</f>
        <v/>
      </c>
      <c r="AM41" s="67" t="str">
        <f ca="1">IFERROR(INDEX($AA$37:$AA$51,MATCH(AM$39,$Z$37:OFFSET($Z$37,NumPuntosCalib2-1,0),1)),"")</f>
        <v/>
      </c>
      <c r="AN41" s="67" t="str">
        <f ca="1">IFERROR(INDEX($AA$37:$AA$51,MATCH(AN$39,$Z$37:OFFSET($Z$37,NumPuntosCalib2-1,0),1)),"")</f>
        <v/>
      </c>
      <c r="AO41" s="67" t="str">
        <f ca="1">IFERROR(INDEX($AA$37:$AA$51,MATCH(AO$39,$Z$37:OFFSET($Z$37,NumPuntosCalib2-1,0),1)),"")</f>
        <v/>
      </c>
    </row>
    <row r="42" spans="2:41" x14ac:dyDescent="0.3">
      <c r="B42">
        <v>5</v>
      </c>
      <c r="C42" s="97" t="str">
        <f t="shared" ca="1" si="14"/>
        <v/>
      </c>
      <c r="D42" s="97" t="str">
        <f ca="1">W19</f>
        <v/>
      </c>
      <c r="E42" s="97" t="str">
        <f t="shared" ca="1" si="9"/>
        <v/>
      </c>
      <c r="F42" s="100" t="str">
        <f ca="1">IFERROR(IF(C42&lt;&gt;"",'kU(E)'!K19*'kU(E)'!G60,""),"")</f>
        <v/>
      </c>
      <c r="G42" s="282" t="str">
        <f t="shared" ca="1" si="10"/>
        <v/>
      </c>
      <c r="H42" s="97" t="str">
        <f t="shared" ca="1" si="11"/>
        <v/>
      </c>
      <c r="I42" s="97" t="str">
        <f t="shared" ca="1" si="12"/>
        <v/>
      </c>
      <c r="J42" s="100" t="str">
        <f t="shared" ca="1" si="13"/>
        <v/>
      </c>
      <c r="K42" s="210" t="str">
        <f ca="1">IFERROR(IF(C42="","",#REF!),"")</f>
        <v/>
      </c>
      <c r="M42" s="199" t="s">
        <v>443</v>
      </c>
      <c r="N42" s="195">
        <v>6.8948000000000004E-3</v>
      </c>
      <c r="O42" s="195">
        <v>6.8948000000000004E-3</v>
      </c>
      <c r="P42" s="195">
        <v>10</v>
      </c>
      <c r="Q42" s="270">
        <v>1000</v>
      </c>
      <c r="S42" s="21">
        <v>6</v>
      </c>
      <c r="T42" s="194">
        <f>INDEX(Cert_patrones[[#All],[Código Patrón]:[Deriva]],MATCH($U$35,Cert_patrones[Código Patrón],0)+S42,3)*coef_unidad</f>
        <v>199.99</v>
      </c>
      <c r="U42" s="194">
        <f>INDEX(Cert_patrones[[#All],[Código Patrón]:[Deriva]],MATCH($U$35,Cert_patrones[Código Patrón],0)+S42,4)*coef_unidad</f>
        <v>-1.1599999999999999E-2</v>
      </c>
      <c r="V42" s="194">
        <f>INDEX(Cert_patrones[[#All],[Código Patrón]:[Deriva]],MATCH($U$35,Cert_patrones[Código Patrón],0)+S42,5)*coef_unidad</f>
        <v>0.13200000000000001</v>
      </c>
      <c r="W42" s="194">
        <f>INDEX(Cert_patrones[[#All],[Código Patrón]:[Deriva]],MATCH($U$35,Cert_patrones[Código Patrón],0)+S42,9)*coef_unidad</f>
        <v>0.1016</v>
      </c>
      <c r="Y42" s="21">
        <v>6</v>
      </c>
      <c r="Z42" s="194" t="str">
        <f>IFERROR(INDEX(Cert_patrones[[#All],[Código Patrón]:[Deriva]],MATCH($AA$35,Cert_patrones[Código Patrón],0)+Y42,3)*coef_unidad,"")</f>
        <v/>
      </c>
      <c r="AA42" s="194" t="str">
        <f>IFERROR(INDEX(Cert_patrones[[#All],[Código Patrón]:[Deriva]],MATCH($AA$35,Cert_patrones[Código Patrón],0)+Y42,4)*coef_unidad,"")</f>
        <v/>
      </c>
      <c r="AB42" s="194" t="str">
        <f>IFERROR(INDEX(Cert_patrones[[#All],[Código Patrón]:[Deriva]],MATCH($AA$35,Cert_patrones[Código Patrón],0)+Y42,5)*coef_unidad,"")</f>
        <v/>
      </c>
      <c r="AC42" s="194" t="str">
        <f>IFERROR(INDEX(Cert_patrones[[#All],[Código Patrón]:[Deriva]],MATCH($AA$35,Cert_patrones[Código Patrón],0)+Y42,9)*coef_unidad,"")</f>
        <v/>
      </c>
      <c r="AE42" s="70" t="s">
        <v>163</v>
      </c>
      <c r="AF42" s="67" t="str">
        <f ca="1">IFERROR(INDEX($Z$37:$Z$51,MATCH(AF$39,$Z$37:OFFSET($Z$37,NumPuntosCalib-1,0),1)+1),"")</f>
        <v/>
      </c>
      <c r="AG42" s="67" t="str">
        <f ca="1">IFERROR(INDEX($Z$37:$Z$51,MATCH(AG$39,$Z$37:OFFSET($Z$37,NumPuntosCalib-1,0),1)+1),"")</f>
        <v/>
      </c>
      <c r="AH42" s="67" t="str">
        <f ca="1">IFERROR(INDEX($Z$37:$Z$51,MATCH(AH$39,$Z$37:OFFSET($Z$37,NumPuntosCalib-1,0),1)+1),"")</f>
        <v/>
      </c>
      <c r="AI42" s="67" t="str">
        <f ca="1">IFERROR(INDEX($Z$37:$Z$51,MATCH(AI$39,$Z$37:OFFSET($Z$37,NumPuntosCalib-1,0),1)+1),"")</f>
        <v/>
      </c>
      <c r="AJ42" s="67" t="str">
        <f ca="1">IFERROR(INDEX($Z$37:$Z$51,MATCH(AJ$39,$Z$37:OFFSET($Z$37,NumPuntosCalib-1,0),1)+1),"")</f>
        <v/>
      </c>
      <c r="AK42" s="67" t="str">
        <f ca="1">IFERROR(INDEX($Z$37:$Z$51,MATCH(AK$39,$Z$37:OFFSET($Z$37,NumPuntosCalib-1,0),1)+1),"")</f>
        <v/>
      </c>
      <c r="AL42" s="67" t="str">
        <f ca="1">IFERROR(INDEX($Z$37:$Z$51,MATCH(AL$39,$Z$37:OFFSET($Z$37,NumPuntosCalib-1,0),1)+1),"")</f>
        <v/>
      </c>
      <c r="AM42" s="67" t="str">
        <f ca="1">IFERROR(INDEX($Z$37:$Z$51,MATCH(AM$39,$Z$37:OFFSET($Z$37,NumPuntosCalib-1,0),1)+1),"")</f>
        <v/>
      </c>
      <c r="AN42" s="67" t="str">
        <f ca="1">IFERROR(INDEX($Z$37:$Z$51,MATCH(AN$39,$Z$37:OFFSET($Z$37,NumPuntosCalib-1,0),1)+1),"")</f>
        <v/>
      </c>
      <c r="AO42" s="67" t="str">
        <f ca="1">IFERROR(INDEX($Z$37:$Z$51,MATCH(AO$39,$Z$37:OFFSET($Z$37,NumPuntosCalib-1,0),1)+1),"")</f>
        <v/>
      </c>
    </row>
    <row r="43" spans="2:41" x14ac:dyDescent="0.3">
      <c r="B43">
        <v>6</v>
      </c>
      <c r="C43" s="97" t="str">
        <f t="shared" ca="1" si="14"/>
        <v/>
      </c>
      <c r="D43" s="97" t="str">
        <f t="shared" ca="1" si="8"/>
        <v/>
      </c>
      <c r="E43" s="97" t="str">
        <f t="shared" ca="1" si="9"/>
        <v/>
      </c>
      <c r="F43" s="100" t="str">
        <f ca="1">IFERROR(IF(C43&lt;&gt;"",'kU(E)'!L19*'kU(E)'!G61,""),"")</f>
        <v/>
      </c>
      <c r="G43" s="282" t="str">
        <f t="shared" ca="1" si="10"/>
        <v/>
      </c>
      <c r="H43" s="97" t="str">
        <f t="shared" ca="1" si="11"/>
        <v/>
      </c>
      <c r="I43" s="97" t="str">
        <f t="shared" ca="1" si="12"/>
        <v/>
      </c>
      <c r="J43" s="100" t="str">
        <f t="shared" ca="1" si="13"/>
        <v/>
      </c>
      <c r="K43" s="97" t="str">
        <f ca="1">IFERROR(IF(C43="","",#REF!),"")</f>
        <v/>
      </c>
      <c r="M43" s="199" t="s">
        <v>1344</v>
      </c>
      <c r="N43" s="195">
        <v>7.0309999999999997E-2</v>
      </c>
      <c r="O43" s="195">
        <v>7.0309999999999997E-2</v>
      </c>
      <c r="P43" s="195">
        <v>0.98066500000000001</v>
      </c>
      <c r="Q43" s="270">
        <v>98.066500000000005</v>
      </c>
      <c r="S43" s="21">
        <v>7</v>
      </c>
      <c r="T43" s="194">
        <f>INDEX(Cert_patrones[[#All],[Código Patrón]:[Deriva]],MATCH($U$35,Cert_patrones[Código Patrón],0)+S43,3)*coef_unidad</f>
        <v>299.91000000000003</v>
      </c>
      <c r="U43" s="194">
        <f>INDEX(Cert_patrones[[#All],[Código Patrón]:[Deriva]],MATCH($U$35,Cert_patrones[Código Patrón],0)+S43,4)*coef_unidad</f>
        <v>-2.47E-2</v>
      </c>
      <c r="V43" s="194">
        <f>INDEX(Cert_patrones[[#All],[Código Patrón]:[Deriva]],MATCH($U$35,Cert_patrones[Código Patrón],0)+S43,5)*coef_unidad</f>
        <v>0.10879999999999999</v>
      </c>
      <c r="W43" s="194">
        <f>INDEX(Cert_patrones[[#All],[Código Patrón]:[Deriva]],MATCH($U$35,Cert_patrones[Código Patrón],0)+S43,9)*coef_unidad</f>
        <v>9.4700000000000006E-2</v>
      </c>
      <c r="Y43" s="21">
        <v>7</v>
      </c>
      <c r="Z43" s="194" t="str">
        <f>IFERROR(INDEX(Cert_patrones[[#All],[Código Patrón]:[Deriva]],MATCH($AA$35,Cert_patrones[Código Patrón],0)+Y43,3)*coef_unidad,"")</f>
        <v/>
      </c>
      <c r="AA43" s="194" t="str">
        <f>IFERROR(INDEX(Cert_patrones[[#All],[Código Patrón]:[Deriva]],MATCH($AA$35,Cert_patrones[Código Patrón],0)+Y43,4)*coef_unidad,"")</f>
        <v/>
      </c>
      <c r="AB43" s="194" t="str">
        <f>IFERROR(INDEX(Cert_patrones[[#All],[Código Patrón]:[Deriva]],MATCH($AA$35,Cert_patrones[Código Patrón],0)+Y43,5)*coef_unidad,"")</f>
        <v/>
      </c>
      <c r="AC43" s="194" t="str">
        <f>IFERROR(INDEX(Cert_patrones[[#All],[Código Patrón]:[Deriva]],MATCH($AA$35,Cert_patrones[Código Patrón],0)+Y43,9)*coef_unidad,"")</f>
        <v/>
      </c>
      <c r="AE43" s="70" t="s">
        <v>165</v>
      </c>
      <c r="AF43" s="67" t="str">
        <f ca="1">IFERROR(INDEX($AA$37:$AA$51,MATCH(AF$39,$Z$37:OFFSET($Z$37,NumPuntosCalib2-1,0),1)+1),"")</f>
        <v/>
      </c>
      <c r="AG43" s="67" t="str">
        <f ca="1">IFERROR(INDEX($AA$37:$AA$51,MATCH(AG$39,$Z$37:OFFSET($Z$37,NumPuntosCalib2-1,0),1)+1),"")</f>
        <v/>
      </c>
      <c r="AH43" s="67" t="str">
        <f ca="1">IFERROR(INDEX($AA$37:$AA$51,MATCH(AH$39,$Z$37:OFFSET($Z$37,NumPuntosCalib2-1,0),1)+1),"")</f>
        <v/>
      </c>
      <c r="AI43" s="67" t="str">
        <f ca="1">IFERROR(INDEX($AA$37:$AA$51,MATCH(AI$39,$Z$37:OFFSET($Z$37,NumPuntosCalib2-1,0),1)+1),"")</f>
        <v/>
      </c>
      <c r="AJ43" s="67" t="str">
        <f ca="1">IFERROR(INDEX($AA$37:$AA$51,MATCH(AJ$39,$Z$37:OFFSET($Z$37,NumPuntosCalib2-1,0),1)+1),"")</f>
        <v/>
      </c>
      <c r="AK43" s="67" t="str">
        <f ca="1">IFERROR(INDEX($AA$37:$AA$51,MATCH(AK$39,$Z$37:OFFSET($Z$37,NumPuntosCalib2-1,0),1)+1),"")</f>
        <v/>
      </c>
      <c r="AL43" s="67" t="str">
        <f ca="1">IFERROR(INDEX($AA$37:$AA$51,MATCH(AL$39,$Z$37:OFFSET($Z$37,NumPuntosCalib2-1,0),1)+1),"")</f>
        <v/>
      </c>
      <c r="AM43" s="67" t="str">
        <f ca="1">IFERROR(INDEX($AA$37:$AA$51,MATCH(AM$39,$Z$37:OFFSET($Z$37,NumPuntosCalib2-1,0),1)+1),"")</f>
        <v/>
      </c>
      <c r="AN43" s="67" t="str">
        <f ca="1">IFERROR(INDEX($AA$37:$AA$51,MATCH(AN$39,$Z$37:OFFSET($Z$37,NumPuntosCalib2-1,0),1)+1),"")</f>
        <v/>
      </c>
      <c r="AO43" s="67" t="str">
        <f ca="1">IFERROR(INDEX($AA$37:$AA$51,MATCH(AO$39,$Z$37:OFFSET($Z$37,NumPuntosCalib2-1,0),1)+1),"")</f>
        <v/>
      </c>
    </row>
    <row r="44" spans="2:41" x14ac:dyDescent="0.3">
      <c r="B44">
        <v>7</v>
      </c>
      <c r="C44" s="97" t="str">
        <f t="shared" ca="1" si="14"/>
        <v/>
      </c>
      <c r="D44" s="97" t="str">
        <f t="shared" ca="1" si="8"/>
        <v/>
      </c>
      <c r="E44" s="97" t="str">
        <f t="shared" ca="1" si="9"/>
        <v/>
      </c>
      <c r="F44" s="100" t="str">
        <f ca="1">IFERROR(IF(C44&lt;&gt;"",'kU(E)'!M19*'kU(E)'!G62,""),"")</f>
        <v/>
      </c>
      <c r="G44" s="282" t="str">
        <f t="shared" ca="1" si="10"/>
        <v/>
      </c>
      <c r="H44" s="97" t="str">
        <f t="shared" ca="1" si="11"/>
        <v/>
      </c>
      <c r="I44" s="97" t="str">
        <f t="shared" ca="1" si="12"/>
        <v/>
      </c>
      <c r="J44" s="100" t="str">
        <f t="shared" ca="1" si="13"/>
        <v/>
      </c>
      <c r="K44" s="97" t="str">
        <f ca="1">IFERROR(IF(C44="","",#REF!),"")</f>
        <v/>
      </c>
      <c r="M44" s="199" t="s">
        <v>310</v>
      </c>
      <c r="N44" s="195">
        <v>2.036</v>
      </c>
      <c r="O44" s="195">
        <v>2.036</v>
      </c>
      <c r="P44" s="195">
        <v>3.3863900000000002E-2</v>
      </c>
      <c r="Q44" s="270">
        <v>3.38639</v>
      </c>
      <c r="S44" s="21">
        <v>8</v>
      </c>
      <c r="T44" s="194">
        <f>INDEX(Cert_patrones[[#All],[Código Patrón]:[Deriva]],MATCH($U$35,Cert_patrones[Código Patrón],0)+S44,3)*coef_unidad</f>
        <v>399.95</v>
      </c>
      <c r="U44" s="194">
        <f>INDEX(Cert_patrones[[#All],[Código Patrón]:[Deriva]],MATCH($U$35,Cert_patrones[Código Patrón],0)+S44,4)*coef_unidad</f>
        <v>-5.8000000000000003E-2</v>
      </c>
      <c r="V44" s="194">
        <f>INDEX(Cert_patrones[[#All],[Código Patrón]:[Deriva]],MATCH($U$35,Cert_patrones[Código Patrón],0)+S44,5)*coef_unidad</f>
        <v>0.21759999999999999</v>
      </c>
      <c r="W44" s="194">
        <f>INDEX(Cert_patrones[[#All],[Código Patrón]:[Deriva]],MATCH($U$35,Cert_patrones[Código Patrón],0)+S44,9)*coef_unidad</f>
        <v>0.13800000000000001</v>
      </c>
      <c r="Y44" s="21">
        <v>8</v>
      </c>
      <c r="Z44" s="194" t="str">
        <f>IFERROR(INDEX(Cert_patrones[[#All],[Código Patrón]:[Deriva]],MATCH($AA$35,Cert_patrones[Código Patrón],0)+Y44,3)*coef_unidad,"")</f>
        <v/>
      </c>
      <c r="AA44" s="194" t="str">
        <f>IFERROR(INDEX(Cert_patrones[[#All],[Código Patrón]:[Deriva]],MATCH($AA$35,Cert_patrones[Código Patrón],0)+Y44,4)*coef_unidad,"")</f>
        <v/>
      </c>
      <c r="AB44" s="194" t="str">
        <f>IFERROR(INDEX(Cert_patrones[[#All],[Código Patrón]:[Deriva]],MATCH($AA$35,Cert_patrones[Código Patrón],0)+Y44,5)*coef_unidad,"")</f>
        <v/>
      </c>
      <c r="AC44" s="194" t="str">
        <f>IFERROR(INDEX(Cert_patrones[[#All],[Código Patrón]:[Deriva]],MATCH($AA$35,Cert_patrones[Código Patrón],0)+Y44,9)*coef_unidad,"")</f>
        <v/>
      </c>
      <c r="AE44" s="70" t="s">
        <v>166</v>
      </c>
      <c r="AF44" s="121" t="str">
        <f t="shared" ref="AF44:AO44" ca="1" si="15">IFERROR(AF41+(AF39-AF40)*(AF43-AF41)/(AF42-AF40),"")</f>
        <v/>
      </c>
      <c r="AG44" s="121" t="str">
        <f t="shared" ca="1" si="15"/>
        <v/>
      </c>
      <c r="AH44" s="121" t="str">
        <f t="shared" ca="1" si="15"/>
        <v/>
      </c>
      <c r="AI44" s="121" t="str">
        <f t="shared" ca="1" si="15"/>
        <v/>
      </c>
      <c r="AJ44" s="121" t="str">
        <f t="shared" ca="1" si="15"/>
        <v/>
      </c>
      <c r="AK44" s="121" t="str">
        <f t="shared" ca="1" si="15"/>
        <v/>
      </c>
      <c r="AL44" s="121" t="str">
        <f t="shared" ca="1" si="15"/>
        <v/>
      </c>
      <c r="AM44" s="121" t="str">
        <f t="shared" ca="1" si="15"/>
        <v/>
      </c>
      <c r="AN44" s="121" t="str">
        <f t="shared" ca="1" si="15"/>
        <v/>
      </c>
      <c r="AO44" s="121" t="str">
        <f t="shared" ca="1" si="15"/>
        <v/>
      </c>
    </row>
    <row r="45" spans="2:41" x14ac:dyDescent="0.3">
      <c r="B45">
        <v>8</v>
      </c>
      <c r="C45" s="97" t="str">
        <f t="shared" ca="1" si="14"/>
        <v/>
      </c>
      <c r="D45" s="97" t="str">
        <f t="shared" ca="1" si="8"/>
        <v/>
      </c>
      <c r="E45" s="97" t="str">
        <f t="shared" ca="1" si="9"/>
        <v/>
      </c>
      <c r="F45" s="100" t="str">
        <f ca="1">IFERROR(IF(C45&lt;&gt;"",'kU(E)'!N19*'kU(E)'!G63,""),"")</f>
        <v/>
      </c>
      <c r="G45" s="282" t="str">
        <f t="shared" ca="1" si="10"/>
        <v/>
      </c>
      <c r="H45" s="97" t="str">
        <f t="shared" ca="1" si="11"/>
        <v/>
      </c>
      <c r="I45" s="97" t="str">
        <f t="shared" ca="1" si="12"/>
        <v/>
      </c>
      <c r="J45" s="100" t="str">
        <f t="shared" ca="1" si="13"/>
        <v/>
      </c>
      <c r="K45" s="97" t="str">
        <f ca="1">IFERROR(IF(C45="","",#REF!),"")</f>
        <v/>
      </c>
      <c r="M45" s="199" t="s">
        <v>311</v>
      </c>
      <c r="N45" s="195">
        <v>51.7149</v>
      </c>
      <c r="O45" s="195">
        <v>51.7149</v>
      </c>
      <c r="P45" s="195">
        <v>1.333E-3</v>
      </c>
      <c r="Q45" s="270">
        <v>0.133322</v>
      </c>
      <c r="S45" s="21">
        <v>9</v>
      </c>
      <c r="T45" s="194">
        <f>INDEX(Cert_patrones[[#All],[Código Patrón]:[Deriva]],MATCH($U$35,Cert_patrones[Código Patrón],0)+S45,3)*coef_unidad</f>
        <v>499.87</v>
      </c>
      <c r="U45" s="194">
        <f>INDEX(Cert_patrones[[#All],[Código Patrón]:[Deriva]],MATCH($U$35,Cert_patrones[Código Patrón],0)+S45,4)*coef_unidad</f>
        <v>-7.2499999999999995E-2</v>
      </c>
      <c r="V45" s="194">
        <f>INDEX(Cert_patrones[[#All],[Código Patrón]:[Deriva]],MATCH($U$35,Cert_patrones[Código Patrón],0)+S45,5)*coef_unidad</f>
        <v>0.2321</v>
      </c>
      <c r="W45" s="194">
        <f>INDEX(Cert_patrones[[#All],[Código Patrón]:[Deriva]],MATCH($U$35,Cert_patrones[Código Patrón],0)+S45,9)*coef_unidad</f>
        <v>0.1225</v>
      </c>
      <c r="Y45" s="21">
        <v>9</v>
      </c>
      <c r="Z45" s="194" t="str">
        <f>IFERROR(INDEX(Cert_patrones[[#All],[Código Patrón]:[Deriva]],MATCH($AA$35,Cert_patrones[Código Patrón],0)+Y45,3)*coef_unidad,"")</f>
        <v/>
      </c>
      <c r="AA45" s="194" t="str">
        <f>IFERROR(INDEX(Cert_patrones[[#All],[Código Patrón]:[Deriva]],MATCH($AA$35,Cert_patrones[Código Patrón],0)+Y45,4)*coef_unidad,"")</f>
        <v/>
      </c>
      <c r="AB45" s="194" t="str">
        <f>IFERROR(INDEX(Cert_patrones[[#All],[Código Patrón]:[Deriva]],MATCH($AA$35,Cert_patrones[Código Patrón],0)+Y45,5)*coef_unidad,"")</f>
        <v/>
      </c>
      <c r="AC45" s="194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7" t="str">
        <f t="shared" ca="1" si="14"/>
        <v/>
      </c>
      <c r="D46" s="97" t="str">
        <f t="shared" ca="1" si="8"/>
        <v/>
      </c>
      <c r="E46" s="97" t="str">
        <f t="shared" ca="1" si="9"/>
        <v/>
      </c>
      <c r="F46" s="100" t="str">
        <f ca="1">IFERROR(IF(C46&lt;&gt;"",'kU(E)'!O19*'kU(E)'!G64,""),"")</f>
        <v/>
      </c>
      <c r="G46" s="282" t="str">
        <f t="shared" ca="1" si="10"/>
        <v/>
      </c>
      <c r="H46" s="97" t="str">
        <f t="shared" ca="1" si="11"/>
        <v/>
      </c>
      <c r="I46" s="97" t="str">
        <f t="shared" ca="1" si="12"/>
        <v/>
      </c>
      <c r="J46" s="100" t="str">
        <f t="shared" ca="1" si="13"/>
        <v/>
      </c>
      <c r="K46" s="97" t="str">
        <f ca="1">IFERROR(IF(C46="","",#REF!),"")</f>
        <v/>
      </c>
      <c r="M46" s="199" t="s">
        <v>312</v>
      </c>
      <c r="N46" s="195">
        <v>5.1710000000000003</v>
      </c>
      <c r="O46" s="195">
        <v>5.1710000000000003</v>
      </c>
      <c r="P46" s="195">
        <v>1.333E-2</v>
      </c>
      <c r="Q46" s="270">
        <v>1.3332200000000001</v>
      </c>
      <c r="S46" s="21">
        <v>10</v>
      </c>
      <c r="T46" s="194">
        <f>INDEX(Cert_patrones[[#All],[Código Patrón]:[Deriva]],MATCH($U$35,Cert_patrones[Código Patrón],0)+S46,3)*coef_unidad</f>
        <v>599.77</v>
      </c>
      <c r="U46" s="194">
        <f>INDEX(Cert_patrones[[#All],[Código Patrón]:[Deriva]],MATCH($U$35,Cert_patrones[Código Patrón],0)+S46,4)*coef_unidad</f>
        <v>-0.10150000000000001</v>
      </c>
      <c r="V46" s="194">
        <f>INDEX(Cert_patrones[[#All],[Código Patrón]:[Deriva]],MATCH($U$35,Cert_patrones[Código Patrón],0)+S46,5)*coef_unidad</f>
        <v>0.29010000000000002</v>
      </c>
      <c r="W46" s="194">
        <f>INDEX(Cert_patrones[[#All],[Código Patrón]:[Deriva]],MATCH($U$35,Cert_patrones[Código Patrón],0)+S46,9)*coef_unidad</f>
        <v>0.17150000000000001</v>
      </c>
      <c r="Y46" s="21">
        <v>10</v>
      </c>
      <c r="Z46" s="194" t="str">
        <f>IFERROR(INDEX(Cert_patrones[[#All],[Código Patrón]:[Deriva]],MATCH($AA$35,Cert_patrones[Código Patrón],0)+Y46,3)*coef_unidad,"")</f>
        <v/>
      </c>
      <c r="AA46" s="194" t="str">
        <f>IFERROR(INDEX(Cert_patrones[[#All],[Código Patrón]:[Deriva]],MATCH($AA$35,Cert_patrones[Código Patrón],0)+Y46,4)*coef_unidad,"")</f>
        <v/>
      </c>
      <c r="AB46" s="194" t="str">
        <f>IFERROR(INDEX(Cert_patrones[[#All],[Código Patrón]:[Deriva]],MATCH($AA$35,Cert_patrones[Código Patrón],0)+Y46,5)*coef_unidad,"")</f>
        <v/>
      </c>
      <c r="AC46" s="194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7" t="str">
        <f t="shared" ca="1" si="14"/>
        <v/>
      </c>
      <c r="D47" s="97" t="str">
        <f t="shared" ca="1" si="8"/>
        <v/>
      </c>
      <c r="E47" s="97" t="str">
        <f t="shared" ca="1" si="9"/>
        <v/>
      </c>
      <c r="F47" s="100" t="str">
        <f ca="1">IFERROR(IF(C47&lt;&gt;"",'kU(E)'!P19*'kU(E)'!G65,""),"")</f>
        <v/>
      </c>
      <c r="G47" s="282" t="str">
        <f t="shared" ca="1" si="10"/>
        <v/>
      </c>
      <c r="H47" s="97" t="str">
        <f t="shared" ca="1" si="11"/>
        <v/>
      </c>
      <c r="I47" s="97" t="str">
        <f t="shared" ca="1" si="12"/>
        <v/>
      </c>
      <c r="J47" s="100" t="str">
        <f t="shared" ca="1" si="13"/>
        <v/>
      </c>
      <c r="K47" s="97" t="str">
        <f ca="1">IFERROR(IF(C47="","",#REF!),"")</f>
        <v/>
      </c>
      <c r="M47" s="199" t="s">
        <v>1358</v>
      </c>
      <c r="N47" s="195">
        <v>703.06960000000004</v>
      </c>
      <c r="O47" s="195">
        <v>703.06960000000004</v>
      </c>
      <c r="P47" s="195">
        <v>9.7999999999999997E-5</v>
      </c>
      <c r="Q47" s="270">
        <v>9.7999999999999997E-3</v>
      </c>
      <c r="S47" s="21">
        <v>11</v>
      </c>
      <c r="T47" s="194">
        <f>INDEX(Cert_patrones[[#All],[Código Patrón]:[Deriva]],MATCH($U$35,Cert_patrones[Código Patrón],0)+S47,3)*coef_unidad</f>
        <v>699.79</v>
      </c>
      <c r="U47" s="194">
        <f>INDEX(Cert_patrones[[#All],[Código Patrón]:[Deriva]],MATCH($U$35,Cert_patrones[Código Patrón],0)+S47,4)*coef_unidad</f>
        <v>-0.1595</v>
      </c>
      <c r="V47" s="194">
        <f>INDEX(Cert_patrones[[#All],[Código Patrón]:[Deriva]],MATCH($U$35,Cert_patrones[Código Patrón],0)+S47,5)*coef_unidad</f>
        <v>0.21759999999999999</v>
      </c>
      <c r="W47" s="194">
        <f>INDEX(Cert_patrones[[#All],[Código Patrón]:[Deriva]],MATCH($U$35,Cert_patrones[Código Patrón],0)+S47,9)*coef_unidad</f>
        <v>0.1895</v>
      </c>
      <c r="Y47" s="21">
        <v>11</v>
      </c>
      <c r="Z47" s="194" t="str">
        <f>IFERROR(INDEX(Cert_patrones[[#All],[Código Patrón]:[Deriva]],MATCH($AA$35,Cert_patrones[Código Patrón],0)+Y47,3)*coef_unidad,"")</f>
        <v/>
      </c>
      <c r="AA47" s="194" t="str">
        <f>IFERROR(INDEX(Cert_patrones[[#All],[Código Patrón]:[Deriva]],MATCH($AA$35,Cert_patrones[Código Patrón],0)+Y47,4)*coef_unidad,"")</f>
        <v/>
      </c>
      <c r="AB47" s="194" t="str">
        <f>IFERROR(INDEX(Cert_patrones[[#All],[Código Patrón]:[Deriva]],MATCH($AA$35,Cert_patrones[Código Patrón],0)+Y47,5)*coef_unidad,"")</f>
        <v/>
      </c>
      <c r="AC47" s="194" t="str">
        <f>IFERROR(INDEX(Cert_patrones[[#All],[Código Patrón]:[Deriva]],MATCH($AA$35,Cert_patrones[Código Patrón],0)+Y47,9)*coef_unidad,"")</f>
        <v/>
      </c>
      <c r="AE47" s="16" t="s">
        <v>338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7" t="str">
        <f t="shared" ca="1" si="14"/>
        <v/>
      </c>
      <c r="D48" s="97" t="str">
        <f t="shared" ca="1" si="8"/>
        <v/>
      </c>
      <c r="E48" s="97" t="str">
        <f t="shared" ca="1" si="9"/>
        <v/>
      </c>
      <c r="F48" s="100" t="str">
        <f ca="1">IFERROR(IF(C48&lt;&gt;"",#REF!*'[1]kU(E)'!G66,""),"")</f>
        <v/>
      </c>
      <c r="G48" s="244" t="str">
        <f t="shared" ca="1" si="10"/>
        <v/>
      </c>
      <c r="H48" s="210" t="str">
        <f t="shared" ca="1" si="11"/>
        <v/>
      </c>
      <c r="I48" s="210" t="str">
        <f t="shared" ca="1" si="12"/>
        <v/>
      </c>
      <c r="J48" s="243" t="str">
        <f t="shared" ca="1" si="13"/>
        <v/>
      </c>
      <c r="K48" s="97" t="str">
        <f ca="1">IFERROR(IF(C48="","",#REF!),"")</f>
        <v/>
      </c>
      <c r="M48" s="199" t="s">
        <v>1359</v>
      </c>
      <c r="N48" s="195">
        <v>70.306960000000004</v>
      </c>
      <c r="O48" s="195">
        <v>70.306960000000004</v>
      </c>
      <c r="P48" s="269">
        <v>9.7999999999999997E-4</v>
      </c>
      <c r="Q48" s="270">
        <v>9.8000000000000004E-2</v>
      </c>
      <c r="S48" s="21">
        <v>12</v>
      </c>
      <c r="T48" s="194">
        <f>INDEX(Cert_patrones[[#All],[Código Patrón]:[Deriva]],MATCH($U$35,Cert_patrones[Código Patrón],0)+S48,3)*coef_unidad</f>
        <v>799.68</v>
      </c>
      <c r="U48" s="194">
        <f>INDEX(Cert_patrones[[#All],[Código Patrón]:[Deriva]],MATCH($U$35,Cert_patrones[Código Patrón],0)+S48,4)*coef_unidad</f>
        <v>-0.2031</v>
      </c>
      <c r="V48" s="194">
        <f>INDEX(Cert_patrones[[#All],[Código Patrón]:[Deriva]],MATCH($U$35,Cert_patrones[Código Patrón],0)+S48,5)*coef_unidad</f>
        <v>0.2611</v>
      </c>
      <c r="W48" s="194">
        <f>INDEX(Cert_patrones[[#All],[Código Patrón]:[Deriva]],MATCH($U$35,Cert_patrones[Código Patrón],0)+S48,9)*coef_unidad</f>
        <v>0.27310000000000001</v>
      </c>
      <c r="Y48" s="21">
        <v>12</v>
      </c>
      <c r="Z48" s="194" t="str">
        <f>IFERROR(INDEX(Cert_patrones[[#All],[Código Patrón]:[Deriva]],MATCH($AA$35,Cert_patrones[Código Patrón],0)+Y48,3)*coef_unidad,"")</f>
        <v/>
      </c>
      <c r="AA48" s="194" t="str">
        <f>IFERROR(INDEX(Cert_patrones[[#All],[Código Patrón]:[Deriva]],MATCH($AA$35,Cert_patrones[Código Patrón],0)+Y48,4)*coef_unidad,"")</f>
        <v/>
      </c>
      <c r="AB48" s="194" t="str">
        <f>IFERROR(INDEX(Cert_patrones[[#All],[Código Patrón]:[Deriva]],MATCH($AA$35,Cert_patrones[Código Patrón],0)+Y48,5)*coef_unidad,"")</f>
        <v/>
      </c>
      <c r="AC48" s="194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7" t="str">
        <f t="shared" ca="1" si="14"/>
        <v/>
      </c>
      <c r="D49" s="97" t="str">
        <f t="shared" ca="1" si="8"/>
        <v/>
      </c>
      <c r="E49" s="97" t="str">
        <f t="shared" ca="1" si="9"/>
        <v/>
      </c>
      <c r="F49" s="100" t="str">
        <f ca="1">IFERROR(IF(C49&lt;&gt;"",#REF!*'[1]kU(E)'!G67,""),"")</f>
        <v/>
      </c>
      <c r="G49" s="244" t="str">
        <f t="shared" ca="1" si="10"/>
        <v/>
      </c>
      <c r="H49" s="210" t="str">
        <f t="shared" ca="1" si="11"/>
        <v/>
      </c>
      <c r="I49" s="210" t="str">
        <f t="shared" ca="1" si="12"/>
        <v/>
      </c>
      <c r="J49" s="243" t="str">
        <f t="shared" ca="1" si="13"/>
        <v/>
      </c>
      <c r="K49" s="97" t="str">
        <f ca="1">IFERROR(IF(C49="","",#REF!),"")</f>
        <v/>
      </c>
      <c r="M49" s="199" t="s">
        <v>1360</v>
      </c>
      <c r="N49" s="195">
        <v>27.6799</v>
      </c>
      <c r="O49" s="195">
        <v>27.6799</v>
      </c>
      <c r="P49" s="195">
        <v>2.5000000000000001E-3</v>
      </c>
      <c r="Q49" s="270">
        <v>0.249089</v>
      </c>
      <c r="S49" s="21">
        <v>13</v>
      </c>
      <c r="T49" s="194">
        <f>INDEX(Cert_patrones[[#All],[Código Patrón]:[Deriva]],MATCH($U$35,Cert_patrones[Código Patrón],0)+S49,3)*coef_unidad</f>
        <v>899.75</v>
      </c>
      <c r="U49" s="194">
        <f>INDEX(Cert_patrones[[#All],[Código Patrón]:[Deriva]],MATCH($U$35,Cert_patrones[Código Patrón],0)+S49,4)*coef_unidad</f>
        <v>-0.2031</v>
      </c>
      <c r="V49" s="194">
        <f>INDEX(Cert_patrones[[#All],[Código Patrón]:[Deriva]],MATCH($U$35,Cert_patrones[Código Patrón],0)+S49,5)*coef_unidad</f>
        <v>0.24660000000000001</v>
      </c>
      <c r="W49" s="194">
        <f>INDEX(Cert_patrones[[#All],[Código Patrón]:[Deriva]],MATCH($U$35,Cert_patrones[Código Patrón],0)+S49,9)*coef_unidad</f>
        <v>0.2331</v>
      </c>
      <c r="Y49" s="21">
        <v>13</v>
      </c>
      <c r="Z49" s="194" t="str">
        <f>IFERROR(INDEX(Cert_patrones[[#All],[Código Patrón]:[Deriva]],MATCH($AA$35,Cert_patrones[Código Patrón],0)+Y49,3)*coef_unidad,"")</f>
        <v/>
      </c>
      <c r="AA49" s="194" t="str">
        <f>IFERROR(INDEX(Cert_patrones[[#All],[Código Patrón]:[Deriva]],MATCH($AA$35,Cert_patrones[Código Patrón],0)+Y49,4)*coef_unidad,"")</f>
        <v/>
      </c>
      <c r="AB49" s="194" t="str">
        <f>IFERROR(INDEX(Cert_patrones[[#All],[Código Patrón]:[Deriva]],MATCH($AA$35,Cert_patrones[Código Patrón],0)+Y49,5)*coef_unidad,"")</f>
        <v/>
      </c>
      <c r="AC49" s="194" t="str">
        <f>IFERROR(INDEX(Cert_patrones[[#All],[Código Patrón]:[Deriva]],MATCH($AA$35,Cert_patrones[Código Patrón],0)+Y49,9)*coef_unidad,"")</f>
        <v/>
      </c>
      <c r="AE49" s="49" t="s">
        <v>167</v>
      </c>
      <c r="AF49" s="49">
        <v>1</v>
      </c>
      <c r="AG49" s="49">
        <v>2</v>
      </c>
      <c r="AH49" s="49">
        <v>3</v>
      </c>
      <c r="AI49" s="49">
        <v>4</v>
      </c>
      <c r="AJ49" s="49">
        <v>5</v>
      </c>
      <c r="AK49" s="49">
        <v>6</v>
      </c>
      <c r="AL49" s="49">
        <v>7</v>
      </c>
      <c r="AM49" s="49">
        <v>8</v>
      </c>
      <c r="AN49" s="49">
        <v>9</v>
      </c>
      <c r="AO49" s="49">
        <v>10</v>
      </c>
    </row>
    <row r="50" spans="2:41" x14ac:dyDescent="0.3">
      <c r="B50">
        <v>13</v>
      </c>
      <c r="C50" s="97" t="str">
        <f t="shared" ca="1" si="14"/>
        <v/>
      </c>
      <c r="D50" s="97" t="str">
        <f t="shared" ca="1" si="8"/>
        <v/>
      </c>
      <c r="E50" s="97" t="str">
        <f t="shared" ca="1" si="9"/>
        <v/>
      </c>
      <c r="F50" s="100" t="str">
        <f ca="1">IFERROR(IF(C50&lt;&gt;"",#REF!*'[1]kU(E)'!G68,""),"")</f>
        <v/>
      </c>
      <c r="G50" s="244" t="str">
        <f t="shared" ca="1" si="10"/>
        <v/>
      </c>
      <c r="H50" s="210" t="str">
        <f t="shared" ca="1" si="11"/>
        <v/>
      </c>
      <c r="I50" s="210" t="str">
        <f t="shared" ca="1" si="12"/>
        <v/>
      </c>
      <c r="J50" s="243" t="str">
        <f t="shared" ca="1" si="13"/>
        <v/>
      </c>
      <c r="K50" s="97" t="str">
        <f ca="1">IFERROR(IF(C50="","",#REF!),"")</f>
        <v/>
      </c>
      <c r="M50" s="199" t="s">
        <v>309</v>
      </c>
      <c r="N50" s="195">
        <v>6.8049999999999999E-2</v>
      </c>
      <c r="O50" s="195">
        <v>6.8049999999999999E-2</v>
      </c>
      <c r="P50" s="195">
        <v>1.0132000000000001</v>
      </c>
      <c r="Q50" s="270">
        <v>101.325</v>
      </c>
      <c r="S50" s="21">
        <v>14</v>
      </c>
      <c r="T50" s="194">
        <f>INDEX(Cert_patrones[[#All],[Código Patrón]:[Deriva]],MATCH($U$35,Cert_patrones[Código Patrón],0)+S50,3)*coef_unidad</f>
        <v>899.74</v>
      </c>
      <c r="U50" s="194">
        <f>INDEX(Cert_patrones[[#All],[Código Patrón]:[Deriva]],MATCH($U$35,Cert_patrones[Código Patrón],0)+S50,4)*coef_unidad</f>
        <v>-0.21759999999999999</v>
      </c>
      <c r="V50" s="194">
        <f>INDEX(Cert_patrones[[#All],[Código Patrón]:[Deriva]],MATCH($U$35,Cert_patrones[Código Patrón],0)+S50,5)*coef_unidad</f>
        <v>0.24660000000000001</v>
      </c>
      <c r="W50" s="194">
        <f>INDEX(Cert_patrones[[#All],[Código Patrón]:[Deriva]],MATCH($U$35,Cert_patrones[Código Patrón],0)+S50,9)*coef_unidad</f>
        <v>0.20759999999999998</v>
      </c>
      <c r="Y50" s="21">
        <v>14</v>
      </c>
      <c r="Z50" s="194" t="str">
        <f>IFERROR(INDEX(Cert_patrones[[#All],[Código Patrón]:[Deriva]],MATCH($AA$35,Cert_patrones[Código Patrón],0)+Y50,3)*coef_unidad,"")</f>
        <v/>
      </c>
      <c r="AA50" s="194" t="str">
        <f>IFERROR(INDEX(Cert_patrones[[#All],[Código Patrón]:[Deriva]],MATCH($AA$35,Cert_patrones[Código Patrón],0)+Y50,4)*coef_unidad,"")</f>
        <v/>
      </c>
      <c r="AB50" s="194" t="str">
        <f>IFERROR(INDEX(Cert_patrones[[#All],[Código Patrón]:[Deriva]],MATCH($AA$35,Cert_patrones[Código Patrón],0)+Y50,5)*coef_unidad,"")</f>
        <v/>
      </c>
      <c r="AC50" s="194" t="str">
        <f>IFERROR(INDEX(Cert_patrones[[#All],[Código Patrón]:[Deriva]],MATCH($AA$35,Cert_patrones[Código Patrón],0)+Y50,9)*coef_unidad,"")</f>
        <v/>
      </c>
      <c r="AE50" s="70" t="s">
        <v>161</v>
      </c>
      <c r="AF50" s="71" t="str">
        <f t="array" aca="1" ref="AF50:AO50" ca="1">TRANSPOSE($T$15:$T$29)</f>
        <v/>
      </c>
      <c r="AG50" s="71" t="str">
        <f ca="1"/>
        <v/>
      </c>
      <c r="AH50" s="71" t="str">
        <f ca="1"/>
        <v/>
      </c>
      <c r="AI50" s="71" t="str">
        <f ca="1"/>
        <v/>
      </c>
      <c r="AJ50" s="71" t="str">
        <f ca="1"/>
        <v/>
      </c>
      <c r="AK50" s="71" t="str">
        <f ca="1"/>
        <v/>
      </c>
      <c r="AL50" s="66" t="str">
        <f ca="1"/>
        <v/>
      </c>
      <c r="AM50" s="66" t="str">
        <f ca="1"/>
        <v/>
      </c>
      <c r="AN50" s="66" t="str">
        <f ca="1"/>
        <v/>
      </c>
      <c r="AO50" s="66" t="str">
        <f ca="1"/>
        <v/>
      </c>
    </row>
    <row r="51" spans="2:41" x14ac:dyDescent="0.3">
      <c r="B51">
        <v>14</v>
      </c>
      <c r="C51" s="97" t="str">
        <f t="shared" ca="1" si="14"/>
        <v/>
      </c>
      <c r="D51" s="97" t="str">
        <f t="shared" ca="1" si="8"/>
        <v/>
      </c>
      <c r="E51" s="97" t="str">
        <f t="shared" ca="1" si="9"/>
        <v/>
      </c>
      <c r="F51" s="100" t="str">
        <f ca="1">IFERROR(IF(C51&lt;&gt;"",#REF!*'[1]kU(E)'!G69,""),"")</f>
        <v/>
      </c>
      <c r="G51" s="244" t="str">
        <f t="shared" ca="1" si="10"/>
        <v/>
      </c>
      <c r="H51" s="210" t="str">
        <f t="shared" ca="1" si="11"/>
        <v/>
      </c>
      <c r="I51" s="210" t="str">
        <f t="shared" ca="1" si="12"/>
        <v/>
      </c>
      <c r="J51" s="243" t="str">
        <f t="shared" ca="1" si="13"/>
        <v/>
      </c>
      <c r="K51" s="97" t="str">
        <f ca="1">IFERROR(IF(C51="","",#REF!),"")</f>
        <v/>
      </c>
      <c r="M51" s="199" t="s">
        <v>1361</v>
      </c>
      <c r="N51" s="195">
        <v>0.70306000000000002</v>
      </c>
      <c r="O51" s="195">
        <v>0.70306000000000002</v>
      </c>
      <c r="P51" s="269">
        <v>9.8100000000000007E-2</v>
      </c>
      <c r="Q51" s="270">
        <v>9.81</v>
      </c>
      <c r="S51" s="21">
        <v>15</v>
      </c>
      <c r="T51" s="194">
        <f>INDEX(Cert_patrones[[#All],[Código Patrón]:[Deriva]],MATCH($U$35,Cert_patrones[Código Patrón],0)+S51,3)*coef_unidad</f>
        <v>799.66</v>
      </c>
      <c r="U51" s="194">
        <f>INDEX(Cert_patrones[[#All],[Código Patrón]:[Deriva]],MATCH($U$35,Cert_patrones[Código Patrón],0)+S51,4)*coef_unidad</f>
        <v>-0.21759999999999999</v>
      </c>
      <c r="V51" s="194">
        <f>INDEX(Cert_patrones[[#All],[Código Patrón]:[Deriva]],MATCH($U$35,Cert_patrones[Código Patrón],0)+S51,5)*coef_unidad</f>
        <v>0.2611</v>
      </c>
      <c r="W51" s="194">
        <f>INDEX(Cert_patrones[[#All],[Código Patrón]:[Deriva]],MATCH($U$35,Cert_patrones[Código Patrón],0)+S51,9)*coef_unidad</f>
        <v>0.2676</v>
      </c>
      <c r="Y51" s="21">
        <v>15</v>
      </c>
      <c r="Z51" s="194" t="str">
        <f>IFERROR(INDEX(Cert_patrones[[#All],[Código Patrón]:[Deriva]],MATCH($AA$35,Cert_patrones[Código Patrón],0)+Y51,3)*coef_unidad,"")</f>
        <v/>
      </c>
      <c r="AA51" s="194" t="str">
        <f>IFERROR(INDEX(Cert_patrones[[#All],[Código Patrón]:[Deriva]],MATCH($AA$35,Cert_patrones[Código Patrón],0)+Y51,4)*coef_unidad,"")</f>
        <v/>
      </c>
      <c r="AB51" s="194" t="str">
        <f>IFERROR(INDEX(Cert_patrones[[#All],[Código Patrón]:[Deriva]],MATCH($AA$35,Cert_patrones[Código Patrón],0)+Y51,5)*coef_unidad,"")</f>
        <v/>
      </c>
      <c r="AC51" s="194" t="str">
        <f>IFERROR(INDEX(Cert_patrones[[#All],[Código Patrón]:[Deriva]],MATCH($AA$35,Cert_patrones[Código Patrón],0)+Y51,9)*coef_unidad,"")</f>
        <v/>
      </c>
      <c r="AE51" s="70" t="s">
        <v>162</v>
      </c>
      <c r="AF51" s="67" t="str">
        <f ca="1">IFERROR(INDEX($Z$37:$Z$51,MATCH(AF$50,$Z$37:OFFSET($Z$37,NumPuntosCalib2-1,0),1)),"")</f>
        <v/>
      </c>
      <c r="AG51" s="67" t="str">
        <f ca="1">IFERROR(INDEX($Z$37:$Z$51,MATCH(AG$50,$Z$37:OFFSET($Z$37,NumPuntosCalib2-1,0),1)),"")</f>
        <v/>
      </c>
      <c r="AH51" s="67" t="str">
        <f ca="1">IFERROR(INDEX($Z$37:$Z$51,MATCH(AH$50,$Z$37:OFFSET($Z$37,NumPuntosCalib2-1,0),1)),"")</f>
        <v/>
      </c>
      <c r="AI51" s="67" t="str">
        <f ca="1">IFERROR(INDEX($Z$37:$Z$51,MATCH(AI$50,$Z$37:OFFSET($Z$37,NumPuntosCalib2-1,0),1)),"")</f>
        <v/>
      </c>
      <c r="AJ51" s="67" t="str">
        <f ca="1">IFERROR(INDEX($Z$37:$Z$51,MATCH(AJ$50,$Z$37:OFFSET($Z$37,NumPuntosCalib2-1,0),1)),"")</f>
        <v/>
      </c>
      <c r="AK51" s="67" t="str">
        <f ca="1">IFERROR(INDEX($Z$37:$Z$51,MATCH(AK$50,$Z$37:OFFSET($Z$37,NumPuntosCalib2-1,0),1)),"")</f>
        <v/>
      </c>
      <c r="AL51" s="67" t="str">
        <f ca="1">IFERROR(INDEX($Z$37:$Z$51,MATCH(AL$50,$Z$37:OFFSET($Z$37,NumPuntosCalib2-1,0),1)),"")</f>
        <v/>
      </c>
      <c r="AM51" s="67" t="str">
        <f ca="1">IFERROR(INDEX($Z$37:$Z$51,MATCH(AM$50,$Z$37:OFFSET($Z$37,NumPuntosCalib2-1,0),1)),"")</f>
        <v/>
      </c>
      <c r="AN51" s="67" t="str">
        <f ca="1">IFERROR(INDEX($Z$37:$Z$51,MATCH(AN$50,$Z$37:OFFSET($Z$37,NumPuntosCalib2-1,0),1)),"")</f>
        <v/>
      </c>
      <c r="AO51" s="67" t="str">
        <f ca="1">IFERROR(INDEX($Z$37:$Z$51,MATCH(AO$50,$Z$37:OFFSET($Z$37,NumPuntosCalib2-1,0),1)),"")</f>
        <v/>
      </c>
    </row>
    <row r="52" spans="2:41" x14ac:dyDescent="0.3">
      <c r="B52">
        <v>15</v>
      </c>
      <c r="C52" s="97" t="str">
        <f t="shared" ca="1" si="14"/>
        <v/>
      </c>
      <c r="D52" s="97" t="str">
        <f t="shared" ca="1" si="8"/>
        <v/>
      </c>
      <c r="E52" s="97" t="str">
        <f t="shared" ca="1" si="9"/>
        <v/>
      </c>
      <c r="F52" s="100" t="str">
        <f ca="1">IFERROR(IF(C52&lt;&gt;"",#REF!*'[1]kU(E)'!G70,""),"")</f>
        <v/>
      </c>
      <c r="G52" s="244" t="str">
        <f t="shared" ca="1" si="10"/>
        <v/>
      </c>
      <c r="H52" s="210" t="str">
        <f t="shared" ca="1" si="11"/>
        <v/>
      </c>
      <c r="I52" s="210" t="str">
        <f t="shared" ca="1" si="12"/>
        <v/>
      </c>
      <c r="J52" s="243" t="str">
        <f t="shared" ca="1" si="13"/>
        <v/>
      </c>
      <c r="K52" s="97" t="str">
        <f ca="1">IFERROR(IF(C52="","",#REF!),"")</f>
        <v/>
      </c>
      <c r="S52" s="21"/>
      <c r="T52" s="21" t="s">
        <v>158</v>
      </c>
      <c r="U52" s="21"/>
      <c r="V52" s="50">
        <f>COUNTIF(V37:V51,"&lt;&gt;0")</f>
        <v>15</v>
      </c>
      <c r="W52" s="21"/>
      <c r="Y52" s="21"/>
      <c r="Z52" s="21" t="s">
        <v>158</v>
      </c>
      <c r="AA52" s="21"/>
      <c r="AB52" s="50">
        <f>COUNTIF(AB37:AB51,"&lt;&gt;0")</f>
        <v>15</v>
      </c>
      <c r="AC52" s="21"/>
      <c r="AE52" s="70" t="s">
        <v>164</v>
      </c>
      <c r="AF52" s="67" t="str">
        <f ca="1">IFERROR(INDEX($AB$37:$AB$51,MATCH(AF$50,$Z$37:OFFSET($Z$37,NumPuntosCalib2-1,0),1)),"")</f>
        <v/>
      </c>
      <c r="AG52" s="67" t="str">
        <f ca="1">IFERROR(INDEX($AB$37:$AB$51,MATCH(AG$50,$Z$37:OFFSET($Z$37,NumPuntosCalib2-1,0),1)),"")</f>
        <v/>
      </c>
      <c r="AH52" s="67" t="str">
        <f ca="1">IFERROR(INDEX($AB$37:$AB$51,MATCH(AH$50,$Z$37:OFFSET($Z$37,NumPuntosCalib2-1,0),1)),"")</f>
        <v/>
      </c>
      <c r="AI52" s="67" t="str">
        <f ca="1">IFERROR(INDEX($AB$37:$AB$51,MATCH(AI$50,$Z$37:OFFSET($Z$37,NumPuntosCalib2-1,0),1)),"")</f>
        <v/>
      </c>
      <c r="AJ52" s="67" t="str">
        <f ca="1">IFERROR(INDEX($AB$37:$AB$51,MATCH(AJ$50,$Z$37:OFFSET($Z$37,NumPuntosCalib2-1,0),1)),"")</f>
        <v/>
      </c>
      <c r="AK52" s="67" t="str">
        <f ca="1">IFERROR(INDEX($AB$37:$AB$51,MATCH(AK$50,$Z$37:OFFSET($Z$37,NumPuntosCalib2-1,0),1)),"")</f>
        <v/>
      </c>
      <c r="AL52" s="67" t="str">
        <f ca="1">IFERROR(INDEX($AB$37:$AB$51,MATCH(AL$50,$Z$37:OFFSET($Z$37,NumPuntosCalib2-1,0),1)),"")</f>
        <v/>
      </c>
      <c r="AM52" s="67" t="str">
        <f ca="1">IFERROR(INDEX($AB$37:$AB$51,MATCH(AM$50,$Z$37:OFFSET($Z$37,NumPuntosCalib2-1,0),1)),"")</f>
        <v/>
      </c>
      <c r="AN52" s="67" t="str">
        <f ca="1">IFERROR(INDEX($AB$37:$AB$51,MATCH(AN$50,$Z$37:OFFSET($Z$37,NumPuntosCalib2-1,0),1)),"")</f>
        <v/>
      </c>
      <c r="AO52" s="67" t="str">
        <f ca="1">IFERROR(INDEX($AB$37:$AB$51,MATCH(AO$50,$Z$37:OFFSET($Z$37,NumPuntosCalib2-1,0),1)),"")</f>
        <v/>
      </c>
    </row>
    <row r="53" spans="2:41" ht="16.2" x14ac:dyDescent="0.3">
      <c r="T53" s="118" t="s">
        <v>1362</v>
      </c>
      <c r="U53" s="127">
        <f t="array" aca="1" ref="U53" ca="1">RSQ($U$37:OFFSET($U$37,MATCH(TRUE,$V$37:$V$51&lt;&gt;0,1)-1,0),$T$37:OFFSET($T$37,MATCH(TRUE,$V$37:$V$51&lt;&gt;0,1)-1,0))</f>
        <v>0.94722417477361565</v>
      </c>
      <c r="V53" s="127">
        <f t="array" aca="1" ref="V53" ca="1">RSQ($V$37:OFFSET($V$37,MATCH(TRUE,$V$37:$V$51&lt;&gt;0,1)-1,0),$T$37:OFFSET($T$37,MATCH(TRUE,$V$37:$V$51&lt;&gt;0,1)-1,0))</f>
        <v>0.84154443067565621</v>
      </c>
      <c r="W53" s="127">
        <f t="array" aca="1" ref="W53" ca="1">IFERROR(RSQ($W$37:OFFSET($V$37,MATCH(TRUE,$V$37:$V$51&lt;&gt;0,1)-1,0),$T$37:OFFSET($T$37,MATCH(TRUE,$V$37:$V$51&lt;&gt;0,1)-1,0)),1)</f>
        <v>1</v>
      </c>
      <c r="Z53" s="118" t="s">
        <v>1362</v>
      </c>
      <c r="AA53" s="127">
        <f t="array" aca="1" ref="AA53" ca="1">IFERROR(RSQ($AA$37:OFFSET($AA$37,MATCH(TRUE,$AB$37:$AB$51&lt;&gt;0,1)-1,0),$Z$37:OFFSET($Z$37,MATCH(TRUE,$AB$37:$AB$51&lt;&gt;0,1)-1,0)),0)</f>
        <v>0</v>
      </c>
      <c r="AB53" s="127">
        <f t="array" aca="1" ref="AB53" ca="1">IFERROR(RSQ($AB$37:OFFSET($AB$37,MATCH(TRUE,$AA$37:$AA$51&lt;&gt;0,1)-1,0),$Z$37:OFFSET($Z$37,MATCH(TRUE,$AA$37:$AA$51&lt;&gt;0,1)-1,0)),0)</f>
        <v>0</v>
      </c>
      <c r="AC53" s="127">
        <f t="array" aca="1" ref="AC53" ca="1">IFERROR(RSQ($AC$37:OFFSET($AC$37,MATCH(TRUE,$AA$37:$AA$51&lt;&gt;0,1)-1,0),$Z$37:OFFSET($Z$37,MATCH(TRUE,$AA$37:$AA$51&lt;&gt;0,1)-1,0)),0)</f>
        <v>0</v>
      </c>
      <c r="AE53" s="70" t="s">
        <v>163</v>
      </c>
      <c r="AF53" s="67" t="str">
        <f ca="1">IFERROR(INDEX($Z$37:$Z$51,MATCH(AF$50,$Z$37:OFFSET($Z$37,NumPuntosCalib2-1,0),1)+1),"")</f>
        <v/>
      </c>
      <c r="AG53" s="67" t="str">
        <f ca="1">IFERROR(INDEX($Z$37:$Z$51,MATCH(AG$50,$Z$37:OFFSET($Z$37,NumPuntosCalib2-1,0),1)+1),"")</f>
        <v/>
      </c>
      <c r="AH53" s="67" t="str">
        <f ca="1">IFERROR(INDEX($Z$37:$Z$51,MATCH(AH$50,$Z$37:OFFSET($Z$37,NumPuntosCalib2-1,0),1)+1),"")</f>
        <v/>
      </c>
      <c r="AI53" s="67" t="str">
        <f ca="1">IFERROR(INDEX($Z$37:$Z$51,MATCH(AI$50,$Z$37:OFFSET($Z$37,NumPuntosCalib2-1,0),1)+1),"")</f>
        <v/>
      </c>
      <c r="AJ53" s="67" t="str">
        <f ca="1">IFERROR(INDEX($Z$37:$Z$51,MATCH(AJ$50,$Z$37:OFFSET($Z$37,NumPuntosCalib2-1,0),1)+1),"")</f>
        <v/>
      </c>
      <c r="AK53" s="67" t="str">
        <f ca="1">IFERROR(INDEX($Z$37:$Z$51,MATCH(AK$50,$Z$37:OFFSET($Z$37,NumPuntosCalib2-1,0),1)+1),"")</f>
        <v/>
      </c>
      <c r="AL53" s="67" t="str">
        <f ca="1">IFERROR(INDEX($Z$37:$Z$51,MATCH(AL$50,$Z$37:OFFSET($Z$37,NumPuntosCalib2-1,0),1)+1),"")</f>
        <v/>
      </c>
      <c r="AM53" s="67" t="str">
        <f ca="1">IFERROR(INDEX($Z$37:$Z$51,MATCH(AM$50,$Z$37:OFFSET($Z$37,NumPuntosCalib2-1,0),1)+1),"")</f>
        <v/>
      </c>
      <c r="AN53" s="67" t="str">
        <f ca="1">IFERROR(INDEX($Z$37:$Z$51,MATCH(AN$50,$Z$37:OFFSET($Z$37,NumPuntosCalib2-1,0),1)+1),"")</f>
        <v/>
      </c>
      <c r="AO53" s="67" t="str">
        <f ca="1">IFERROR(INDEX($Z$37:$Z$51,MATCH(AO$50,$Z$37:OFFSET($Z$37,NumPuntosCalib2-1,0),1)+1),"")</f>
        <v/>
      </c>
    </row>
    <row r="54" spans="2:41" x14ac:dyDescent="0.3">
      <c r="AE54" s="70" t="s">
        <v>165</v>
      </c>
      <c r="AF54" s="67" t="str">
        <f ca="1">IFERROR(INDEX($AB$37:$AB$51,MATCH(AF$50,$Z$37:OFFSET($Z$37,NumPuntosCalib2-1,0),1)+1),"")</f>
        <v/>
      </c>
      <c r="AG54" s="67" t="str">
        <f ca="1">IFERROR(INDEX($AB$37:$AB$51,MATCH(AG$50,$Z$37:OFFSET($Z$37,NumPuntosCalib2-1,0),1)+1),"")</f>
        <v/>
      </c>
      <c r="AH54" s="67" t="str">
        <f ca="1">IFERROR(INDEX($AB$37:$AB$51,MATCH(AH$50,$Z$37:OFFSET($Z$37,NumPuntosCalib2-1,0),1)+1),"")</f>
        <v/>
      </c>
      <c r="AI54" s="67" t="str">
        <f ca="1">IFERROR(INDEX($AB$37:$AB$51,MATCH(AI$50,$Z$37:OFFSET($Z$37,NumPuntosCalib2-1,0),1)+1),"")</f>
        <v/>
      </c>
      <c r="AJ54" s="67" t="str">
        <f ca="1">IFERROR(INDEX($AB$37:$AB$51,MATCH(AJ$50,$Z$37:OFFSET($Z$37,NumPuntosCalib2-1,0),1)+1),"")</f>
        <v/>
      </c>
      <c r="AK54" s="67" t="str">
        <f ca="1">IFERROR(INDEX($AB$37:$AB$51,MATCH(AK$50,$Z$37:OFFSET($Z$37,NumPuntosCalib2-1,0),1)+1),"")</f>
        <v/>
      </c>
      <c r="AL54" s="67" t="str">
        <f ca="1">IFERROR(INDEX($AB$37:$AB$51,MATCH(AL$50,$Z$37:OFFSET($Z$37,NumPuntosCalib2-1,0),1)+1),"")</f>
        <v/>
      </c>
      <c r="AM54" s="67" t="str">
        <f ca="1">IFERROR(INDEX($AB$37:$AB$51,MATCH(AM$50,$Z$37:OFFSET($Z$37,NumPuntosCalib2-1,0),1)+1),"")</f>
        <v/>
      </c>
      <c r="AN54" s="67" t="str">
        <f ca="1">IFERROR(INDEX($AB$37:$AB$51,MATCH(AN$50,$Z$37:OFFSET($Z$37,NumPuntosCalib2-1,0),1)+1),"")</f>
        <v/>
      </c>
      <c r="AO54" s="67" t="str">
        <f ca="1">IFERROR(INDEX($AB$37:$AB$51,MATCH(AO$50,$Z$37:OFFSET($Z$37,NumPuntosCalib2-1,0),1)+1),"")</f>
        <v/>
      </c>
    </row>
    <row r="55" spans="2:41" x14ac:dyDescent="0.3">
      <c r="M55" t="s">
        <v>313</v>
      </c>
      <c r="AE55" s="70" t="s">
        <v>166</v>
      </c>
      <c r="AF55" s="121" t="str">
        <f t="shared" ref="AF55:AO55" ca="1" si="16">IFERROR(AF52+(AF50-AF51)*(AF54-AF52)/(AF53-AF51),"")</f>
        <v/>
      </c>
      <c r="AG55" s="121" t="str">
        <f t="shared" ca="1" si="16"/>
        <v/>
      </c>
      <c r="AH55" s="121" t="str">
        <f t="shared" ca="1" si="16"/>
        <v/>
      </c>
      <c r="AI55" s="121" t="str">
        <f t="shared" ca="1" si="16"/>
        <v/>
      </c>
      <c r="AJ55" s="121" t="str">
        <f t="shared" ca="1" si="16"/>
        <v/>
      </c>
      <c r="AK55" s="121" t="str">
        <f t="shared" ca="1" si="16"/>
        <v/>
      </c>
      <c r="AL55" s="121" t="str">
        <f t="shared" ca="1" si="16"/>
        <v/>
      </c>
      <c r="AM55" s="121" t="str">
        <f t="shared" ca="1" si="16"/>
        <v/>
      </c>
      <c r="AN55" s="121" t="str">
        <f t="shared" ca="1" si="16"/>
        <v/>
      </c>
      <c r="AO55" s="121" t="str">
        <f t="shared" ca="1" si="16"/>
        <v/>
      </c>
    </row>
    <row r="58" spans="2:41" x14ac:dyDescent="0.3">
      <c r="AE58" s="16" t="s">
        <v>342</v>
      </c>
      <c r="AF58" s="16"/>
      <c r="AG58" s="16"/>
      <c r="AH58" s="16"/>
      <c r="AI58" s="16" t="str">
        <f>CONCATENATE("[Todo en ", unidad,"]")</f>
        <v>[Todo en psi]</v>
      </c>
      <c r="AJ58" s="16"/>
    </row>
    <row r="59" spans="2:41" x14ac:dyDescent="0.3">
      <c r="M59" s="406"/>
      <c r="N59" s="406"/>
      <c r="O59" s="406"/>
      <c r="P59" s="406"/>
    </row>
    <row r="60" spans="2:41" x14ac:dyDescent="0.3">
      <c r="AE60" s="49" t="s">
        <v>167</v>
      </c>
      <c r="AF60" s="49">
        <v>1</v>
      </c>
      <c r="AG60" s="49">
        <v>2</v>
      </c>
      <c r="AH60" s="49">
        <v>3</v>
      </c>
      <c r="AI60" s="49">
        <v>4</v>
      </c>
      <c r="AJ60" s="49">
        <v>5</v>
      </c>
      <c r="AK60" s="49">
        <v>6</v>
      </c>
      <c r="AL60" s="49">
        <v>7</v>
      </c>
      <c r="AM60" s="49">
        <v>8</v>
      </c>
      <c r="AN60" s="49">
        <v>9</v>
      </c>
      <c r="AO60" s="49">
        <v>10</v>
      </c>
    </row>
    <row r="61" spans="2:41" x14ac:dyDescent="0.3">
      <c r="AE61" s="70" t="s">
        <v>161</v>
      </c>
      <c r="AF61" s="71" t="str">
        <f t="array" aca="1" ref="AF61:AO61" ca="1">TRANSPOSE($T$15:$T$29)</f>
        <v/>
      </c>
      <c r="AG61" s="71" t="str">
        <f ca="1"/>
        <v/>
      </c>
      <c r="AH61" s="71" t="str">
        <f ca="1"/>
        <v/>
      </c>
      <c r="AI61" s="71" t="str">
        <f ca="1"/>
        <v/>
      </c>
      <c r="AJ61" s="71" t="str">
        <f ca="1"/>
        <v/>
      </c>
      <c r="AK61" s="71" t="str">
        <f ca="1"/>
        <v/>
      </c>
      <c r="AL61" s="66" t="str">
        <f ca="1"/>
        <v/>
      </c>
      <c r="AM61" s="66" t="str">
        <f ca="1"/>
        <v/>
      </c>
      <c r="AN61" s="66" t="str">
        <f ca="1"/>
        <v/>
      </c>
      <c r="AO61" s="66" t="str">
        <f ca="1"/>
        <v/>
      </c>
    </row>
    <row r="62" spans="2:41" x14ac:dyDescent="0.3">
      <c r="AE62" s="70" t="s">
        <v>162</v>
      </c>
      <c r="AF62" s="67" t="str">
        <f ca="1">IFERROR(INDEX($Z$37:$Z$51,MATCH(AF$61,$Z$37:OFFSET($Z$37,NumPuntosCalib2-1,0),1)),"")</f>
        <v/>
      </c>
      <c r="AG62" s="67" t="str">
        <f ca="1">IFERROR(INDEX($Z$37:$Z$51,MATCH(AG$61,$Z$37:OFFSET($Z$37,NumPuntosCalib2-1,0),1)),"")</f>
        <v/>
      </c>
      <c r="AH62" s="67" t="str">
        <f ca="1">IFERROR(INDEX($Z$37:$Z$51,MATCH(AH$61,$Z$37:OFFSET($Z$37,NumPuntosCalib2-1,0),1)),"")</f>
        <v/>
      </c>
      <c r="AI62" s="67" t="str">
        <f ca="1">IFERROR(INDEX($Z$37:$Z$51,MATCH(AI$61,$Z$37:OFFSET($Z$37,NumPuntosCalib2-1,0),1)),"")</f>
        <v/>
      </c>
      <c r="AJ62" s="67" t="str">
        <f ca="1">IFERROR(INDEX($Z$37:$Z$51,MATCH(AJ$61,$Z$37:OFFSET($Z$37,NumPuntosCalib2-1,0),1)),"")</f>
        <v/>
      </c>
      <c r="AK62" s="67" t="str">
        <f ca="1">IFERROR(INDEX($Z$37:$Z$51,MATCH(AK$61,$Z$37:OFFSET($Z$37,NumPuntosCalib2-1,0),1)),"")</f>
        <v/>
      </c>
      <c r="AL62" s="67" t="str">
        <f ca="1">IFERROR(INDEX($Z$37:$Z$51,MATCH(AL$61,$Z$37:OFFSET($Z$37,NumPuntosCalib2-1,0),1)),"")</f>
        <v/>
      </c>
      <c r="AM62" s="67" t="str">
        <f ca="1">IFERROR(INDEX($Z$37:$Z$51,MATCH(AM$61,$Z$37:OFFSET($Z$37,NumPuntosCalib2-1,0),1)),"")</f>
        <v/>
      </c>
      <c r="AN62" s="67" t="str">
        <f ca="1">IFERROR(INDEX($Z$37:$Z$51,MATCH(AN$61,$Z$37:OFFSET($Z$37,NumPuntosCalib2-1,0),1)),"")</f>
        <v/>
      </c>
      <c r="AO62" s="67" t="str">
        <f ca="1">IFERROR(INDEX($Z$37:$Z$51,MATCH(AO$61,$Z$37:OFFSET($Z$37,NumPuntosCalib2-1,0),1)),"")</f>
        <v/>
      </c>
    </row>
    <row r="63" spans="2:41" x14ac:dyDescent="0.3">
      <c r="AE63" s="70" t="s">
        <v>164</v>
      </c>
      <c r="AF63" s="67" t="str">
        <f ca="1">IFERROR(INDEX($AC$37:$AC$51,MATCH(AF$61,$Z$37:OFFSET($Z$37,NumPuntosCalib2-1,0),1)),"")</f>
        <v/>
      </c>
      <c r="AG63" s="67" t="str">
        <f ca="1">IFERROR(INDEX($AC$37:$AC$51,MATCH(AG$61,$Z$37:OFFSET($Z$37,NumPuntosCalib2-1,0),1)),"")</f>
        <v/>
      </c>
      <c r="AH63" s="67" t="str">
        <f ca="1">IFERROR(INDEX($AC$37:$AC$51,MATCH(AH$61,$Z$37:OFFSET($Z$37,NumPuntosCalib2-1,0),1)),"")</f>
        <v/>
      </c>
      <c r="AI63" s="67" t="str">
        <f ca="1">IFERROR(INDEX($AC$37:$AC$51,MATCH(AI$61,$Z$37:OFFSET($Z$37,NumPuntosCalib2-1,0),1)),"")</f>
        <v/>
      </c>
      <c r="AJ63" s="67" t="str">
        <f ca="1">IFERROR(INDEX($AC$37:$AC$51,MATCH(AJ$61,$Z$37:OFFSET($Z$37,NumPuntosCalib2-1,0),1)),"")</f>
        <v/>
      </c>
      <c r="AK63" s="67" t="str">
        <f ca="1">IFERROR(INDEX($AC$37:$AC$51,MATCH(AK$61,$Z$37:OFFSET($Z$37,NumPuntosCalib2-1,0),1)),"")</f>
        <v/>
      </c>
      <c r="AL63" s="67" t="str">
        <f ca="1">IFERROR(INDEX($AC$37:$AC$51,MATCH(AL$61,$Z$37:OFFSET($Z$37,NumPuntosCalib2-1,0),1)),"")</f>
        <v/>
      </c>
      <c r="AM63" s="67" t="str">
        <f ca="1">IFERROR(INDEX($AC$37:$AC$51,MATCH(AM$61,$Z$37:OFFSET($Z$37,NumPuntosCalib2-1,0),1)),"")</f>
        <v/>
      </c>
      <c r="AN63" s="67" t="str">
        <f ca="1">IFERROR(INDEX($AC$37:$AC$51,MATCH(AN$61,$Z$37:OFFSET($Z$37,NumPuntosCalib2-1,0),1)),"")</f>
        <v/>
      </c>
      <c r="AO63" s="67" t="str">
        <f ca="1">IFERROR(INDEX($AC$37:$AC$51,MATCH(AO$61,$Z$37:OFFSET($Z$37,NumPuntosCalib2-1,0),1)),"")</f>
        <v/>
      </c>
    </row>
    <row r="64" spans="2:41" x14ac:dyDescent="0.3">
      <c r="AE64" s="70" t="s">
        <v>163</v>
      </c>
      <c r="AF64" s="67" t="str">
        <f ca="1">IFERROR(INDEX($Z$37:$Z$51,MATCH(AF$61,$Z$37:OFFSET($Z$37,NumPuntosCalib2-1,0),1)+1),"")</f>
        <v/>
      </c>
      <c r="AG64" s="67" t="str">
        <f ca="1">IFERROR(INDEX($Z$37:$Z$51,MATCH(AG$61,$Z$37:OFFSET($Z$37,NumPuntosCalib2-1,0),1)+1),"")</f>
        <v/>
      </c>
      <c r="AH64" s="67" t="str">
        <f ca="1">IFERROR(INDEX($Z$37:$Z$51,MATCH(AH$61,$Z$37:OFFSET($Z$37,NumPuntosCalib2-1,0),1)+1),"")</f>
        <v/>
      </c>
      <c r="AI64" s="67" t="str">
        <f ca="1">IFERROR(INDEX($Z$37:$Z$51,MATCH(AI$61,$Z$37:OFFSET($Z$37,NumPuntosCalib2-1,0),1)+1),"")</f>
        <v/>
      </c>
      <c r="AJ64" s="67" t="str">
        <f ca="1">IFERROR(INDEX($Z$37:$Z$51,MATCH(AJ$61,$Z$37:OFFSET($Z$37,NumPuntosCalib2-1,0),1)+1),"")</f>
        <v/>
      </c>
      <c r="AK64" s="67" t="str">
        <f ca="1">IFERROR(INDEX($Z$37:$Z$51,MATCH(AK$61,$Z$37:OFFSET($Z$37,NumPuntosCalib2-1,0),1)+1),"")</f>
        <v/>
      </c>
      <c r="AL64" s="67" t="str">
        <f ca="1">IFERROR(INDEX($Z$37:$Z$51,MATCH(AL$61,$Z$37:OFFSET($Z$37,NumPuntosCalib2-1,0),1)+1),"")</f>
        <v/>
      </c>
      <c r="AM64" s="67" t="str">
        <f ca="1">IFERROR(INDEX($Z$37:$Z$51,MATCH(AM$61,$Z$37:OFFSET($Z$37,NumPuntosCalib2-1,0),1)+1),"")</f>
        <v/>
      </c>
      <c r="AN64" s="67" t="str">
        <f ca="1">IFERROR(INDEX($Z$37:$Z$51,MATCH(AN$61,$Z$37:OFFSET($Z$37,NumPuntosCalib2-1,0),1)+1),"")</f>
        <v/>
      </c>
      <c r="AO64" s="67" t="str">
        <f ca="1">IFERROR(INDEX($Z$37:$Z$51,MATCH(AO$61,$Z$37:OFFSET($Z$37,NumPuntosCalib2-1,0),1)+1),"")</f>
        <v/>
      </c>
    </row>
    <row r="65" spans="31:41" x14ac:dyDescent="0.3">
      <c r="AE65" s="70" t="s">
        <v>165</v>
      </c>
      <c r="AF65" s="67" t="str">
        <f ca="1">IFERROR(INDEX($AC$37:$AC$51,MATCH(AF$61,$Z$37:OFFSET($Z$37,NumPuntosCalib2-1,0),1)+1),"")</f>
        <v/>
      </c>
      <c r="AG65" s="67" t="str">
        <f ca="1">IFERROR(INDEX($AC$37:$AC$51,MATCH(AG$61,$Z$37:OFFSET($Z$37,NumPuntosCalib2-1,0),1)+1),"")</f>
        <v/>
      </c>
      <c r="AH65" s="67" t="str">
        <f ca="1">IFERROR(INDEX($AC$37:$AC$51,MATCH(AH$61,$Z$37:OFFSET($Z$37,NumPuntosCalib2-1,0),1)+1),"")</f>
        <v/>
      </c>
      <c r="AI65" s="67" t="str">
        <f ca="1">IFERROR(INDEX($AC$37:$AC$51,MATCH(AI$61,$Z$37:OFFSET($Z$37,NumPuntosCalib2-1,0),1)+1),"")</f>
        <v/>
      </c>
      <c r="AJ65" s="67" t="str">
        <f ca="1">IFERROR(INDEX($AC$37:$AC$51,MATCH(AJ$61,$Z$37:OFFSET($Z$37,NumPuntosCalib2-1,0),1)+1),"")</f>
        <v/>
      </c>
      <c r="AK65" s="67" t="str">
        <f ca="1">IFERROR(INDEX($AC$37:$AC$51,MATCH(AK$61,$Z$37:OFFSET($Z$37,NumPuntosCalib2-1,0),1)+1),"")</f>
        <v/>
      </c>
      <c r="AL65" s="67" t="str">
        <f ca="1">IFERROR(INDEX($AC$37:$AC$51,MATCH(AL$61,$Z$37:OFFSET($Z$37,NumPuntosCalib2-1,0),1)+1),"")</f>
        <v/>
      </c>
      <c r="AM65" s="67" t="str">
        <f ca="1">IFERROR(INDEX($AC$37:$AC$51,MATCH(AM$61,$Z$37:OFFSET($Z$37,NumPuntosCalib2-1,0),1)+1),"")</f>
        <v/>
      </c>
      <c r="AN65" s="67" t="str">
        <f ca="1">IFERROR(INDEX($AC$37:$AC$51,MATCH(AN$61,$Z$37:OFFSET($Z$37,NumPuntosCalib2-1,0),1)+1),"")</f>
        <v/>
      </c>
      <c r="AO65" s="67" t="str">
        <f ca="1">IFERROR(INDEX($AC$37:$AC$51,MATCH(AO$61,$Z$37:OFFSET($Z$37,NumPuntosCalib2-1,0),1)+1),"")</f>
        <v/>
      </c>
    </row>
    <row r="66" spans="31:41" x14ac:dyDescent="0.3">
      <c r="AE66" s="70" t="s">
        <v>166</v>
      </c>
      <c r="AF66" s="121" t="str">
        <f t="shared" ref="AF66:AO66" ca="1" si="17">IFERROR(AF63+(AF61-AF62)*(AF65-AF63)/(AF64-AF62),"")</f>
        <v/>
      </c>
      <c r="AG66" s="121" t="str">
        <f t="shared" ca="1" si="17"/>
        <v/>
      </c>
      <c r="AH66" s="121" t="str">
        <f t="shared" ca="1" si="17"/>
        <v/>
      </c>
      <c r="AI66" s="121" t="str">
        <f t="shared" ca="1" si="17"/>
        <v/>
      </c>
      <c r="AJ66" s="121" t="str">
        <f t="shared" ca="1" si="17"/>
        <v/>
      </c>
      <c r="AK66" s="121" t="str">
        <f t="shared" ca="1" si="17"/>
        <v/>
      </c>
      <c r="AL66" s="121" t="str">
        <f t="shared" ca="1" si="17"/>
        <v/>
      </c>
      <c r="AM66" s="121" t="str">
        <f t="shared" ca="1" si="17"/>
        <v/>
      </c>
      <c r="AN66" s="121" t="str">
        <f t="shared" ca="1" si="17"/>
        <v/>
      </c>
      <c r="AO66" s="121" t="str">
        <f t="shared" ca="1" si="17"/>
        <v/>
      </c>
    </row>
    <row r="124" spans="59:59" x14ac:dyDescent="0.3">
      <c r="BG124" s="69" t="s">
        <v>41</v>
      </c>
    </row>
    <row r="125" spans="59:59" x14ac:dyDescent="0.3">
      <c r="BG125" s="69" t="s">
        <v>42</v>
      </c>
    </row>
    <row r="128" spans="59:59" x14ac:dyDescent="0.3">
      <c r="BG128" s="69" t="s">
        <v>326</v>
      </c>
    </row>
    <row r="129" spans="59:59" x14ac:dyDescent="0.3">
      <c r="BG129" s="69" t="s">
        <v>327</v>
      </c>
    </row>
  </sheetData>
  <sheetProtection formatCells="0" formatColumns="0"/>
  <mergeCells count="10">
    <mergeCell ref="M59:P59"/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N24">
    <cfRule type="cellIs" dxfId="28" priority="17" operator="notBetween">
      <formula>MAX($U$5:$U$6)</formula>
      <formula>MIN($V$5:$V$6)</formula>
    </cfRule>
  </conditionalFormatting>
  <conditionalFormatting sqref="F38:F52">
    <cfRule type="cellIs" dxfId="27" priority="1" operator="lessThan">
      <formula>K38</formula>
    </cfRule>
  </conditionalFormatting>
  <conditionalFormatting sqref="H25:N29">
    <cfRule type="cellIs" dxfId="26" priority="32" operator="notBetween">
      <formula>MAX($U$5:$U$6)</formula>
      <formula>MIN($V$5:$V$6)</formula>
    </cfRule>
  </conditionalFormatting>
  <conditionalFormatting sqref="O15:O29">
    <cfRule type="expression" dxfId="25" priority="34">
      <formula>$C15&lt;&gt;0</formula>
    </cfRule>
  </conditionalFormatting>
  <conditionalFormatting sqref="T14">
    <cfRule type="duplicateValues" dxfId="24" priority="67"/>
  </conditionalFormatting>
  <conditionalFormatting sqref="T15:Z29">
    <cfRule type="expression" dxfId="23" priority="75">
      <formula>$T15&lt;&gt;0</formula>
    </cfRule>
  </conditionalFormatting>
  <conditionalFormatting sqref="W5:W7">
    <cfRule type="expression" dxfId="22" priority="37">
      <formula>CertTempC&lt;W5</formula>
    </cfRule>
  </conditionalFormatting>
  <conditionalFormatting sqref="X5:X7">
    <cfRule type="expression" dxfId="21" priority="38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B2512-3A61-4DE9-B3C1-CAB25A43D047}">
  <dimension ref="B2:AI70"/>
  <sheetViews>
    <sheetView topLeftCell="F7" zoomScale="85" zoomScaleNormal="85" workbookViewId="0">
      <selection activeCell="Q18" sqref="Q18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4" t="s">
        <v>135</v>
      </c>
      <c r="C2" s="16"/>
      <c r="U2" s="412" t="s">
        <v>321</v>
      </c>
      <c r="V2" s="412"/>
      <c r="W2" s="412"/>
      <c r="X2" s="412"/>
      <c r="Y2" s="412"/>
      <c r="Z2" s="412"/>
      <c r="AA2" s="412"/>
      <c r="AB2" s="412"/>
      <c r="AC2" s="412"/>
      <c r="AD2" s="285" t="s">
        <v>239</v>
      </c>
      <c r="AG2" s="288" t="s">
        <v>137</v>
      </c>
      <c r="AH2" s="288" t="s">
        <v>296</v>
      </c>
      <c r="AI2" s="288" t="s">
        <v>239</v>
      </c>
    </row>
    <row r="3" spans="2:35" x14ac:dyDescent="0.3">
      <c r="B3" s="51" t="s">
        <v>136</v>
      </c>
      <c r="C3" s="51" t="s">
        <v>173</v>
      </c>
      <c r="D3" s="51" t="s">
        <v>137</v>
      </c>
      <c r="E3" s="51" t="s">
        <v>138</v>
      </c>
      <c r="U3" s="286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86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86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86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86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86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86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86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86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86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89" t="s">
        <v>237</v>
      </c>
      <c r="AH3" s="289">
        <v>6.8947570000000002</v>
      </c>
      <c r="AI3" s="290">
        <f t="shared" ref="AI3:AI17" si="0">AH3*1000</f>
        <v>6894.7570000000005</v>
      </c>
    </row>
    <row r="4" spans="2:35" x14ac:dyDescent="0.3">
      <c r="B4" s="75" t="s">
        <v>174</v>
      </c>
      <c r="C4" s="78" t="s">
        <v>175</v>
      </c>
      <c r="D4" s="52" t="s">
        <v>97</v>
      </c>
      <c r="E4" s="76">
        <v>0</v>
      </c>
      <c r="AG4" s="289" t="s">
        <v>238</v>
      </c>
      <c r="AH4" s="289">
        <v>100</v>
      </c>
      <c r="AI4" s="290">
        <f t="shared" si="0"/>
        <v>100000</v>
      </c>
    </row>
    <row r="5" spans="2:35" ht="15.6" x14ac:dyDescent="0.3">
      <c r="B5" s="75" t="s">
        <v>139</v>
      </c>
      <c r="C5" s="78" t="s">
        <v>1363</v>
      </c>
      <c r="D5" s="52" t="s">
        <v>140</v>
      </c>
      <c r="E5" s="77">
        <v>30</v>
      </c>
      <c r="U5" s="412" t="s">
        <v>321</v>
      </c>
      <c r="V5" s="412"/>
      <c r="W5" s="412"/>
      <c r="X5" s="412"/>
      <c r="Y5" s="412"/>
      <c r="Z5" s="412"/>
      <c r="AA5" s="412"/>
      <c r="AB5" s="412"/>
      <c r="AC5" s="413" t="str">
        <f>CONCATENATE("Todo en [",unidad,"]")</f>
        <v>Todo en [psi]</v>
      </c>
      <c r="AD5" s="413"/>
      <c r="AG5" s="289" t="s">
        <v>239</v>
      </c>
      <c r="AH5" s="289">
        <v>1E-3</v>
      </c>
      <c r="AI5" s="290">
        <f t="shared" si="0"/>
        <v>1</v>
      </c>
    </row>
    <row r="6" spans="2:35" x14ac:dyDescent="0.3">
      <c r="U6" s="287">
        <f ca="1">IF(unidad="Pa",U3*1,(U3/INDEX($AG$3:$AI$17,MATCH(General!$F$16,$AG$3:$AG$17,0),3)))</f>
        <v>0</v>
      </c>
      <c r="V6" s="287">
        <f ca="1">IF(unidad="Pa",V3*1,(V3/INDEX($AG$3:$AI$17,MATCH(General!$F$16,$AG$3:$AG$17,0),3)))</f>
        <v>0</v>
      </c>
      <c r="W6" s="287">
        <f ca="1">IF(unidad="Pa",W3*1,(W3/INDEX($AG$3:$AI$17,MATCH(General!$F$16,$AG$3:$AG$17,0),3)))</f>
        <v>0</v>
      </c>
      <c r="X6" s="287">
        <f ca="1">IF(unidad="Pa",X3*1,(X3/INDEX($AG$3:$AI$17,MATCH(General!$F$16,$AG$3:$AG$17,0),3)))</f>
        <v>0</v>
      </c>
      <c r="Y6" s="287">
        <f ca="1">IF(unidad="Pa",Y3*1,(Y3/INDEX($AG$3:$AI$17,MATCH(General!$F$16,$AG$3:$AG$17,0),3)))</f>
        <v>0</v>
      </c>
      <c r="Z6" s="287">
        <f ca="1">IF(unidad="Pa",Z3*1,(Z3/INDEX($AG$3:$AI$17,MATCH(General!$F$16,$AG$3:$AG$17,0),3)))</f>
        <v>0</v>
      </c>
      <c r="AA6" s="287">
        <f ca="1">IF(unidad="Pa",AA3*1,(AA3/INDEX($AG$3:$AI$17,MATCH(General!$F$16,$AG$3:$AG$17,0),3)))</f>
        <v>0</v>
      </c>
      <c r="AB6" s="287">
        <f ca="1">IF(unidad="Pa",AB3*1,(AB3/INDEX($AG$3:$AI$17,MATCH(General!$F$16,$AG$3:$AG$17,0),3)))</f>
        <v>0</v>
      </c>
      <c r="AC6" s="287">
        <f ca="1">IF(unidad="Pa",AC3*1,(AC3/INDEX($AG$3:$AI$17,MATCH(General!$F$16,$AG$3:$AG$17,0),3)))</f>
        <v>0</v>
      </c>
      <c r="AD6" s="287">
        <f ca="1">IF(unidad="Pa",AD3*1,(AD3/INDEX($AG$3:$AI$17,MATCH(General!$F$16,$AG$3:$AG$17,0),3)))</f>
        <v>0</v>
      </c>
      <c r="AG6" s="289" t="s">
        <v>296</v>
      </c>
      <c r="AH6" s="289">
        <v>1</v>
      </c>
      <c r="AI6" s="290">
        <f t="shared" si="0"/>
        <v>1000</v>
      </c>
    </row>
    <row r="7" spans="2:35" x14ac:dyDescent="0.3">
      <c r="B7" s="53" t="s">
        <v>151</v>
      </c>
      <c r="C7" s="16"/>
      <c r="D7" s="16"/>
      <c r="E7" s="16"/>
      <c r="F7" s="16"/>
      <c r="G7" s="142" t="str">
        <f ca="1">IFERROR(CONCATENATE(FIXED(Calibración!C38,decim),unidad),"")</f>
        <v/>
      </c>
      <c r="H7" s="142" t="str">
        <f ca="1">IFERROR(CONCATENATE(FIXED(Calibración!C39,decim),unidad),"")</f>
        <v/>
      </c>
      <c r="I7" s="142" t="str">
        <f ca="1">IFERROR(CONCATENATE(FIXED(Calibración!C40,decim),unidad),"")</f>
        <v/>
      </c>
      <c r="J7" s="142" t="str">
        <f ca="1">IFERROR(CONCATENATE(FIXED(Calibración!C41,decim),unidad),"")</f>
        <v/>
      </c>
      <c r="K7" s="142" t="str">
        <f ca="1">IFERROR(CONCATENATE(FIXED(Calibración!C42,decim),unidad),"")</f>
        <v/>
      </c>
      <c r="L7" s="142" t="str">
        <f ca="1">IFERROR(CONCATENATE(FIXED(Calibración!C43,decim),unidad),"")</f>
        <v/>
      </c>
      <c r="M7" s="142" t="str">
        <f ca="1">IFERROR(CONCATENATE(FIXED(Calibración!C44,decim),unidad),"")</f>
        <v/>
      </c>
      <c r="N7" s="142" t="str">
        <f ca="1">IFERROR(CONCATENATE(FIXED(Calibración!C45,decim),unidad),"")</f>
        <v/>
      </c>
      <c r="O7" s="142" t="str">
        <f ca="1">IFERROR(CONCATENATE(FIXED(Calibración!C46,decim),unidad),"")</f>
        <v/>
      </c>
      <c r="P7" s="142" t="str">
        <f ca="1">IFERROR(CONCATENATE(FIXED(Calibración!C47,decim),unidad),"")</f>
        <v/>
      </c>
      <c r="AG7" s="289" t="s">
        <v>240</v>
      </c>
      <c r="AH7" s="289">
        <v>0.01</v>
      </c>
      <c r="AI7" s="290">
        <f t="shared" si="0"/>
        <v>10</v>
      </c>
    </row>
    <row r="8" spans="2:35" ht="15" x14ac:dyDescent="0.3">
      <c r="B8" s="51" t="s">
        <v>152</v>
      </c>
      <c r="C8" s="51" t="s">
        <v>173</v>
      </c>
      <c r="D8" s="51" t="s">
        <v>172</v>
      </c>
      <c r="E8" s="51" t="s">
        <v>171</v>
      </c>
      <c r="F8" s="51" t="s">
        <v>1364</v>
      </c>
      <c r="G8" s="349">
        <v>1</v>
      </c>
      <c r="H8" s="349">
        <v>2</v>
      </c>
      <c r="I8" s="349">
        <v>3</v>
      </c>
      <c r="J8" s="349">
        <v>4</v>
      </c>
      <c r="K8" s="349">
        <v>5</v>
      </c>
      <c r="L8" s="349">
        <v>6</v>
      </c>
      <c r="M8" s="349">
        <v>7</v>
      </c>
      <c r="N8" s="349">
        <v>8</v>
      </c>
      <c r="O8" s="349">
        <v>9</v>
      </c>
      <c r="P8" s="349">
        <v>10</v>
      </c>
      <c r="AG8" s="289" t="s">
        <v>443</v>
      </c>
      <c r="AH8" s="289">
        <v>1000</v>
      </c>
      <c r="AI8" s="290">
        <f t="shared" si="0"/>
        <v>1000000</v>
      </c>
    </row>
    <row r="9" spans="2:35" x14ac:dyDescent="0.3">
      <c r="B9" s="346" t="s">
        <v>155</v>
      </c>
      <c r="C9" s="57" t="s">
        <v>1365</v>
      </c>
      <c r="D9" s="73" t="s">
        <v>170</v>
      </c>
      <c r="E9" s="74">
        <f>SQRT(12)</f>
        <v>3.4641016151377544</v>
      </c>
      <c r="F9" s="79">
        <v>1</v>
      </c>
      <c r="G9" s="347">
        <f ca="1">IF(G10=0,0,DivEscalaPatr*F9/E9)</f>
        <v>0</v>
      </c>
      <c r="H9" s="347">
        <f ca="1">IF(H10=0,0,DivEscalaPatr*F9/E9)</f>
        <v>0</v>
      </c>
      <c r="I9" s="347">
        <f ca="1">IF(I10=0,0,DivEscalaPatr*F9/E9)</f>
        <v>0</v>
      </c>
      <c r="J9" s="347">
        <f ca="1">IF(J10=0,0,DivEscalaPatr*F9/E9)</f>
        <v>0</v>
      </c>
      <c r="K9" s="347">
        <f ca="1">IF(K10=0,0,DivEscalaPatr*F9/E9)</f>
        <v>0</v>
      </c>
      <c r="L9" s="347">
        <f ca="1">IF(L10=0,0,DivEscalaPatr*F9/E9)</f>
        <v>0</v>
      </c>
      <c r="M9" s="347">
        <f ca="1">IF(M10=0,0,DivEscalaPatr*F9/E9)</f>
        <v>0</v>
      </c>
      <c r="N9" s="347">
        <f ca="1">IF(N10=0,0,DivEscalaPatr*F9/E9)</f>
        <v>0</v>
      </c>
      <c r="O9" s="347">
        <f ca="1">IF(O10=0,0,DivEscalaPatr*F9/E9)</f>
        <v>0</v>
      </c>
      <c r="P9" s="347">
        <f ca="1">IF(P10=0,0,DivEscalaPatr*F9/E9)</f>
        <v>0</v>
      </c>
      <c r="AG9" s="289" t="s">
        <v>492</v>
      </c>
      <c r="AH9" s="289">
        <v>98.066500000000005</v>
      </c>
      <c r="AI9" s="290">
        <f t="shared" si="0"/>
        <v>98066.5</v>
      </c>
    </row>
    <row r="10" spans="2:35" x14ac:dyDescent="0.3">
      <c r="B10" s="346" t="s">
        <v>169</v>
      </c>
      <c r="C10" s="57" t="s">
        <v>1366</v>
      </c>
      <c r="D10" s="73" t="s">
        <v>184</v>
      </c>
      <c r="E10" s="79">
        <v>2</v>
      </c>
      <c r="F10" s="79">
        <v>1</v>
      </c>
      <c r="G10" s="347">
        <f ca="1">IFERROR(INDEX(tblResultCalib[Incertid. patrón],MATCH(_xlfn.NUMBERVALUE(INDIRECT(ADDRESS(8,COLUMN()))),tblResultCalib['#],0))*F10/E10,0)</f>
        <v>0</v>
      </c>
      <c r="H10" s="347">
        <f ca="1">IFERROR(INDEX(tblResultCalib[Incertid. patrón],MATCH(_xlfn.NUMBERVALUE(INDIRECT(ADDRESS(8,COLUMN()))),tblResultCalib['#],0))*F10/E10,0)</f>
        <v>0</v>
      </c>
      <c r="I10" s="347">
        <f ca="1">IFERROR(INDEX(tblResultCalib[Incertid. patrón],MATCH(_xlfn.NUMBERVALUE(INDIRECT(ADDRESS(8,COLUMN()))),tblResultCalib['#],0))*F10/E10,0)</f>
        <v>0</v>
      </c>
      <c r="J10" s="347">
        <f ca="1">IFERROR(INDEX(tblResultCalib[Incertid. patrón],MATCH(_xlfn.NUMBERVALUE(INDIRECT(ADDRESS(8,COLUMN()))),tblResultCalib['#],0))*F10/E10,0)</f>
        <v>0</v>
      </c>
      <c r="K10" s="347">
        <f ca="1">IFERROR(INDEX(tblResultCalib[Incertid. patrón],MATCH(_xlfn.NUMBERVALUE(INDIRECT(ADDRESS(8,COLUMN()))),tblResultCalib['#],0))*F10/E10,0)</f>
        <v>0</v>
      </c>
      <c r="L10" s="347">
        <f ca="1">IFERROR(INDEX(tblResultCalib[Incertid. patrón],MATCH(_xlfn.NUMBERVALUE(INDIRECT(ADDRESS(8,COLUMN()))),tblResultCalib['#],0))*F10/E10,0)</f>
        <v>0</v>
      </c>
      <c r="M10" s="347">
        <f ca="1">IFERROR(INDEX(tblResultCalib[Incertid. patrón],MATCH(_xlfn.NUMBERVALUE(INDIRECT(ADDRESS(8,COLUMN()))),tblResultCalib['#],0))*F10/E10,0)</f>
        <v>0</v>
      </c>
      <c r="N10" s="347">
        <f ca="1">IFERROR(INDEX(tblResultCalib[Incertid. patrón],MATCH(_xlfn.NUMBERVALUE(INDIRECT(ADDRESS(8,COLUMN()))),tblResultCalib['#],0))*F10/E10,0)</f>
        <v>0</v>
      </c>
      <c r="O10" s="347">
        <f ca="1">IFERROR(INDEX(tblResultCalib[Incertid. patrón],MATCH(_xlfn.NUMBERVALUE(INDIRECT(ADDRESS(8,COLUMN()))),tblResultCalib['#],0))*F10/E10,0)</f>
        <v>0</v>
      </c>
      <c r="P10" s="347">
        <f ca="1">IFERROR(INDEX(tblResultCalib[Incertid. patrón],MATCH(_xlfn.NUMBERVALUE(INDIRECT(ADDRESS(8,COLUMN()))),tblResultCalib['#],0))*F10/E10,0)</f>
        <v>0</v>
      </c>
      <c r="AG10" s="289" t="s">
        <v>310</v>
      </c>
      <c r="AH10" s="289">
        <v>3.38639</v>
      </c>
      <c r="AI10" s="290">
        <f t="shared" si="0"/>
        <v>3386.39</v>
      </c>
    </row>
    <row r="11" spans="2:35" x14ac:dyDescent="0.3">
      <c r="B11" s="346" t="s">
        <v>176</v>
      </c>
      <c r="C11" s="57" t="s">
        <v>1367</v>
      </c>
      <c r="D11" s="73" t="s">
        <v>177</v>
      </c>
      <c r="E11" s="74">
        <f>SQRT(6)</f>
        <v>2.4494897427831779</v>
      </c>
      <c r="F11" s="79">
        <v>1</v>
      </c>
      <c r="G11" s="347">
        <f ca="1">IFERROR(INDEX(tblResultCalib[Corrección patrón],MATCH(_xlfn.NUMBERVALUE(INDIRECT(ADDRESS(8,COLUMN()))),tblResultCalib['#],0))*F11/E11,0)</f>
        <v>0</v>
      </c>
      <c r="H11" s="347">
        <f ca="1">IFERROR(INDEX(tblResultCalib[Corrección patrón],MATCH(_xlfn.NUMBERVALUE(INDIRECT(ADDRESS(8,COLUMN()))),tblResultCalib['#],0))*F11/E11,0)</f>
        <v>0</v>
      </c>
      <c r="I11" s="347">
        <f ca="1">IFERROR(INDEX(tblResultCalib[Corrección patrón],MATCH(_xlfn.NUMBERVALUE(INDIRECT(ADDRESS(8,COLUMN()))),tblResultCalib['#],0))*F11/E11,0)</f>
        <v>0</v>
      </c>
      <c r="J11" s="347">
        <f ca="1">IFERROR(INDEX(tblResultCalib[Corrección patrón],MATCH(_xlfn.NUMBERVALUE(INDIRECT(ADDRESS(8,COLUMN()))),tblResultCalib['#],0))*F11/E11,0)</f>
        <v>0</v>
      </c>
      <c r="K11" s="347">
        <f ca="1">IFERROR(INDEX(tblResultCalib[Corrección patrón],MATCH(_xlfn.NUMBERVALUE(INDIRECT(ADDRESS(8,COLUMN()))),tblResultCalib['#],0))*F11/E11,0)</f>
        <v>0</v>
      </c>
      <c r="L11" s="347">
        <f ca="1">IFERROR(INDEX(tblResultCalib[Corrección patrón],MATCH(_xlfn.NUMBERVALUE(INDIRECT(ADDRESS(8,COLUMN()))),tblResultCalib['#],0))*F11/E11,0)</f>
        <v>0</v>
      </c>
      <c r="M11" s="347">
        <f ca="1">IFERROR(INDEX(tblResultCalib[Corrección patrón],MATCH(_xlfn.NUMBERVALUE(INDIRECT(ADDRESS(8,COLUMN()))),tblResultCalib['#],0))*F11/E11,0)</f>
        <v>0</v>
      </c>
      <c r="N11" s="347">
        <f ca="1">IFERROR(INDEX(tblResultCalib[Corrección patrón],MATCH(_xlfn.NUMBERVALUE(INDIRECT(ADDRESS(8,COLUMN()))),tblResultCalib['#],0))*F11/E11,0)</f>
        <v>0</v>
      </c>
      <c r="O11" s="347">
        <f ca="1">IFERROR(INDEX(tblResultCalib[Corrección patrón],MATCH(_xlfn.NUMBERVALUE(INDIRECT(ADDRESS(8,COLUMN()))),tblResultCalib['#],0))*F11/E11,0)</f>
        <v>0</v>
      </c>
      <c r="P11" s="347">
        <f ca="1">IFERROR(INDEX(tblResultCalib[Corrección patrón],MATCH(_xlfn.NUMBERVALUE(INDIRECT(ADDRESS(8,COLUMN()))),tblResultCalib['#],0))*F11/E11,0)</f>
        <v>0</v>
      </c>
      <c r="AG11" s="289" t="s">
        <v>311</v>
      </c>
      <c r="AH11" s="289">
        <v>0.133322</v>
      </c>
      <c r="AI11" s="290">
        <f t="shared" si="0"/>
        <v>133.322</v>
      </c>
    </row>
    <row r="12" spans="2:35" x14ac:dyDescent="0.3">
      <c r="B12" s="346" t="s">
        <v>156</v>
      </c>
      <c r="C12" s="57" t="s">
        <v>1368</v>
      </c>
      <c r="D12" s="73" t="s">
        <v>170</v>
      </c>
      <c r="E12" s="74">
        <f>SQRT(3)</f>
        <v>1.7320508075688772</v>
      </c>
      <c r="F12" s="79">
        <v>1</v>
      </c>
      <c r="G12" s="347">
        <f ca="1">IFERROR(INDEX(tblResultCalib[Deriva patrón],MATCH(_xlfn.NUMBERVALUE(INDIRECT(ADDRESS(8,COLUMN()))),tblResultCalib['#],0))*F12/E12,0)</f>
        <v>0</v>
      </c>
      <c r="H12" s="347">
        <f ca="1">IFERROR(INDEX(tblResultCalib[Deriva patrón],MATCH(_xlfn.NUMBERVALUE(INDIRECT(ADDRESS(8,COLUMN()))),tblResultCalib['#],0))*F12/E12,0)</f>
        <v>0</v>
      </c>
      <c r="I12" s="347">
        <f ca="1">IFERROR(INDEX(tblResultCalib[Deriva patrón],MATCH(_xlfn.NUMBERVALUE(INDIRECT(ADDRESS(8,COLUMN()))),tblResultCalib['#],0))*F12/E12,0)</f>
        <v>0</v>
      </c>
      <c r="J12" s="347">
        <f ca="1">IFERROR(INDEX(tblResultCalib[Deriva patrón],MATCH(_xlfn.NUMBERVALUE(INDIRECT(ADDRESS(8,COLUMN()))),tblResultCalib['#],0))*F12/E12,0)</f>
        <v>0</v>
      </c>
      <c r="K12" s="347">
        <f ca="1">IFERROR(INDEX(tblResultCalib[Deriva patrón],MATCH(_xlfn.NUMBERVALUE(INDIRECT(ADDRESS(8,COLUMN()))),tblResultCalib['#],0))*F12/E12,0)</f>
        <v>0</v>
      </c>
      <c r="L12" s="347">
        <f ca="1">IFERROR(INDEX(tblResultCalib[Deriva patrón],MATCH(_xlfn.NUMBERVALUE(INDIRECT(ADDRESS(8,COLUMN()))),tblResultCalib['#],0))*F12/E12,0)</f>
        <v>0</v>
      </c>
      <c r="M12" s="347">
        <f ca="1">IFERROR(INDEX(tblResultCalib[Deriva patrón],MATCH(_xlfn.NUMBERVALUE(INDIRECT(ADDRESS(8,COLUMN()))),tblResultCalib['#],0))*F12/E12,0)</f>
        <v>0</v>
      </c>
      <c r="N12" s="347">
        <f ca="1">IFERROR(INDEX(tblResultCalib[Deriva patrón],MATCH(_xlfn.NUMBERVALUE(INDIRECT(ADDRESS(8,COLUMN()))),tblResultCalib['#],0))*F12/E12,0)</f>
        <v>0</v>
      </c>
      <c r="O12" s="347">
        <f ca="1">IFERROR(INDEX(tblResultCalib[Deriva patrón],MATCH(_xlfn.NUMBERVALUE(INDIRECT(ADDRESS(8,COLUMN()))),tblResultCalib['#],0))*F12/E12,0)</f>
        <v>0</v>
      </c>
      <c r="P12" s="347">
        <f ca="1">IFERROR(INDEX(tblResultCalib[Deriva patrón],MATCH(_xlfn.NUMBERVALUE(INDIRECT(ADDRESS(8,COLUMN()))),tblResultCalib['#],0))*F12/E12,0)</f>
        <v>0</v>
      </c>
      <c r="AG12" s="289" t="s">
        <v>312</v>
      </c>
      <c r="AH12" s="289">
        <v>1.3332200000000001</v>
      </c>
      <c r="AI12" s="290">
        <f t="shared" si="0"/>
        <v>1333.22</v>
      </c>
    </row>
    <row r="13" spans="2:35" x14ac:dyDescent="0.3">
      <c r="B13" s="346" t="s">
        <v>320</v>
      </c>
      <c r="C13" s="57" t="s">
        <v>1369</v>
      </c>
      <c r="D13" s="73" t="s">
        <v>170</v>
      </c>
      <c r="E13" s="83">
        <f>SQRT(3)</f>
        <v>1.7320508075688772</v>
      </c>
      <c r="F13" s="86">
        <v>1</v>
      </c>
      <c r="G13" s="347">
        <f ca="1">IFERROR(IF(G10=0,0,SQRT(POWER(Calibración!$AA$15*F13/E13,2)+POWER(Calibración!$AB$15*F13/E13,2))),0)</f>
        <v>0</v>
      </c>
      <c r="H13" s="347">
        <f ca="1">IFERROR(IF(H10=0,0,SQRT(POWER(Calibración!$AA$15*F13/E13,2)+POWER(Calibración!$AB$15*F13/E13,2))),0)</f>
        <v>0</v>
      </c>
      <c r="I13" s="347">
        <f ca="1">IFERROR(IF(I10=0,0,SQRT(POWER(Calibración!$AA$15*F13/E13,2)+POWER(Calibración!$AB$15*F13/E13,2))),0)</f>
        <v>0</v>
      </c>
      <c r="J13" s="347">
        <f ca="1">IFERROR(IF(J10=0,0,SQRT(POWER(Calibración!$AA$15*F13/E13,2)+POWER(Calibración!$AB$15*F13/E13,2))),0)</f>
        <v>0</v>
      </c>
      <c r="K13" s="347">
        <f ca="1">IFERROR(IF(K10=0,0,SQRT(POWER(Calibración!$AA$15*F13/E13,2)+POWER(Calibración!$AB$15*F13/E13,2))),0)</f>
        <v>0</v>
      </c>
      <c r="L13" s="347">
        <f ca="1">IFERROR(IF(L10=0,0,SQRT(POWER(Calibración!$AA$15*F13/E13,2)+POWER(Calibración!$AB$15*F13/E13,2))),0)</f>
        <v>0</v>
      </c>
      <c r="M13" s="347">
        <f ca="1">IFERROR(IF(M10=0,0,SQRT(POWER(Calibración!$AA$15*F13/E13,2)+POWER(Calibración!$AB$15*F13/E13,2))),0)</f>
        <v>0</v>
      </c>
      <c r="N13" s="347">
        <f ca="1">IFERROR(IF(N10=0,0,SQRT(POWER(Calibración!$AA$15*F13/E13,2)+POWER(Calibración!$AB$15*F13/E13,2))),0)</f>
        <v>0</v>
      </c>
      <c r="O13" s="347">
        <f ca="1">IFERROR(IF(O10=0,0,SQRT(POWER(Calibración!$AA$15*F13/E13,2)+POWER(Calibración!$AB$15*F13/E13,2))),0)</f>
        <v>0</v>
      </c>
      <c r="P13" s="347">
        <f ca="1">IFERROR(IF(P10=0,0,SQRT(POWER(Calibración!$AA$15*F13/E13,2)+POWER(Calibración!$AB$15*F13/E13,2))),0)</f>
        <v>0</v>
      </c>
      <c r="U13" s="284"/>
      <c r="V13" s="284"/>
      <c r="W13" s="284"/>
      <c r="X13" s="284"/>
      <c r="Y13" s="284"/>
      <c r="Z13" s="284"/>
      <c r="AA13" s="284"/>
      <c r="AB13" s="284"/>
      <c r="AC13" s="284"/>
      <c r="AD13" s="284"/>
      <c r="AG13" s="289" t="s">
        <v>493</v>
      </c>
      <c r="AH13" s="289">
        <v>9.7999999999999997E-3</v>
      </c>
      <c r="AI13" s="290">
        <f t="shared" si="0"/>
        <v>9.7999999999999989</v>
      </c>
    </row>
    <row r="14" spans="2:35" x14ac:dyDescent="0.3">
      <c r="B14" s="348" t="s">
        <v>321</v>
      </c>
      <c r="C14" s="201" t="s">
        <v>1370</v>
      </c>
      <c r="D14" s="73" t="s">
        <v>184</v>
      </c>
      <c r="E14" s="203">
        <v>1</v>
      </c>
      <c r="F14" s="202">
        <v>1</v>
      </c>
      <c r="G14" s="347">
        <f t="shared" ref="G14:P14" ca="1" si="1">U6</f>
        <v>0</v>
      </c>
      <c r="H14" s="347">
        <f t="shared" ca="1" si="1"/>
        <v>0</v>
      </c>
      <c r="I14" s="347">
        <f t="shared" ca="1" si="1"/>
        <v>0</v>
      </c>
      <c r="J14" s="347">
        <f t="shared" ca="1" si="1"/>
        <v>0</v>
      </c>
      <c r="K14" s="347">
        <f t="shared" ca="1" si="1"/>
        <v>0</v>
      </c>
      <c r="L14" s="347">
        <f t="shared" ca="1" si="1"/>
        <v>0</v>
      </c>
      <c r="M14" s="347">
        <f t="shared" ca="1" si="1"/>
        <v>0</v>
      </c>
      <c r="N14" s="347">
        <f t="shared" ca="1" si="1"/>
        <v>0</v>
      </c>
      <c r="O14" s="347">
        <f t="shared" ca="1" si="1"/>
        <v>0</v>
      </c>
      <c r="P14" s="347">
        <f t="shared" ca="1" si="1"/>
        <v>0</v>
      </c>
      <c r="AG14" s="289" t="s">
        <v>494</v>
      </c>
      <c r="AH14" s="289">
        <v>9.8000000000000004E-2</v>
      </c>
      <c r="AI14" s="290">
        <f t="shared" si="0"/>
        <v>98</v>
      </c>
    </row>
    <row r="15" spans="2:35" ht="15" x14ac:dyDescent="0.3">
      <c r="B15" s="346" t="s">
        <v>154</v>
      </c>
      <c r="C15" s="57" t="s">
        <v>1371</v>
      </c>
      <c r="D15" s="73" t="s">
        <v>170</v>
      </c>
      <c r="E15" s="83">
        <f>2*SQRT(3)</f>
        <v>3.4641016151377544</v>
      </c>
      <c r="F15" s="79">
        <v>1</v>
      </c>
      <c r="G15" s="347">
        <f ca="1">IF(G10=0,0,ResolInst*F15/E15)</f>
        <v>0</v>
      </c>
      <c r="H15" s="347">
        <f ca="1">IF(H10=0,0,ResolInst*F15/E15)</f>
        <v>0</v>
      </c>
      <c r="I15" s="347">
        <f ca="1">IF(I10=0,0,ResolInst*F15/E15)</f>
        <v>0</v>
      </c>
      <c r="J15" s="347">
        <f ca="1">IF(J10=0,0,ResolInst*F15/E15)</f>
        <v>0</v>
      </c>
      <c r="K15" s="347">
        <f ca="1">IF(K10=0,0,ResolInst*F15/E15)</f>
        <v>0</v>
      </c>
      <c r="L15" s="347">
        <f ca="1">IF(L10=0,0,ResolInst*F15/E15)</f>
        <v>0</v>
      </c>
      <c r="M15" s="347">
        <f ca="1">IF(M10=0,0,ResolInst*F15/E15)</f>
        <v>0</v>
      </c>
      <c r="N15" s="347">
        <f ca="1">IF(N10=0,0,ResolInst*F15/E15)</f>
        <v>0</v>
      </c>
      <c r="O15" s="347">
        <f ca="1">IF(O10=0,0,ResolInst*F15/E15)</f>
        <v>0</v>
      </c>
      <c r="P15" s="347">
        <f ca="1">IF(P10=0,0,ResolInst*F15/E15)</f>
        <v>0</v>
      </c>
      <c r="AG15" s="289" t="s">
        <v>495</v>
      </c>
      <c r="AH15" s="289">
        <v>0.249089</v>
      </c>
      <c r="AI15" s="290">
        <f t="shared" si="0"/>
        <v>249.089</v>
      </c>
    </row>
    <row r="16" spans="2:35" ht="15" x14ac:dyDescent="0.3">
      <c r="B16" s="346" t="s">
        <v>153</v>
      </c>
      <c r="C16" s="57" t="s">
        <v>1372</v>
      </c>
      <c r="D16" s="73" t="s">
        <v>170</v>
      </c>
      <c r="E16" s="83">
        <f>IF(Calibración!E10="2",SQRT(4),SQRT(6))</f>
        <v>2.4494897427831779</v>
      </c>
      <c r="F16" s="86">
        <v>1</v>
      </c>
      <c r="G16" s="347">
        <f ca="1">IFERROR(OFFSET(Calibración!$P$15,G$8-1,0)*F16/E16,0)</f>
        <v>0</v>
      </c>
      <c r="H16" s="347">
        <f ca="1">IFERROR(OFFSET(Calibración!$P$15,H$8-1,0)*F16/E16,0)</f>
        <v>0</v>
      </c>
      <c r="I16" s="347">
        <f ca="1">IFERROR(OFFSET(Calibración!$P$15,I$8-1,0)*F16/E16,0)</f>
        <v>0</v>
      </c>
      <c r="J16" s="347">
        <f ca="1">IFERROR(OFFSET(Calibración!$P$15,J$8-1,0)*F16/E16,0)</f>
        <v>0</v>
      </c>
      <c r="K16" s="347">
        <f ca="1">IFERROR(OFFSET(Calibración!$P$15,K$8-1,0)*F16/E16,0)</f>
        <v>0</v>
      </c>
      <c r="L16" s="347">
        <f ca="1">IFERROR(OFFSET(Calibración!$P$15,L$8-1,0)*F16/E16,0)</f>
        <v>0</v>
      </c>
      <c r="M16" s="347">
        <f ca="1">IFERROR(OFFSET(Calibración!$P$15,M$8-1,0)*F16/E16,0)</f>
        <v>0</v>
      </c>
      <c r="N16" s="347">
        <f ca="1">IFERROR(OFFSET(Calibración!$P$15,N$8-1,0)*F16/E16,0)</f>
        <v>0</v>
      </c>
      <c r="O16" s="347">
        <f ca="1">IFERROR(OFFSET(Calibración!$P$15,O$8-1,0)*F16/E16,0)</f>
        <v>0</v>
      </c>
      <c r="P16" s="347">
        <f ca="1">IFERROR(OFFSET(Calibración!$P$15,P$8-1,0)*F16/E16,0)</f>
        <v>0</v>
      </c>
      <c r="AG16" s="289" t="s">
        <v>309</v>
      </c>
      <c r="AH16" s="289">
        <v>101.325</v>
      </c>
      <c r="AI16" s="290">
        <f t="shared" si="0"/>
        <v>101325</v>
      </c>
    </row>
    <row r="17" spans="2:35" ht="15" x14ac:dyDescent="0.3">
      <c r="B17" s="348" t="s">
        <v>334</v>
      </c>
      <c r="C17" s="57" t="s">
        <v>1373</v>
      </c>
      <c r="D17" s="73" t="s">
        <v>170</v>
      </c>
      <c r="E17" s="83">
        <f>SQRT(12)</f>
        <v>3.4641016151377544</v>
      </c>
      <c r="F17" s="86">
        <v>1</v>
      </c>
      <c r="G17" s="347">
        <f ca="1">IFERROR(IF(G10=0,0,OFFSET(Calibración!$O$15,G$8-1,0)*F17/E17),0)</f>
        <v>0</v>
      </c>
      <c r="H17" s="347">
        <f ca="1">IFERROR(IF(H10=0,0,OFFSET(Calibración!$O$15,H$8-1,0)*F17/E17),0)</f>
        <v>0</v>
      </c>
      <c r="I17" s="347">
        <f ca="1">IFERROR(IF(I10=0,0,OFFSET(Calibración!$O$15,I$8-1,0)*F17/E17),0)</f>
        <v>0</v>
      </c>
      <c r="J17" s="347">
        <f ca="1">IFERROR(IF(J10=0,0,OFFSET(Calibración!$O$15,J$8-1,0)*F17/E17),0)</f>
        <v>0</v>
      </c>
      <c r="K17" s="347">
        <f ca="1">IFERROR(IF(K10=0,0,OFFSET(Calibración!$O$15,K$8-1,0)*F17/E17),0)</f>
        <v>0</v>
      </c>
      <c r="L17" s="347">
        <f ca="1">IFERROR(IF(L10=0,0,OFFSET(Calibración!$O$15,L$8-1,0)*F17/E17),0)</f>
        <v>0</v>
      </c>
      <c r="M17" s="347">
        <f ca="1">IFERROR(IF(M10=0,0,OFFSET(Calibración!$O$15,M$8-1,0)*F17/E17),0)</f>
        <v>0</v>
      </c>
      <c r="N17" s="347">
        <f ca="1">IFERROR(IF(N10=0,0,OFFSET(Calibración!$O$15,N$8-1,0)*F17/E17),0)</f>
        <v>0</v>
      </c>
      <c r="O17" s="347">
        <f ca="1">IFERROR(IF(O10=0,0,OFFSET(Calibración!$O$15,O$8-1,0)*F17/E17),0)</f>
        <v>0</v>
      </c>
      <c r="P17" s="347">
        <f ca="1">IFERROR(IF(P10=0,0,OFFSET(Calibración!$O$15,P$8-1,0)*F17/E17),0)</f>
        <v>0</v>
      </c>
      <c r="AG17" s="289" t="s">
        <v>496</v>
      </c>
      <c r="AH17" s="289">
        <v>9.81</v>
      </c>
      <c r="AI17" s="290">
        <f t="shared" si="0"/>
        <v>9810</v>
      </c>
    </row>
    <row r="18" spans="2:35" ht="15" x14ac:dyDescent="0.3">
      <c r="B18" s="348" t="s">
        <v>335</v>
      </c>
      <c r="C18" s="57" t="s">
        <v>1374</v>
      </c>
      <c r="D18" s="73" t="s">
        <v>170</v>
      </c>
      <c r="E18" s="83">
        <f>SQRT(12)</f>
        <v>3.4641016151377544</v>
      </c>
      <c r="F18" s="86">
        <v>1</v>
      </c>
      <c r="G18" s="347">
        <f ca="1">IFERROR(IF(G10=0,0,(0.04*ABS(General!I8-20)*OFFSET(Calibración!$Q$15,G$8-1,0))/SQRT(12)),0)</f>
        <v>0</v>
      </c>
      <c r="H18" s="347">
        <f ca="1">IFERROR(IF(H10=0,0,(0.04*ABS(General!I8-20)*OFFSET(Calibración!$Q$15,H$8-1,0))/SQRT(12)),0)</f>
        <v>0</v>
      </c>
      <c r="I18" s="347">
        <f ca="1">IFERROR(IF(I10=0,0,(0.04*ABS(General!I8-20)*OFFSET(Calibración!$Q$15,I$8-1,0))/SQRT(12)),0)</f>
        <v>0</v>
      </c>
      <c r="J18" s="347">
        <f ca="1">IFERROR(IF(J10=0,0,(0.04*ABS(General!I8-20)*OFFSET(Calibración!$Q$15,J$8-1,0))/SQRT(12)),0)</f>
        <v>0</v>
      </c>
      <c r="K18" s="347">
        <f ca="1">IFERROR(IF(K10=0,0,(0.04*ABS(General!I8-20)*OFFSET(Calibración!$Q$15,K$8-1,0))/SQRT(12)),0)</f>
        <v>0</v>
      </c>
      <c r="L18" s="347">
        <f ca="1">IFERROR(IF(L10=0,0,(0.04*ABS(General!I8-20)*OFFSET(Calibración!$Q$15,L$8-1,0))/SQRT(12)),0)</f>
        <v>0</v>
      </c>
      <c r="M18" s="347">
        <f ca="1">IFERROR(IF(M10=0,0,(0.04*ABS(General!I8-20)*OFFSET(Calibración!$Q$15,M$8-1,0))/SQRT(12)),0)</f>
        <v>0</v>
      </c>
      <c r="N18" s="347">
        <f ca="1">IFERROR(IF(N10=0,0,(0.04*ABS(General!I8-20)*OFFSET(Calibración!$Q$15,N$8-1,0))/SQRT(12)),0)</f>
        <v>0</v>
      </c>
      <c r="O18" s="347">
        <f ca="1">IFERROR(IF(O10=0,0,(0.04*ABS(General!I8-20)*OFFSET(Calibración!$Q$15,O$8-1,0))/SQRT(12)),0)</f>
        <v>0</v>
      </c>
      <c r="P18" s="347">
        <f ca="1">IFERROR(IF(P10=0,0,(0.04*ABS(General!I8-20)*OFFSET(Calibración!$Q$15,P$8-1,0))/SQRT(12)),0)</f>
        <v>0</v>
      </c>
    </row>
    <row r="19" spans="2:35" x14ac:dyDescent="0.3">
      <c r="B19" s="346" t="s">
        <v>180</v>
      </c>
      <c r="C19" s="345" t="s">
        <v>218</v>
      </c>
      <c r="D19" s="344" t="s">
        <v>219</v>
      </c>
      <c r="E19" s="343" t="str">
        <f>CONCATENATE("Todo en [psi]")</f>
        <v>Todo en [psi]</v>
      </c>
      <c r="F19" s="342"/>
      <c r="G19" s="103">
        <f ca="1">SQRT(SUMSQ(G9:G18))</f>
        <v>0</v>
      </c>
      <c r="H19" s="103">
        <f t="shared" ref="H19:P19" ca="1" si="2">SQRT(SUMSQ(H9:H18))</f>
        <v>0</v>
      </c>
      <c r="I19" s="103">
        <f t="shared" ca="1" si="2"/>
        <v>0</v>
      </c>
      <c r="J19" s="103">
        <f t="shared" ca="1" si="2"/>
        <v>0</v>
      </c>
      <c r="K19" s="103">
        <f t="shared" ca="1" si="2"/>
        <v>0</v>
      </c>
      <c r="L19" s="103">
        <f t="shared" ca="1" si="2"/>
        <v>0</v>
      </c>
      <c r="M19" s="103">
        <f t="shared" ca="1" si="2"/>
        <v>0</v>
      </c>
      <c r="N19" s="103">
        <f t="shared" ca="1" si="2"/>
        <v>0</v>
      </c>
      <c r="O19" s="103">
        <f t="shared" ca="1" si="2"/>
        <v>0</v>
      </c>
      <c r="P19" s="103">
        <f t="shared" ca="1" si="2"/>
        <v>0</v>
      </c>
    </row>
    <row r="22" spans="2:35" x14ac:dyDescent="0.3">
      <c r="J22" s="208"/>
    </row>
    <row r="25" spans="2:35" x14ac:dyDescent="0.3">
      <c r="B25" s="53" t="s">
        <v>151</v>
      </c>
      <c r="C25" s="16"/>
      <c r="D25" s="16"/>
      <c r="E25" s="16"/>
      <c r="F25" s="16"/>
      <c r="G25" s="142" t="str">
        <f t="shared" ref="G25:P25" ca="1" si="3">G7</f>
        <v/>
      </c>
      <c r="H25" s="142" t="str">
        <f t="shared" ca="1" si="3"/>
        <v/>
      </c>
      <c r="I25" s="142" t="str">
        <f t="shared" ca="1" si="3"/>
        <v/>
      </c>
      <c r="J25" s="142" t="str">
        <f t="shared" ca="1" si="3"/>
        <v/>
      </c>
      <c r="K25" s="142" t="str">
        <f t="shared" ca="1" si="3"/>
        <v/>
      </c>
      <c r="L25" s="142" t="str">
        <f t="shared" ca="1" si="3"/>
        <v/>
      </c>
      <c r="M25" s="142" t="str">
        <f t="shared" ca="1" si="3"/>
        <v/>
      </c>
      <c r="N25" s="142" t="str">
        <f t="shared" ca="1" si="3"/>
        <v/>
      </c>
      <c r="O25" s="142" t="str">
        <f t="shared" ca="1" si="3"/>
        <v/>
      </c>
      <c r="P25" s="142" t="str">
        <f t="shared" ca="1" si="3"/>
        <v/>
      </c>
    </row>
    <row r="26" spans="2:35" ht="15" x14ac:dyDescent="0.3">
      <c r="B26" s="51" t="s">
        <v>152</v>
      </c>
      <c r="C26" s="51" t="s">
        <v>173</v>
      </c>
      <c r="D26" s="51" t="s">
        <v>172</v>
      </c>
      <c r="E26" s="51" t="s">
        <v>171</v>
      </c>
      <c r="F26" s="51" t="s">
        <v>1364</v>
      </c>
      <c r="G26" s="54" t="s">
        <v>141</v>
      </c>
      <c r="H26" s="54" t="s">
        <v>142</v>
      </c>
      <c r="I26" s="54" t="s">
        <v>143</v>
      </c>
      <c r="J26" s="54" t="s">
        <v>144</v>
      </c>
      <c r="K26" s="54" t="s">
        <v>145</v>
      </c>
      <c r="L26" s="54" t="s">
        <v>146</v>
      </c>
      <c r="M26" s="54" t="s">
        <v>147</v>
      </c>
      <c r="N26" s="54" t="s">
        <v>148</v>
      </c>
      <c r="O26" s="54" t="s">
        <v>149</v>
      </c>
      <c r="P26" s="55" t="s">
        <v>150</v>
      </c>
    </row>
    <row r="27" spans="2:35" x14ac:dyDescent="0.3">
      <c r="B27" s="56" t="s">
        <v>155</v>
      </c>
      <c r="C27" s="57" t="s">
        <v>1365</v>
      </c>
      <c r="D27" s="73" t="s">
        <v>170</v>
      </c>
      <c r="E27" s="74">
        <f>SQRT(12)</f>
        <v>3.4641016151377544</v>
      </c>
      <c r="F27" s="79">
        <v>1</v>
      </c>
      <c r="G27" s="104" cm="1">
        <f t="array" aca="1" ref="G27" ca="1">IFERROR(ABS(G9)/SUM(ABS(G9:G18)),0)</f>
        <v>0</v>
      </c>
      <c r="H27" s="104" cm="1">
        <f t="array" aca="1" ref="H27" ca="1">IFERROR(ABS(H9)/SUM(ABS(H9:H18)),0)</f>
        <v>0</v>
      </c>
      <c r="I27" s="104" cm="1">
        <f t="array" aca="1" ref="I27" ca="1">IFERROR(ABS(I9)/SUM(ABS(I9:I18)),0)</f>
        <v>0</v>
      </c>
      <c r="J27" s="104" cm="1">
        <f t="array" aca="1" ref="J27" ca="1">IFERROR(ABS(J9)/SUM(ABS(J9:J18)),0)</f>
        <v>0</v>
      </c>
      <c r="K27" s="104" cm="1">
        <f t="array" aca="1" ref="K27" ca="1">IFERROR(ABS(K9)/SUM(ABS(K9:K18)),0)</f>
        <v>0</v>
      </c>
      <c r="L27" s="104" cm="1">
        <f t="array" aca="1" ref="L27" ca="1">IFERROR(ABS(L9)/SUM(ABS(L9:L18)),0)</f>
        <v>0</v>
      </c>
      <c r="M27" s="104" cm="1">
        <f t="array" aca="1" ref="M27" ca="1">IFERROR(ABS(M9)/SUM(ABS(M9:M18)),0)</f>
        <v>0</v>
      </c>
      <c r="N27" s="104" cm="1">
        <f t="array" aca="1" ref="N27" ca="1">IFERROR(ABS(N9)/SUM(ABS(N9:N18)),0)</f>
        <v>0</v>
      </c>
      <c r="O27" s="104" cm="1">
        <f t="array" aca="1" ref="O27" ca="1">IFERROR(ABS(O9)/SUM(ABS(O9:O18)),0)</f>
        <v>0</v>
      </c>
      <c r="P27" s="104" cm="1">
        <f t="array" aca="1" ref="P27" ca="1">IFERROR(ABS(P9)/SUM(ABS(P9:P18)),0)</f>
        <v>0</v>
      </c>
    </row>
    <row r="28" spans="2:35" x14ac:dyDescent="0.3">
      <c r="B28" s="56" t="s">
        <v>169</v>
      </c>
      <c r="C28" s="57" t="s">
        <v>1366</v>
      </c>
      <c r="D28" s="73" t="s">
        <v>184</v>
      </c>
      <c r="E28" s="79">
        <v>2</v>
      </c>
      <c r="F28" s="79">
        <v>1</v>
      </c>
      <c r="G28" s="104" cm="1">
        <f t="array" aca="1" ref="G28" ca="1">IFERROR(ABS(G10)/SUM(ABS(G9:G18)),0)</f>
        <v>0</v>
      </c>
      <c r="H28" s="104" cm="1">
        <f t="array" aca="1" ref="H28" ca="1">IFERROR(ABS(H10)/SUM(ABS(H9:H18)),0)</f>
        <v>0</v>
      </c>
      <c r="I28" s="104" cm="1">
        <f t="array" aca="1" ref="I28" ca="1">IFERROR(ABS(I10)/SUM(ABS(I9:I18)),0)</f>
        <v>0</v>
      </c>
      <c r="J28" s="104" cm="1">
        <f t="array" aca="1" ref="J28" ca="1">IFERROR(ABS(J10)/SUM(ABS(J9:J18)),0)</f>
        <v>0</v>
      </c>
      <c r="K28" s="104" cm="1">
        <f t="array" aca="1" ref="K28" ca="1">IFERROR(ABS(K10)/SUM(ABS(K9:K18)),0)</f>
        <v>0</v>
      </c>
      <c r="L28" s="104" cm="1">
        <f t="array" aca="1" ref="L28" ca="1">IFERROR(ABS(L10)/SUM(ABS(L9:L18)),0)</f>
        <v>0</v>
      </c>
      <c r="M28" s="104" cm="1">
        <f t="array" aca="1" ref="M28" ca="1">IFERROR(ABS(M10)/SUM(ABS(M9:M18)),0)</f>
        <v>0</v>
      </c>
      <c r="N28" s="104" cm="1">
        <f t="array" aca="1" ref="N28" ca="1">IFERROR(ABS(N10)/SUM(ABS(N9:N18)),0)</f>
        <v>0</v>
      </c>
      <c r="O28" s="104" cm="1">
        <f t="array" aca="1" ref="O28" ca="1">IFERROR(ABS(O10)/SUM(ABS(O9:O18)),0)</f>
        <v>0</v>
      </c>
      <c r="P28" s="104" cm="1">
        <f t="array" aca="1" ref="P28" ca="1">IFERROR(ABS(P10)/SUM(ABS(P9:P18)),0)</f>
        <v>0</v>
      </c>
    </row>
    <row r="29" spans="2:35" x14ac:dyDescent="0.3">
      <c r="B29" s="56" t="s">
        <v>176</v>
      </c>
      <c r="C29" s="57" t="s">
        <v>1367</v>
      </c>
      <c r="D29" s="73" t="s">
        <v>177</v>
      </c>
      <c r="E29" s="74">
        <f>SQRT(6)</f>
        <v>2.4494897427831779</v>
      </c>
      <c r="F29" s="79">
        <v>1</v>
      </c>
      <c r="G29" s="104" cm="1">
        <f t="array" aca="1" ref="G29" ca="1">IFERROR(ABS(G11)/SUM(ABS(G9:G18)),0)</f>
        <v>0</v>
      </c>
      <c r="H29" s="104" cm="1">
        <f t="array" aca="1" ref="H29" ca="1">IFERROR(ABS(H11)/SUM(ABS(H9:H18)),0)</f>
        <v>0</v>
      </c>
      <c r="I29" s="104" cm="1">
        <f t="array" aca="1" ref="I29" ca="1">IFERROR(ABS(I11)/SUM(ABS(I9:I18)),0)</f>
        <v>0</v>
      </c>
      <c r="J29" s="104" cm="1">
        <f t="array" aca="1" ref="J29" ca="1">IFERROR(ABS(J11)/SUM(ABS(J9:J18)),0)</f>
        <v>0</v>
      </c>
      <c r="K29" s="104" cm="1">
        <f t="array" aca="1" ref="K29" ca="1">IFERROR(ABS(K11)/SUM(ABS(K9:K18)),0)</f>
        <v>0</v>
      </c>
      <c r="L29" s="104" cm="1">
        <f t="array" aca="1" ref="L29" ca="1">IFERROR(ABS(L11)/SUM(ABS(L9:L18)),0)</f>
        <v>0</v>
      </c>
      <c r="M29" s="104" cm="1">
        <f t="array" aca="1" ref="M29" ca="1">IFERROR(ABS(M11)/SUM(ABS(M9:M18)),0)</f>
        <v>0</v>
      </c>
      <c r="N29" s="104" cm="1">
        <f t="array" aca="1" ref="N29" ca="1">IFERROR(ABS(N11)/SUM(ABS(N9:N18)),0)</f>
        <v>0</v>
      </c>
      <c r="O29" s="104" cm="1">
        <f t="array" aca="1" ref="O29" ca="1">IFERROR(ABS(O11)/SUM(ABS(O9:O18)),0)</f>
        <v>0</v>
      </c>
      <c r="P29" s="104" cm="1">
        <f t="array" aca="1" ref="P29" ca="1">IFERROR(ABS(P11)/SUM(ABS(P9:P18)),0)</f>
        <v>0</v>
      </c>
    </row>
    <row r="30" spans="2:35" x14ac:dyDescent="0.3">
      <c r="B30" s="56" t="s">
        <v>156</v>
      </c>
      <c r="C30" s="57" t="s">
        <v>1368</v>
      </c>
      <c r="D30" s="73" t="s">
        <v>170</v>
      </c>
      <c r="E30" s="74">
        <f>SQRT(3)</f>
        <v>1.7320508075688772</v>
      </c>
      <c r="F30" s="79">
        <v>1</v>
      </c>
      <c r="G30" s="104" cm="1">
        <f t="array" aca="1" ref="G30" ca="1">IFERROR(ABS(G12)/SUM(ABS(G9:G18)),0)</f>
        <v>0</v>
      </c>
      <c r="H30" s="104" cm="1">
        <f t="array" aca="1" ref="H30" ca="1">IFERROR(ABS(H12)/SUM(ABS(H9:H18)),0)</f>
        <v>0</v>
      </c>
      <c r="I30" s="104" cm="1">
        <f t="array" aca="1" ref="I30" ca="1">IFERROR(ABS(I12)/SUM(ABS(I9:I18)),0)</f>
        <v>0</v>
      </c>
      <c r="J30" s="104" cm="1">
        <f t="array" aca="1" ref="J30" ca="1">IFERROR(ABS(J12)/SUM(ABS(J9:J18)),0)</f>
        <v>0</v>
      </c>
      <c r="K30" s="104" cm="1">
        <f t="array" aca="1" ref="K30" ca="1">IFERROR(ABS(K12)/SUM(ABS(K9:K18)),0)</f>
        <v>0</v>
      </c>
      <c r="L30" s="104" cm="1">
        <f t="array" aca="1" ref="L30" ca="1">IFERROR(ABS(L12)/SUM(ABS(L9:L18)),0)</f>
        <v>0</v>
      </c>
      <c r="M30" s="104" cm="1">
        <f t="array" aca="1" ref="M30" ca="1">IFERROR(ABS(M12)/SUM(ABS(M9:M18)),0)</f>
        <v>0</v>
      </c>
      <c r="N30" s="104" cm="1">
        <f t="array" aca="1" ref="N30" ca="1">IFERROR(ABS(N12)/SUM(ABS(N9:N18)),0)</f>
        <v>0</v>
      </c>
      <c r="O30" s="104" cm="1">
        <f t="array" aca="1" ref="O30" ca="1">IFERROR(ABS(O12)/SUM(ABS(O9:O18)),0)</f>
        <v>0</v>
      </c>
      <c r="P30" s="104" cm="1">
        <f t="array" aca="1" ref="P30" ca="1">IFERROR(ABS(P12)/SUM(ABS(P9:P18)),0)</f>
        <v>0</v>
      </c>
    </row>
    <row r="31" spans="2:35" x14ac:dyDescent="0.3">
      <c r="B31" s="56" t="s">
        <v>320</v>
      </c>
      <c r="C31" s="57" t="s">
        <v>1369</v>
      </c>
      <c r="D31" s="73" t="s">
        <v>170</v>
      </c>
      <c r="E31" s="83">
        <f>SQRT(3)</f>
        <v>1.7320508075688772</v>
      </c>
      <c r="F31" s="86">
        <v>1</v>
      </c>
      <c r="G31" s="104" cm="1">
        <f t="array" aca="1" ref="G31" ca="1">IFERROR(ABS(G13)/SUM(ABS(G9:G18)),0)</f>
        <v>0</v>
      </c>
      <c r="H31" s="104" cm="1">
        <f t="array" aca="1" ref="H31" ca="1">IFERROR(ABS(H13)/SUM(ABS(H9:H18)),0)</f>
        <v>0</v>
      </c>
      <c r="I31" s="104" cm="1">
        <f t="array" aca="1" ref="I31" ca="1">IFERROR(ABS(I13)/SUM(ABS(I9:I18)),0)</f>
        <v>0</v>
      </c>
      <c r="J31" s="104" cm="1">
        <f t="array" aca="1" ref="J31" ca="1">IFERROR(ABS(J13)/SUM(ABS(J9:J18)),0)</f>
        <v>0</v>
      </c>
      <c r="K31" s="104" cm="1">
        <f t="array" aca="1" ref="K31" ca="1">IFERROR(ABS(K13)/SUM(ABS(K9:K18)),0)</f>
        <v>0</v>
      </c>
      <c r="L31" s="104" cm="1">
        <f t="array" aca="1" ref="L31" ca="1">IFERROR(ABS(L13)/SUM(ABS(L9:L18)),0)</f>
        <v>0</v>
      </c>
      <c r="M31" s="104" cm="1">
        <f t="array" aca="1" ref="M31" ca="1">IFERROR(ABS(M13)/SUM(ABS(M9:M18)),0)</f>
        <v>0</v>
      </c>
      <c r="N31" s="104" cm="1">
        <f t="array" aca="1" ref="N31" ca="1">IFERROR(ABS(N13)/SUM(ABS(N9:N18)),0)</f>
        <v>0</v>
      </c>
      <c r="O31" s="104" cm="1">
        <f t="array" aca="1" ref="O31" ca="1">IFERROR(ABS(O13)/SUM(ABS(O9:O18)),0)</f>
        <v>0</v>
      </c>
      <c r="P31" s="104" cm="1">
        <f t="array" aca="1" ref="P31" ca="1">IFERROR(ABS(P13)/SUM(ABS(P9:P18)),0)</f>
        <v>0</v>
      </c>
    </row>
    <row r="32" spans="2:35" x14ac:dyDescent="0.3">
      <c r="B32" s="141" t="s">
        <v>321</v>
      </c>
      <c r="C32" s="201" t="s">
        <v>1370</v>
      </c>
      <c r="D32" s="73" t="s">
        <v>184</v>
      </c>
      <c r="E32" s="203">
        <v>1</v>
      </c>
      <c r="F32" s="202">
        <v>1</v>
      </c>
      <c r="G32" s="104" cm="1">
        <f t="array" aca="1" ref="G32" ca="1">IFERROR(ABS(G14)/SUM(ABS(G9:G18)),0)</f>
        <v>0</v>
      </c>
      <c r="H32" s="104" cm="1">
        <f t="array" aca="1" ref="H32" ca="1">IFERROR(ABS(H14)/SUM(ABS(H9:H18)),0)</f>
        <v>0</v>
      </c>
      <c r="I32" s="104" cm="1">
        <f t="array" aca="1" ref="I32" ca="1">IFERROR(ABS(I14)/SUM(ABS(I9:I18)),0)</f>
        <v>0</v>
      </c>
      <c r="J32" s="104" cm="1">
        <f t="array" aca="1" ref="J32" ca="1">IFERROR(ABS(J14)/SUM(ABS(J9:J18)),0)</f>
        <v>0</v>
      </c>
      <c r="K32" s="104" cm="1">
        <f t="array" aca="1" ref="K32" ca="1">IFERROR(ABS(K14)/SUM(ABS(K9:K18)),0)</f>
        <v>0</v>
      </c>
      <c r="L32" s="104" cm="1">
        <f t="array" aca="1" ref="L32" ca="1">IFERROR(ABS(L14)/SUM(ABS(L9:L18)),0)</f>
        <v>0</v>
      </c>
      <c r="M32" s="104" cm="1">
        <f t="array" aca="1" ref="M32" ca="1">IFERROR(ABS(M14)/SUM(ABS(M9:M18)),0)</f>
        <v>0</v>
      </c>
      <c r="N32" s="104" cm="1">
        <f t="array" aca="1" ref="N32" ca="1">IFERROR(ABS(N14)/SUM(ABS(N9:N18)),0)</f>
        <v>0</v>
      </c>
      <c r="O32" s="104" cm="1">
        <f t="array" aca="1" ref="O32" ca="1">IFERROR(ABS(O14)/SUM(ABS(O9:O18)),0)</f>
        <v>0</v>
      </c>
      <c r="P32" s="104" cm="1">
        <f t="array" aca="1" ref="P32" ca="1">IFERROR(ABS(P14)/SUM(ABS(P9:P18)),0)</f>
        <v>0</v>
      </c>
    </row>
    <row r="33" spans="2:16" ht="15" x14ac:dyDescent="0.3">
      <c r="B33" s="56" t="s">
        <v>154</v>
      </c>
      <c r="C33" s="57" t="s">
        <v>1371</v>
      </c>
      <c r="D33" s="73" t="s">
        <v>170</v>
      </c>
      <c r="E33" s="83">
        <f>2*SQRT(3)</f>
        <v>3.4641016151377544</v>
      </c>
      <c r="F33" s="79">
        <v>1</v>
      </c>
      <c r="G33" s="104" cm="1">
        <f t="array" aca="1" ref="G33" ca="1">IFERROR(ABS(G15)/SUM(ABS(G9:G18)),0)</f>
        <v>0</v>
      </c>
      <c r="H33" s="104" cm="1">
        <f t="array" aca="1" ref="H33" ca="1">IFERROR(ABS(H15)/SUM(ABS(H9:H18)),0)</f>
        <v>0</v>
      </c>
      <c r="I33" s="104" cm="1">
        <f t="array" aca="1" ref="I33" ca="1">IFERROR(ABS(I15)/SUM(ABS(I9:I18)),0)</f>
        <v>0</v>
      </c>
      <c r="J33" s="104" cm="1">
        <f t="array" aca="1" ref="J33" ca="1">IFERROR(ABS(J15)/SUM(ABS(J9:J18)),0)</f>
        <v>0</v>
      </c>
      <c r="K33" s="104" cm="1">
        <f t="array" aca="1" ref="K33" ca="1">IFERROR(ABS(K15)/SUM(ABS(K9:K18)),0)</f>
        <v>0</v>
      </c>
      <c r="L33" s="104" cm="1">
        <f t="array" aca="1" ref="L33" ca="1">IFERROR(ABS(L15)/SUM(ABS(L9:L18)),0)</f>
        <v>0</v>
      </c>
      <c r="M33" s="104" cm="1">
        <f t="array" aca="1" ref="M33" ca="1">IFERROR(ABS(M15)/SUM(ABS(M9:M18)),0)</f>
        <v>0</v>
      </c>
      <c r="N33" s="104" cm="1">
        <f t="array" aca="1" ref="N33" ca="1">IFERROR(ABS(N15)/SUM(ABS(N9:N18)),0)</f>
        <v>0</v>
      </c>
      <c r="O33" s="104" cm="1">
        <f t="array" aca="1" ref="O33" ca="1">IFERROR(ABS(O15)/SUM(ABS(O9:O18)),0)</f>
        <v>0</v>
      </c>
      <c r="P33" s="104" cm="1">
        <f t="array" aca="1" ref="P33" ca="1">IFERROR(ABS(P15)/SUM(ABS(P9:P18)),0)</f>
        <v>0</v>
      </c>
    </row>
    <row r="34" spans="2:16" ht="15" x14ac:dyDescent="0.3">
      <c r="B34" s="56" t="s">
        <v>153</v>
      </c>
      <c r="C34" s="57" t="s">
        <v>1372</v>
      </c>
      <c r="D34" s="73" t="s">
        <v>170</v>
      </c>
      <c r="E34" s="83">
        <f>SQRT(12)</f>
        <v>3.4641016151377544</v>
      </c>
      <c r="F34" s="86">
        <v>1</v>
      </c>
      <c r="G34" s="104" cm="1">
        <f t="array" aca="1" ref="G34" ca="1">IFERROR(ABS(G16)/SUM(ABS(G9:G18)),0)</f>
        <v>0</v>
      </c>
      <c r="H34" s="104" cm="1">
        <f t="array" aca="1" ref="H34" ca="1">IFERROR(ABS(H16)/SUM(ABS(H9:H18)),0)</f>
        <v>0</v>
      </c>
      <c r="I34" s="104" cm="1">
        <f t="array" aca="1" ref="I34" ca="1">IFERROR(ABS(I16)/SUM(ABS(I9:I18)),0)</f>
        <v>0</v>
      </c>
      <c r="J34" s="104" cm="1">
        <f t="array" aca="1" ref="J34" ca="1">IFERROR(ABS(J16)/SUM(ABS(J9:J18)),0)</f>
        <v>0</v>
      </c>
      <c r="K34" s="104" cm="1">
        <f t="array" aca="1" ref="K34" ca="1">IFERROR(ABS(K16)/SUM(ABS(K9:K18)),0)</f>
        <v>0</v>
      </c>
      <c r="L34" s="104" cm="1">
        <f t="array" aca="1" ref="L34" ca="1">IFERROR(ABS(L16)/SUM(ABS(L9:L18)),0)</f>
        <v>0</v>
      </c>
      <c r="M34" s="104" cm="1">
        <f t="array" aca="1" ref="M34" ca="1">IFERROR(ABS(M16)/SUM(ABS(M9:M18)),0)</f>
        <v>0</v>
      </c>
      <c r="N34" s="104" cm="1">
        <f t="array" aca="1" ref="N34" ca="1">IFERROR(ABS(N16)/SUM(ABS(N9:N18)),0)</f>
        <v>0</v>
      </c>
      <c r="O34" s="104" cm="1">
        <f t="array" aca="1" ref="O34" ca="1">IFERROR(ABS(O16)/SUM(ABS(O9:O18)),0)</f>
        <v>0</v>
      </c>
      <c r="P34" s="104" cm="1">
        <f t="array" aca="1" ref="P34" ca="1">IFERROR(ABS(P16)/SUM(ABS(P9:P18)),0)</f>
        <v>0</v>
      </c>
    </row>
    <row r="35" spans="2:16" ht="15" x14ac:dyDescent="0.3">
      <c r="B35" s="141" t="s">
        <v>334</v>
      </c>
      <c r="C35" s="57" t="s">
        <v>1373</v>
      </c>
      <c r="D35" s="73" t="s">
        <v>170</v>
      </c>
      <c r="E35" s="83">
        <f>SQRT(12)</f>
        <v>3.4641016151377544</v>
      </c>
      <c r="F35" s="86">
        <v>1</v>
      </c>
      <c r="G35" s="104" cm="1">
        <f t="array" aca="1" ref="G35" ca="1">IFERROR(ABS(G17)/SUM(ABS(G9:G18)),0)</f>
        <v>0</v>
      </c>
      <c r="H35" s="104" cm="1">
        <f t="array" aca="1" ref="H35" ca="1">IFERROR(ABS(H17)/SUM(ABS(H9:H18)),0)</f>
        <v>0</v>
      </c>
      <c r="I35" s="104" cm="1">
        <f t="array" aca="1" ref="I35" ca="1">IFERROR(ABS(I17)/SUM(ABS(I9:I18)),0)</f>
        <v>0</v>
      </c>
      <c r="J35" s="104" cm="1">
        <f t="array" aca="1" ref="J35" ca="1">IFERROR(ABS(J17)/SUM(ABS(J9:J18)),0)</f>
        <v>0</v>
      </c>
      <c r="K35" s="104" cm="1">
        <f t="array" aca="1" ref="K35" ca="1">IFERROR(ABS(K17)/SUM(ABS(K9:K18)),0)</f>
        <v>0</v>
      </c>
      <c r="L35" s="104" cm="1">
        <f t="array" aca="1" ref="L35" ca="1">IFERROR(ABS(L17)/SUM(ABS(L9:L18)),0)</f>
        <v>0</v>
      </c>
      <c r="M35" s="104" cm="1">
        <f t="array" aca="1" ref="M35" ca="1">IFERROR(ABS(M17)/SUM(ABS(M9:M18)),0)</f>
        <v>0</v>
      </c>
      <c r="N35" s="104" cm="1">
        <f t="array" aca="1" ref="N35" ca="1">IFERROR(ABS(N17)/SUM(ABS(N9:N18)),0)</f>
        <v>0</v>
      </c>
      <c r="O35" s="104" cm="1">
        <f t="array" aca="1" ref="O35" ca="1">IFERROR(ABS(O17)/SUM(ABS(O9:O18)),0)</f>
        <v>0</v>
      </c>
      <c r="P35" s="104" cm="1">
        <f t="array" aca="1" ref="P35" ca="1">IFERROR(ABS(P17)/SUM(ABS(P9:P18)),0)</f>
        <v>0</v>
      </c>
    </row>
    <row r="36" spans="2:16" ht="15" x14ac:dyDescent="0.3">
      <c r="B36" s="141" t="s">
        <v>335</v>
      </c>
      <c r="C36" s="57" t="s">
        <v>1374</v>
      </c>
      <c r="D36" s="73" t="s">
        <v>170</v>
      </c>
      <c r="E36" s="83">
        <f>SQRT(3)</f>
        <v>1.7320508075688772</v>
      </c>
      <c r="F36" s="86">
        <v>1</v>
      </c>
      <c r="G36" s="104" cm="1">
        <f t="array" aca="1" ref="G36" ca="1">IFERROR(ABS(G18)/SUM(ABS(G9:G18)),0)</f>
        <v>0</v>
      </c>
      <c r="H36" s="104" cm="1">
        <f t="array" aca="1" ref="H36" ca="1">IFERROR(ABS(H18)/SUM(ABS(H9:H18)),0)</f>
        <v>0</v>
      </c>
      <c r="I36" s="104" cm="1">
        <f t="array" aca="1" ref="I36" ca="1">IFERROR(ABS(I18)/SUM(ABS(I9:I18)),0)</f>
        <v>0</v>
      </c>
      <c r="J36" s="104" cm="1">
        <f t="array" aca="1" ref="J36" ca="1">IFERROR(ABS(J18)/SUM(ABS(J9:J18)),0)</f>
        <v>0</v>
      </c>
      <c r="K36" s="104" cm="1">
        <f t="array" aca="1" ref="K36" ca="1">IFERROR(ABS(K18)/SUM(ABS(K9:K18)),0)</f>
        <v>0</v>
      </c>
      <c r="L36" s="104" cm="1">
        <f t="array" aca="1" ref="L36" ca="1">IFERROR(ABS(L18)/SUM(ABS(L9:L18)),0)</f>
        <v>0</v>
      </c>
      <c r="M36" s="104" cm="1">
        <f t="array" aca="1" ref="M36" ca="1">IFERROR(ABS(M18)/SUM(ABS(M9:M18)),0)</f>
        <v>0</v>
      </c>
      <c r="N36" s="104" cm="1">
        <f t="array" aca="1" ref="N36" ca="1">IFERROR(ABS(N18)/SUM(ABS(N9:N18)),0)</f>
        <v>0</v>
      </c>
      <c r="O36" s="104" cm="1">
        <f t="array" aca="1" ref="O36" ca="1">IFERROR(ABS(O18)/SUM(ABS(O9:O18)),0)</f>
        <v>0</v>
      </c>
      <c r="P36" s="104" cm="1">
        <f t="array" aca="1" ref="P36" ca="1">IFERROR(ABS(P18)/SUM(ABS(P9:P18)),0)</f>
        <v>0</v>
      </c>
    </row>
    <row r="37" spans="2:16" x14ac:dyDescent="0.3">
      <c r="B37" s="87" t="s">
        <v>179</v>
      </c>
      <c r="C37" s="105"/>
      <c r="D37" s="106"/>
      <c r="E37" s="107"/>
      <c r="F37" s="106"/>
      <c r="G37" s="108">
        <f ca="1">SUBTOTAL(109,tblUcomun106[p1 (%)])</f>
        <v>0</v>
      </c>
      <c r="H37" s="108">
        <f ca="1">SUBTOTAL(109,tblUcomun106[p2 (%)])</f>
        <v>0</v>
      </c>
      <c r="I37" s="108">
        <f ca="1">SUBTOTAL(109,tblUcomun106[p3 (%)])</f>
        <v>0</v>
      </c>
      <c r="J37" s="108">
        <f ca="1">SUBTOTAL(109,tblUcomun106[p4 (%)])</f>
        <v>0</v>
      </c>
      <c r="K37" s="108">
        <f ca="1">SUBTOTAL(109,tblUcomun106[p5 (%)])</f>
        <v>0</v>
      </c>
      <c r="L37" s="108">
        <f ca="1">SUBTOTAL(109,tblUcomun106[p6 (%)])</f>
        <v>0</v>
      </c>
      <c r="M37" s="108">
        <f ca="1">SUBTOTAL(109,tblUcomun106[p7 (%)])</f>
        <v>0</v>
      </c>
      <c r="N37" s="108">
        <f ca="1">SUBTOTAL(109,tblUcomun106[p8 (%)])</f>
        <v>0</v>
      </c>
      <c r="O37" s="108">
        <f ca="1">SUBTOTAL(109,tblUcomun106[p9 (%)])</f>
        <v>0</v>
      </c>
      <c r="P37" s="108">
        <f ca="1">SUBTOTAL(109,tblUcomun106[p10 (%)])</f>
        <v>0</v>
      </c>
    </row>
    <row r="41" spans="2:16" x14ac:dyDescent="0.3">
      <c r="B41" s="16" t="s">
        <v>185</v>
      </c>
    </row>
    <row r="42" spans="2:16" x14ac:dyDescent="0.3">
      <c r="B42" s="85" t="s">
        <v>186</v>
      </c>
      <c r="C42" s="85" t="s">
        <v>190</v>
      </c>
      <c r="D42" s="113"/>
      <c r="E42" s="114" t="s">
        <v>192</v>
      </c>
      <c r="F42" s="114" t="s">
        <v>138</v>
      </c>
    </row>
    <row r="43" spans="2:16" x14ac:dyDescent="0.3">
      <c r="B43" s="89" t="s">
        <v>187</v>
      </c>
      <c r="C43" s="109" t="s">
        <v>191</v>
      </c>
      <c r="D43" s="111"/>
      <c r="E43" s="115" t="s">
        <v>193</v>
      </c>
      <c r="F43" s="67">
        <f>IF([1]Calibración!E10="2",4,6)</f>
        <v>6</v>
      </c>
    </row>
    <row r="44" spans="2:16" ht="15.6" x14ac:dyDescent="0.35">
      <c r="B44" s="89" t="s">
        <v>188</v>
      </c>
      <c r="C44" s="109" t="s">
        <v>1375</v>
      </c>
      <c r="D44" s="111"/>
      <c r="E44" s="115" t="s">
        <v>194</v>
      </c>
      <c r="F44" s="67">
        <f>F43-1</f>
        <v>5</v>
      </c>
    </row>
    <row r="45" spans="2:16" ht="15.6" x14ac:dyDescent="0.35">
      <c r="B45" s="89" t="s">
        <v>189</v>
      </c>
      <c r="C45" s="109" t="s">
        <v>1376</v>
      </c>
      <c r="D45" s="109"/>
      <c r="E45" s="115" t="s">
        <v>1377</v>
      </c>
      <c r="G45" s="210">
        <f t="shared" ref="G45:P45" ca="1" si="4">(POWER(G16,4)/$F$44)+(POWER(G17,4)/$F$44)</f>
        <v>0</v>
      </c>
      <c r="H45" s="210">
        <f t="shared" ca="1" si="4"/>
        <v>0</v>
      </c>
      <c r="I45" s="210">
        <f t="shared" ca="1" si="4"/>
        <v>0</v>
      </c>
      <c r="J45" s="210">
        <f t="shared" ca="1" si="4"/>
        <v>0</v>
      </c>
      <c r="K45" s="210">
        <f t="shared" ca="1" si="4"/>
        <v>0</v>
      </c>
      <c r="L45" s="210">
        <f t="shared" ca="1" si="4"/>
        <v>0</v>
      </c>
      <c r="M45" s="210">
        <f t="shared" ca="1" si="4"/>
        <v>0</v>
      </c>
      <c r="N45" s="210">
        <f t="shared" ca="1" si="4"/>
        <v>0</v>
      </c>
      <c r="O45" s="210">
        <f t="shared" ca="1" si="4"/>
        <v>0</v>
      </c>
      <c r="P45" s="210">
        <f t="shared" ca="1" si="4"/>
        <v>0</v>
      </c>
    </row>
    <row r="46" spans="2:16" ht="16.8" x14ac:dyDescent="0.35">
      <c r="B46" s="89" t="s">
        <v>195</v>
      </c>
      <c r="C46" s="109" t="s">
        <v>1378</v>
      </c>
      <c r="D46" s="111"/>
      <c r="E46" s="115"/>
      <c r="F46" s="125">
        <f ca="1">POWER(G19,4)</f>
        <v>0</v>
      </c>
      <c r="G46" s="124" t="s">
        <v>1379</v>
      </c>
      <c r="H46" s="124" t="s">
        <v>1380</v>
      </c>
      <c r="I46" s="124" t="s">
        <v>1381</v>
      </c>
      <c r="J46" s="124" t="s">
        <v>1382</v>
      </c>
      <c r="K46" s="124" t="s">
        <v>1383</v>
      </c>
      <c r="L46" s="124" t="s">
        <v>1384</v>
      </c>
      <c r="M46" s="124" t="s">
        <v>1385</v>
      </c>
      <c r="N46" s="124" t="s">
        <v>1386</v>
      </c>
      <c r="O46" s="124" t="s">
        <v>1387</v>
      </c>
      <c r="P46" s="124" t="s">
        <v>1388</v>
      </c>
    </row>
    <row r="47" spans="2:16" ht="16.8" x14ac:dyDescent="0.35">
      <c r="B47" s="89" t="s">
        <v>196</v>
      </c>
      <c r="C47" s="109" t="s">
        <v>1378</v>
      </c>
      <c r="D47" s="111"/>
      <c r="E47" s="115"/>
      <c r="F47" s="125">
        <f ca="1">POWER(H19,4)</f>
        <v>0</v>
      </c>
      <c r="G47" s="125">
        <f t="shared" ref="G47:P47" ca="1" si="5">G45</f>
        <v>0</v>
      </c>
      <c r="H47" s="125">
        <f t="shared" ca="1" si="5"/>
        <v>0</v>
      </c>
      <c r="I47" s="125">
        <f t="shared" ca="1" si="5"/>
        <v>0</v>
      </c>
      <c r="J47" s="125">
        <f t="shared" ca="1" si="5"/>
        <v>0</v>
      </c>
      <c r="K47" s="125">
        <f t="shared" ca="1" si="5"/>
        <v>0</v>
      </c>
      <c r="L47" s="125">
        <f t="shared" ca="1" si="5"/>
        <v>0</v>
      </c>
      <c r="M47" s="125">
        <f t="shared" ca="1" si="5"/>
        <v>0</v>
      </c>
      <c r="N47" s="125">
        <f t="shared" ca="1" si="5"/>
        <v>0</v>
      </c>
      <c r="O47" s="125">
        <f t="shared" ca="1" si="5"/>
        <v>0</v>
      </c>
      <c r="P47" s="125">
        <f t="shared" ca="1" si="5"/>
        <v>0</v>
      </c>
    </row>
    <row r="48" spans="2:16" ht="16.8" x14ac:dyDescent="0.35">
      <c r="B48" s="89" t="s">
        <v>197</v>
      </c>
      <c r="C48" s="109" t="s">
        <v>1378</v>
      </c>
      <c r="D48" s="111"/>
      <c r="E48" s="115"/>
      <c r="F48" s="125">
        <f ca="1">POWER(I19,4)</f>
        <v>0</v>
      </c>
    </row>
    <row r="49" spans="2:7" ht="16.8" x14ac:dyDescent="0.35">
      <c r="B49" s="89" t="s">
        <v>198</v>
      </c>
      <c r="C49" s="109" t="s">
        <v>1378</v>
      </c>
      <c r="D49" s="111"/>
      <c r="E49" s="115"/>
      <c r="F49" s="125">
        <f ca="1">POWER(J19,4)</f>
        <v>0</v>
      </c>
    </row>
    <row r="50" spans="2:7" ht="16.8" x14ac:dyDescent="0.35">
      <c r="B50" s="89" t="s">
        <v>199</v>
      </c>
      <c r="C50" s="109" t="s">
        <v>1378</v>
      </c>
      <c r="D50" s="111"/>
      <c r="E50" s="115"/>
      <c r="F50" s="125">
        <f ca="1">POWER(K19,4)</f>
        <v>0</v>
      </c>
    </row>
    <row r="51" spans="2:7" ht="16.8" x14ac:dyDescent="0.35">
      <c r="B51" s="89" t="s">
        <v>200</v>
      </c>
      <c r="C51" s="109" t="s">
        <v>1378</v>
      </c>
      <c r="D51" s="111"/>
      <c r="E51" s="115"/>
      <c r="F51" s="125">
        <f ca="1">POWER(L19,4)</f>
        <v>0</v>
      </c>
    </row>
    <row r="52" spans="2:7" ht="16.8" x14ac:dyDescent="0.35">
      <c r="B52" s="89" t="s">
        <v>201</v>
      </c>
      <c r="C52" s="109" t="s">
        <v>1378</v>
      </c>
      <c r="D52" s="111"/>
      <c r="E52" s="115"/>
      <c r="F52" s="125">
        <f ca="1">POWER(M19,4)</f>
        <v>0</v>
      </c>
    </row>
    <row r="53" spans="2:7" ht="16.8" x14ac:dyDescent="0.35">
      <c r="B53" s="89" t="s">
        <v>202</v>
      </c>
      <c r="C53" s="109" t="s">
        <v>1378</v>
      </c>
      <c r="D53" s="111"/>
      <c r="E53" s="115"/>
      <c r="F53" s="125">
        <f ca="1">POWER(N19,4)</f>
        <v>0</v>
      </c>
    </row>
    <row r="54" spans="2:7" ht="16.8" x14ac:dyDescent="0.35">
      <c r="B54" s="89" t="s">
        <v>203</v>
      </c>
      <c r="C54" s="109" t="s">
        <v>1378</v>
      </c>
      <c r="D54" s="111"/>
      <c r="E54" s="115"/>
      <c r="F54" s="125">
        <f ca="1">POWER(O19,4)</f>
        <v>0</v>
      </c>
    </row>
    <row r="55" spans="2:7" ht="16.8" x14ac:dyDescent="0.35">
      <c r="B55" s="89" t="s">
        <v>204</v>
      </c>
      <c r="C55" s="109" t="s">
        <v>1378</v>
      </c>
      <c r="D55" s="111"/>
      <c r="E55" s="115"/>
      <c r="F55" s="125">
        <f ca="1">POWER(P19,4)</f>
        <v>0</v>
      </c>
      <c r="G55" s="30" t="s">
        <v>215</v>
      </c>
    </row>
    <row r="56" spans="2:7" ht="15.6" x14ac:dyDescent="0.35">
      <c r="B56" s="110" t="s">
        <v>205</v>
      </c>
      <c r="C56" s="109" t="s">
        <v>1389</v>
      </c>
      <c r="D56" s="112"/>
      <c r="E56" s="116"/>
      <c r="F56" s="128" t="str">
        <f ca="1">IFERROR(F46/G47,"")</f>
        <v/>
      </c>
      <c r="G56" s="117">
        <f t="shared" ref="G56:G65" ca="1" si="6">IF(F56&gt;20,2,HLOOKUP(F56,$C$69:$W$70,2))</f>
        <v>2</v>
      </c>
    </row>
    <row r="57" spans="2:7" ht="15.6" x14ac:dyDescent="0.35">
      <c r="B57" s="110" t="s">
        <v>206</v>
      </c>
      <c r="C57" s="109" t="s">
        <v>1389</v>
      </c>
      <c r="D57" s="112"/>
      <c r="E57" s="116"/>
      <c r="F57" s="128" t="str">
        <f ca="1">IFERROR(F47/H47,"")</f>
        <v/>
      </c>
      <c r="G57" s="117">
        <f t="shared" ca="1" si="6"/>
        <v>2</v>
      </c>
    </row>
    <row r="58" spans="2:7" ht="15.6" x14ac:dyDescent="0.35">
      <c r="B58" s="110" t="s">
        <v>207</v>
      </c>
      <c r="C58" s="109" t="s">
        <v>1389</v>
      </c>
      <c r="D58" s="112"/>
      <c r="E58" s="116"/>
      <c r="F58" s="128" t="str">
        <f ca="1">IFERROR(F48/I47,"")</f>
        <v/>
      </c>
      <c r="G58" s="117">
        <f t="shared" ca="1" si="6"/>
        <v>2</v>
      </c>
    </row>
    <row r="59" spans="2:7" ht="15.6" x14ac:dyDescent="0.35">
      <c r="B59" s="110" t="s">
        <v>208</v>
      </c>
      <c r="C59" s="109" t="s">
        <v>1389</v>
      </c>
      <c r="D59" s="112"/>
      <c r="E59" s="116"/>
      <c r="F59" s="128" t="str">
        <f ca="1">IFERROR(F49/J47,"")</f>
        <v/>
      </c>
      <c r="G59" s="117">
        <f t="shared" ca="1" si="6"/>
        <v>2</v>
      </c>
    </row>
    <row r="60" spans="2:7" ht="15.6" x14ac:dyDescent="0.35">
      <c r="B60" s="110" t="s">
        <v>209</v>
      </c>
      <c r="C60" s="109" t="s">
        <v>1389</v>
      </c>
      <c r="D60" s="112"/>
      <c r="E60" s="116"/>
      <c r="F60" s="128" t="str">
        <f ca="1">IFERROR(F50/K47,"")</f>
        <v/>
      </c>
      <c r="G60" s="117">
        <f t="shared" ca="1" si="6"/>
        <v>2</v>
      </c>
    </row>
    <row r="61" spans="2:7" ht="15.6" x14ac:dyDescent="0.35">
      <c r="B61" s="110" t="s">
        <v>210</v>
      </c>
      <c r="C61" s="109" t="s">
        <v>1389</v>
      </c>
      <c r="D61" s="112"/>
      <c r="E61" s="116"/>
      <c r="F61" s="128" t="str">
        <f ca="1">IFERROR(F51/L47,"")</f>
        <v/>
      </c>
      <c r="G61" s="117">
        <f t="shared" ca="1" si="6"/>
        <v>2</v>
      </c>
    </row>
    <row r="62" spans="2:7" ht="15.6" x14ac:dyDescent="0.35">
      <c r="B62" s="110" t="s">
        <v>211</v>
      </c>
      <c r="C62" s="109" t="s">
        <v>1389</v>
      </c>
      <c r="D62" s="112"/>
      <c r="E62" s="116"/>
      <c r="F62" s="128" t="str">
        <f ca="1">IFERROR(F52/M47,"")</f>
        <v/>
      </c>
      <c r="G62" s="117">
        <f t="shared" ca="1" si="6"/>
        <v>2</v>
      </c>
    </row>
    <row r="63" spans="2:7" ht="15.6" x14ac:dyDescent="0.35">
      <c r="B63" s="110" t="s">
        <v>212</v>
      </c>
      <c r="C63" s="109" t="s">
        <v>1389</v>
      </c>
      <c r="D63" s="112"/>
      <c r="E63" s="116"/>
      <c r="F63" s="128" t="str">
        <f ca="1">IFERROR(F53/N47,"")</f>
        <v/>
      </c>
      <c r="G63" s="117">
        <f t="shared" ca="1" si="6"/>
        <v>2</v>
      </c>
    </row>
    <row r="64" spans="2:7" ht="15.6" x14ac:dyDescent="0.35">
      <c r="B64" s="110" t="s">
        <v>213</v>
      </c>
      <c r="C64" s="109" t="s">
        <v>1389</v>
      </c>
      <c r="D64" s="112"/>
      <c r="E64" s="116"/>
      <c r="F64" s="128" t="str">
        <f ca="1">IFERROR(F54/O47,"")</f>
        <v/>
      </c>
      <c r="G64" s="117">
        <f t="shared" ca="1" si="6"/>
        <v>2</v>
      </c>
    </row>
    <row r="65" spans="2:24" ht="15.6" x14ac:dyDescent="0.35">
      <c r="B65" s="110" t="s">
        <v>214</v>
      </c>
      <c r="C65" s="109" t="s">
        <v>1389</v>
      </c>
      <c r="D65" s="112"/>
      <c r="E65" s="116"/>
      <c r="F65" s="128" t="str">
        <f ca="1">IFERROR(F55/P47,"")</f>
        <v/>
      </c>
      <c r="G65" s="117">
        <f t="shared" ca="1" si="6"/>
        <v>2</v>
      </c>
    </row>
    <row r="68" spans="2:24" x14ac:dyDescent="0.3">
      <c r="C68" s="409" t="s">
        <v>488</v>
      </c>
      <c r="D68" s="410"/>
      <c r="E68" s="410"/>
      <c r="F68" s="410"/>
      <c r="G68" s="410"/>
      <c r="H68" s="410"/>
      <c r="I68" s="410"/>
      <c r="J68" s="410"/>
      <c r="K68" s="410"/>
      <c r="L68" s="410"/>
      <c r="M68" s="410"/>
      <c r="N68" s="410"/>
      <c r="O68" s="410"/>
      <c r="P68" s="410"/>
      <c r="Q68" s="410"/>
      <c r="R68" s="410"/>
      <c r="S68" s="410"/>
      <c r="T68" s="410"/>
      <c r="U68" s="410"/>
      <c r="V68" s="410"/>
      <c r="W68" s="410"/>
      <c r="X68" s="411"/>
    </row>
    <row r="69" spans="2:24" x14ac:dyDescent="0.3">
      <c r="C69" s="341" t="s">
        <v>489</v>
      </c>
      <c r="D69" s="341">
        <v>1</v>
      </c>
      <c r="E69" s="341">
        <v>2</v>
      </c>
      <c r="F69" s="341">
        <v>3</v>
      </c>
      <c r="G69" s="341">
        <v>4</v>
      </c>
      <c r="H69" s="341">
        <v>5</v>
      </c>
      <c r="I69" s="341">
        <v>6</v>
      </c>
      <c r="J69" s="341">
        <v>7</v>
      </c>
      <c r="K69" s="341">
        <v>8</v>
      </c>
      <c r="L69" s="341">
        <v>9</v>
      </c>
      <c r="M69" s="341">
        <v>10</v>
      </c>
      <c r="N69" s="341">
        <v>11</v>
      </c>
      <c r="O69" s="341">
        <v>12</v>
      </c>
      <c r="P69" s="341">
        <v>13</v>
      </c>
      <c r="Q69" s="341">
        <v>14</v>
      </c>
      <c r="R69" s="341">
        <v>15</v>
      </c>
      <c r="S69" s="341">
        <v>16</v>
      </c>
      <c r="T69" s="341">
        <v>17</v>
      </c>
      <c r="U69" s="341">
        <v>18</v>
      </c>
      <c r="V69" s="341">
        <v>19</v>
      </c>
      <c r="W69" s="341">
        <v>20</v>
      </c>
      <c r="X69" s="341" t="s">
        <v>490</v>
      </c>
    </row>
    <row r="70" spans="2:24" x14ac:dyDescent="0.3">
      <c r="C70" s="341" t="s">
        <v>215</v>
      </c>
      <c r="D70" s="341">
        <v>13.97</v>
      </c>
      <c r="E70" s="341">
        <v>4.53</v>
      </c>
      <c r="F70" s="341">
        <v>3.31</v>
      </c>
      <c r="G70" s="341">
        <v>2.87</v>
      </c>
      <c r="H70" s="341">
        <v>2.65</v>
      </c>
      <c r="I70" s="341">
        <v>2.52</v>
      </c>
      <c r="J70" s="341">
        <v>2.4300000000000002</v>
      </c>
      <c r="K70" s="341">
        <v>2.37</v>
      </c>
      <c r="L70" s="341">
        <v>2.3199999999999998</v>
      </c>
      <c r="M70" s="341">
        <v>2.2799999999999998</v>
      </c>
      <c r="N70" s="341">
        <v>2.25</v>
      </c>
      <c r="O70" s="341">
        <v>2.23</v>
      </c>
      <c r="P70" s="341">
        <v>2.21</v>
      </c>
      <c r="Q70" s="341">
        <v>2.2000000000000002</v>
      </c>
      <c r="R70" s="341">
        <v>2.1800000000000002</v>
      </c>
      <c r="S70" s="341">
        <v>2.17</v>
      </c>
      <c r="T70" s="341">
        <v>2.16</v>
      </c>
      <c r="U70" s="341">
        <v>2.15</v>
      </c>
      <c r="V70" s="341">
        <v>2.14</v>
      </c>
      <c r="W70" s="341">
        <v>2.13</v>
      </c>
      <c r="X70" s="341">
        <v>2</v>
      </c>
    </row>
  </sheetData>
  <mergeCells count="4">
    <mergeCell ref="C68:X68"/>
    <mergeCell ref="U2:AC2"/>
    <mergeCell ref="U5:AB5"/>
    <mergeCell ref="AC5:AD5"/>
  </mergeCells>
  <conditionalFormatting sqref="G27:P36">
    <cfRule type="colorScale" priority="4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conditionalFormatting sqref="U13:AD13">
    <cfRule type="colorScale" priority="3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B2:I3"/>
  <sheetViews>
    <sheetView workbookViewId="0">
      <selection activeCell="C18" sqref="C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5" t="s">
        <v>98</v>
      </c>
      <c r="C2" s="245" t="s">
        <v>399</v>
      </c>
      <c r="D2" s="245" t="s">
        <v>400</v>
      </c>
      <c r="E2" s="245" t="s">
        <v>401</v>
      </c>
      <c r="F2" s="246"/>
      <c r="G2" s="246"/>
      <c r="H2" s="246"/>
      <c r="I2" s="246"/>
    </row>
    <row r="3" spans="2:9" x14ac:dyDescent="0.3">
      <c r="B3" s="247" t="str">
        <f>EquipoTipo</f>
        <v xml:space="preserve">Manómetro </v>
      </c>
      <c r="C3" s="248">
        <f>CertDate</f>
        <v>44965</v>
      </c>
      <c r="D3" s="247" t="str">
        <f>EquipoCode</f>
        <v>SAJHJLF54564+SD</v>
      </c>
      <c r="E3" s="247" t="str">
        <f>CertNum</f>
        <v>NI-MC-P-XXXX-2024</v>
      </c>
      <c r="F3" s="249"/>
      <c r="G3" s="246"/>
      <c r="H3" s="246"/>
      <c r="I3" s="24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5:Y129"/>
  <sheetViews>
    <sheetView tabSelected="1" view="pageLayout" topLeftCell="A105" zoomScaleNormal="40" zoomScaleSheetLayoutView="100" workbookViewId="0">
      <selection activeCell="A115" sqref="A115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6" t="s">
        <v>354</v>
      </c>
      <c r="B8" s="227"/>
      <c r="C8" s="228"/>
      <c r="E8" s="228"/>
      <c r="F8" s="228"/>
      <c r="G8" s="229"/>
      <c r="H8" s="229"/>
      <c r="I8" s="229"/>
      <c r="J8" s="229"/>
      <c r="K8" s="229"/>
      <c r="L8" s="9"/>
      <c r="M8" s="9"/>
      <c r="N8" s="422" t="str">
        <f>General!F3</f>
        <v>NI-MC-P-XXXX-2024</v>
      </c>
      <c r="O8" s="423"/>
      <c r="P8" s="423"/>
      <c r="Q8" s="423"/>
      <c r="R8" s="423"/>
      <c r="S8" s="423"/>
      <c r="T8" s="423"/>
      <c r="U8" s="423"/>
      <c r="V8" s="423"/>
      <c r="W8" s="423"/>
      <c r="X8" s="423"/>
    </row>
    <row r="9" spans="1:24" x14ac:dyDescent="0.3">
      <c r="A9" s="226" t="s">
        <v>355</v>
      </c>
      <c r="B9" s="227"/>
      <c r="C9" s="228"/>
      <c r="E9" s="228"/>
      <c r="F9" s="228"/>
      <c r="G9" s="229"/>
      <c r="H9" s="229"/>
      <c r="I9" s="229"/>
      <c r="J9" s="229"/>
      <c r="K9" s="229"/>
      <c r="L9" s="9"/>
      <c r="M9" s="9"/>
      <c r="N9" s="424" t="str">
        <f>General!F4</f>
        <v>NI-CS-0062-23</v>
      </c>
      <c r="O9" s="425"/>
      <c r="P9" s="425"/>
      <c r="Q9" s="425"/>
      <c r="R9" s="425"/>
      <c r="S9" s="425"/>
      <c r="T9" s="425"/>
      <c r="U9" s="425"/>
      <c r="V9" s="425"/>
      <c r="W9" s="425"/>
      <c r="X9" s="425"/>
    </row>
    <row r="10" spans="1:24" x14ac:dyDescent="0.3">
      <c r="A10" s="226" t="s">
        <v>356</v>
      </c>
      <c r="B10" s="227"/>
      <c r="C10" s="227"/>
      <c r="E10" s="227"/>
      <c r="F10" s="227"/>
      <c r="G10" s="229"/>
      <c r="H10" s="229"/>
      <c r="I10" s="229"/>
      <c r="J10" s="229"/>
      <c r="K10" s="229"/>
      <c r="L10" s="230"/>
      <c r="M10" s="9"/>
      <c r="N10" s="426">
        <f>General!F5</f>
        <v>44965</v>
      </c>
      <c r="O10" s="426"/>
      <c r="P10" s="426"/>
      <c r="Q10" s="426"/>
      <c r="R10" s="426"/>
      <c r="S10" s="426"/>
      <c r="T10" s="426"/>
      <c r="U10" s="426"/>
      <c r="V10" s="426"/>
      <c r="W10" s="426"/>
      <c r="X10" s="426"/>
    </row>
    <row r="11" spans="1:24" x14ac:dyDescent="0.3">
      <c r="A11" s="226" t="s">
        <v>483</v>
      </c>
      <c r="B11" s="227"/>
      <c r="C11" s="227"/>
      <c r="E11" s="227"/>
      <c r="F11" s="227"/>
      <c r="G11" s="229"/>
      <c r="H11" s="229"/>
      <c r="I11" s="229"/>
      <c r="J11" s="229"/>
      <c r="K11" s="229"/>
      <c r="L11" s="230"/>
      <c r="M11" s="9"/>
      <c r="N11" s="426">
        <f ca="1">NOW()</f>
        <v>45398.730872800923</v>
      </c>
      <c r="O11" s="426"/>
      <c r="P11" s="426"/>
      <c r="Q11" s="426"/>
      <c r="R11" s="283"/>
      <c r="S11" s="283"/>
      <c r="T11" s="283"/>
      <c r="U11" s="283"/>
      <c r="V11" s="283"/>
      <c r="W11" s="283"/>
      <c r="X11" s="283"/>
    </row>
    <row r="12" spans="1:24" x14ac:dyDescent="0.3">
      <c r="A12" s="226" t="s">
        <v>357</v>
      </c>
      <c r="B12" s="227"/>
      <c r="C12" s="227"/>
      <c r="E12" s="227"/>
      <c r="F12" s="227"/>
      <c r="G12" s="229"/>
      <c r="H12" s="229"/>
      <c r="I12" s="229"/>
      <c r="J12" s="229"/>
      <c r="K12" s="229"/>
      <c r="L12" s="9"/>
      <c r="M12" s="9"/>
      <c r="N12" s="424" t="str">
        <f>General!F7</f>
        <v xml:space="preserve">Manómetro </v>
      </c>
      <c r="O12" s="425"/>
      <c r="P12" s="425"/>
      <c r="Q12" s="425"/>
      <c r="R12" s="425"/>
      <c r="S12" s="425"/>
      <c r="T12" s="425"/>
      <c r="U12" s="425"/>
      <c r="V12" s="425"/>
      <c r="W12" s="425"/>
      <c r="X12" s="425"/>
    </row>
    <row r="13" spans="1:24" x14ac:dyDescent="0.3">
      <c r="A13" s="226" t="s">
        <v>358</v>
      </c>
      <c r="B13" s="227"/>
      <c r="C13" s="227"/>
      <c r="E13" s="227"/>
      <c r="F13" s="227"/>
      <c r="G13" s="229"/>
      <c r="H13" s="229"/>
      <c r="I13" s="229"/>
      <c r="J13" s="229"/>
      <c r="K13" s="229"/>
      <c r="L13" s="9"/>
      <c r="M13" s="9"/>
      <c r="N13" s="424" t="str">
        <f>General!F10</f>
        <v>Ashcroft</v>
      </c>
      <c r="O13" s="425"/>
      <c r="P13" s="425"/>
      <c r="Q13" s="425"/>
      <c r="R13" s="425"/>
      <c r="S13" s="425"/>
      <c r="T13" s="425"/>
      <c r="U13" s="425"/>
      <c r="V13" s="425"/>
      <c r="W13" s="425"/>
      <c r="X13" s="425"/>
    </row>
    <row r="14" spans="1:24" x14ac:dyDescent="0.3">
      <c r="A14" s="226" t="s">
        <v>359</v>
      </c>
      <c r="B14" s="227"/>
      <c r="C14" s="227"/>
      <c r="E14" s="227"/>
      <c r="F14" s="227"/>
      <c r="G14" s="229"/>
      <c r="H14" s="229"/>
      <c r="I14" s="229"/>
      <c r="J14" s="229"/>
      <c r="K14" s="229"/>
      <c r="L14" s="9"/>
      <c r="M14" s="9"/>
      <c r="N14" s="424" t="str">
        <f>General!F12</f>
        <v>asdfart547657</v>
      </c>
      <c r="O14" s="425"/>
      <c r="P14" s="425"/>
      <c r="Q14" s="425"/>
      <c r="R14" s="425"/>
      <c r="S14" s="425"/>
      <c r="T14" s="425"/>
      <c r="U14" s="425"/>
      <c r="V14" s="425"/>
      <c r="W14" s="425"/>
      <c r="X14" s="425"/>
    </row>
    <row r="15" spans="1:24" x14ac:dyDescent="0.3">
      <c r="A15" s="226" t="s">
        <v>360</v>
      </c>
      <c r="B15" s="227"/>
      <c r="C15" s="227"/>
      <c r="E15" s="227"/>
      <c r="F15" s="227"/>
      <c r="G15" s="229"/>
      <c r="H15" s="229"/>
      <c r="I15" s="229"/>
      <c r="J15" s="229"/>
      <c r="K15" s="229"/>
      <c r="L15" s="9"/>
      <c r="M15" s="9"/>
      <c r="N15" s="424" t="str">
        <f>General!F11</f>
        <v>asdfadfdfdssd</v>
      </c>
      <c r="O15" s="425"/>
      <c r="P15" s="425"/>
      <c r="Q15" s="425"/>
      <c r="R15" s="425"/>
      <c r="S15" s="425"/>
      <c r="T15" s="425"/>
      <c r="U15" s="425"/>
      <c r="V15" s="425"/>
      <c r="W15" s="425"/>
      <c r="X15" s="425"/>
    </row>
    <row r="16" spans="1:24" x14ac:dyDescent="0.3">
      <c r="A16" s="226" t="s">
        <v>361</v>
      </c>
      <c r="B16" s="227"/>
      <c r="C16" s="227"/>
      <c r="E16" s="227"/>
      <c r="F16" s="227"/>
      <c r="G16" s="229"/>
      <c r="H16" s="229"/>
      <c r="I16" s="229"/>
      <c r="J16" s="229"/>
      <c r="K16" s="229"/>
      <c r="L16" s="9"/>
      <c r="M16" s="9"/>
      <c r="N16" s="424" t="str">
        <f>General!F18</f>
        <v>0 psi a 100 psi</v>
      </c>
      <c r="O16" s="425"/>
      <c r="P16" s="425"/>
      <c r="Q16" s="425"/>
      <c r="R16" s="425"/>
      <c r="S16" s="425"/>
      <c r="T16" s="425"/>
      <c r="U16" s="425"/>
      <c r="V16" s="425"/>
      <c r="W16" s="425"/>
      <c r="X16" s="425"/>
    </row>
    <row r="17" spans="1:24" x14ac:dyDescent="0.3">
      <c r="A17" s="226" t="s">
        <v>362</v>
      </c>
      <c r="B17" s="227"/>
      <c r="C17" s="227"/>
      <c r="E17" s="227"/>
      <c r="F17" s="227"/>
      <c r="G17" s="229"/>
      <c r="H17" s="229"/>
      <c r="I17" s="229"/>
      <c r="J17" s="229"/>
      <c r="K17" s="229"/>
      <c r="L17" s="9"/>
      <c r="M17" s="9"/>
      <c r="N17" s="424">
        <f>General!F15</f>
        <v>0.5</v>
      </c>
      <c r="O17" s="425"/>
      <c r="P17" s="424" t="str">
        <f>General!F16</f>
        <v>psi</v>
      </c>
      <c r="Q17" s="424"/>
      <c r="R17" s="424"/>
      <c r="S17" s="424"/>
      <c r="T17" s="9"/>
      <c r="U17" s="9"/>
      <c r="V17" s="9"/>
      <c r="W17" s="9"/>
      <c r="X17" s="9"/>
    </row>
    <row r="18" spans="1:24" x14ac:dyDescent="0.3">
      <c r="A18" s="226" t="s">
        <v>363</v>
      </c>
      <c r="B18" s="227"/>
      <c r="C18" s="227"/>
      <c r="E18" s="227"/>
      <c r="F18" s="227"/>
      <c r="G18" s="229"/>
      <c r="H18" s="229"/>
      <c r="I18" s="229"/>
      <c r="J18" s="229"/>
      <c r="K18" s="229"/>
      <c r="L18" s="9"/>
      <c r="M18" s="9"/>
      <c r="N18" s="424" t="str">
        <f>General!F6</f>
        <v>SAJHJLF54564+SD</v>
      </c>
      <c r="O18" s="425"/>
      <c r="P18" s="425"/>
      <c r="Q18" s="425"/>
      <c r="R18" s="425"/>
      <c r="S18" s="425"/>
      <c r="T18" s="425"/>
      <c r="U18" s="425"/>
      <c r="V18" s="425"/>
      <c r="W18" s="425"/>
      <c r="X18" s="425"/>
    </row>
    <row r="19" spans="1:24" x14ac:dyDescent="0.3">
      <c r="A19" s="226" t="s">
        <v>364</v>
      </c>
      <c r="B19" s="227"/>
      <c r="C19" s="227"/>
      <c r="E19" s="227"/>
      <c r="F19" s="227"/>
      <c r="G19" s="229"/>
      <c r="H19" s="229"/>
      <c r="I19" s="229"/>
      <c r="J19" s="229"/>
      <c r="K19" s="229"/>
      <c r="L19" s="9"/>
      <c r="M19" s="9"/>
      <c r="N19" s="424" t="str">
        <f>General!L3</f>
        <v>Agencia Aduanera GRH S,A.</v>
      </c>
      <c r="O19" s="425"/>
      <c r="P19" s="425"/>
      <c r="Q19" s="425"/>
      <c r="R19" s="425"/>
      <c r="S19" s="425"/>
      <c r="T19" s="425"/>
      <c r="U19" s="425"/>
      <c r="V19" s="425"/>
      <c r="W19" s="425"/>
      <c r="X19" s="425"/>
    </row>
    <row r="20" spans="1:24" x14ac:dyDescent="0.3">
      <c r="A20" s="231" t="s">
        <v>365</v>
      </c>
      <c r="C20" s="227"/>
      <c r="D20" s="227"/>
      <c r="E20" s="227"/>
      <c r="F20" s="227"/>
      <c r="G20" s="229"/>
      <c r="H20" s="229"/>
      <c r="I20" s="229"/>
      <c r="J20" s="229"/>
      <c r="K20" s="229"/>
      <c r="L20" s="10"/>
      <c r="M20" s="9"/>
      <c r="N20" s="425" t="str">
        <f>General!L4</f>
        <v>De Los Semáforos de Sabana Grande 1 500 m Este.</v>
      </c>
      <c r="O20" s="425"/>
      <c r="P20" s="425"/>
      <c r="Q20" s="425"/>
      <c r="R20" s="425"/>
      <c r="S20" s="425"/>
      <c r="T20" s="425"/>
      <c r="U20" s="425"/>
      <c r="V20" s="425"/>
      <c r="W20" s="425"/>
      <c r="X20" s="425"/>
    </row>
    <row r="21" spans="1:24" x14ac:dyDescent="0.3">
      <c r="A21" s="226" t="s">
        <v>366</v>
      </c>
      <c r="C21" s="227"/>
      <c r="D21" s="227"/>
      <c r="E21" s="227"/>
      <c r="F21" s="227"/>
      <c r="G21" s="229"/>
      <c r="H21" s="229"/>
      <c r="I21" s="229"/>
      <c r="J21" s="229"/>
      <c r="K21" s="229"/>
      <c r="L21" s="9"/>
      <c r="M21" s="9"/>
      <c r="N21" s="431" t="str">
        <f>General!L6</f>
        <v>Laboratorio #2, Metrocal</v>
      </c>
      <c r="O21" s="431"/>
      <c r="P21" s="431"/>
      <c r="Q21" s="431"/>
      <c r="R21" s="431"/>
      <c r="S21" s="431"/>
      <c r="T21" s="431"/>
      <c r="U21" s="431"/>
      <c r="V21" s="431"/>
      <c r="W21" s="431"/>
      <c r="X21" s="431"/>
    </row>
    <row r="22" spans="1:24" x14ac:dyDescent="0.3">
      <c r="A22" s="226"/>
      <c r="N22" s="431"/>
      <c r="O22" s="431"/>
      <c r="P22" s="431"/>
      <c r="Q22" s="431"/>
      <c r="R22" s="431"/>
      <c r="S22" s="431"/>
      <c r="T22" s="431"/>
      <c r="U22" s="431"/>
      <c r="V22" s="431"/>
      <c r="W22" s="431"/>
      <c r="X22" s="431"/>
    </row>
    <row r="23" spans="1:24" x14ac:dyDescent="0.3">
      <c r="A23" s="226" t="s">
        <v>367</v>
      </c>
      <c r="C23" s="227"/>
      <c r="D23" s="227"/>
      <c r="E23" s="227"/>
      <c r="F23" s="227"/>
    </row>
    <row r="24" spans="1:24" x14ac:dyDescent="0.3">
      <c r="A24" s="9"/>
      <c r="B24" s="9"/>
      <c r="C24" s="9"/>
      <c r="D24" s="432" t="s">
        <v>95</v>
      </c>
      <c r="E24" s="432"/>
      <c r="F24" s="432"/>
      <c r="G24" s="432"/>
      <c r="H24" s="432"/>
      <c r="I24" s="432"/>
      <c r="J24" s="432"/>
      <c r="K24" s="432"/>
      <c r="L24" s="432"/>
      <c r="M24" s="432"/>
      <c r="N24" s="432"/>
      <c r="O24" s="432"/>
      <c r="P24" s="432"/>
      <c r="Q24" s="432"/>
      <c r="R24" s="432"/>
      <c r="S24" s="432"/>
      <c r="T24" s="432"/>
      <c r="U24" s="432"/>
      <c r="V24" s="432"/>
      <c r="W24" s="432"/>
    </row>
    <row r="25" spans="1:24" ht="15" customHeight="1" x14ac:dyDescent="0.3">
      <c r="A25" s="9"/>
      <c r="B25" s="9"/>
      <c r="C25" s="9"/>
      <c r="D25" s="433" t="s">
        <v>318</v>
      </c>
      <c r="E25" s="433"/>
      <c r="F25" s="434" t="s">
        <v>368</v>
      </c>
      <c r="G25" s="434"/>
      <c r="H25" s="434"/>
      <c r="I25" s="434"/>
      <c r="J25" s="434"/>
      <c r="K25" s="434"/>
      <c r="L25" s="434" t="s">
        <v>96</v>
      </c>
      <c r="M25" s="434"/>
      <c r="N25" s="434"/>
      <c r="O25" s="434"/>
      <c r="P25" s="434"/>
      <c r="Q25" s="434"/>
      <c r="R25" s="433" t="s">
        <v>369</v>
      </c>
      <c r="S25" s="433"/>
      <c r="T25" s="433"/>
      <c r="U25" s="433"/>
      <c r="V25" s="433"/>
      <c r="W25" s="433"/>
    </row>
    <row r="26" spans="1:24" ht="14.25" customHeight="1" x14ac:dyDescent="0.3">
      <c r="A26" s="9"/>
      <c r="B26" s="9"/>
      <c r="C26" s="9"/>
      <c r="D26" s="433"/>
      <c r="E26" s="433"/>
      <c r="F26" s="434"/>
      <c r="G26" s="434"/>
      <c r="H26" s="434"/>
      <c r="I26" s="434"/>
      <c r="J26" s="434"/>
      <c r="K26" s="434"/>
      <c r="L26" s="434"/>
      <c r="M26" s="434"/>
      <c r="N26" s="434"/>
      <c r="O26" s="434"/>
      <c r="P26" s="434"/>
      <c r="Q26" s="434"/>
      <c r="R26" s="433"/>
      <c r="S26" s="433"/>
      <c r="T26" s="433"/>
      <c r="U26" s="433"/>
      <c r="V26" s="433"/>
      <c r="W26" s="433"/>
    </row>
    <row r="27" spans="1:24" x14ac:dyDescent="0.3">
      <c r="A27" s="9"/>
      <c r="B27" s="9"/>
      <c r="C27" s="9"/>
      <c r="D27" s="427" t="str">
        <f>Calibración!C37</f>
        <v>psi</v>
      </c>
      <c r="E27" s="427"/>
      <c r="F27" s="428" t="str">
        <f>Calibración!D37</f>
        <v>psi</v>
      </c>
      <c r="G27" s="429"/>
      <c r="H27" s="429"/>
      <c r="I27" s="429"/>
      <c r="J27" s="429"/>
      <c r="K27" s="430"/>
      <c r="L27" s="428" t="str">
        <f>Calibración!E37</f>
        <v>psi</v>
      </c>
      <c r="M27" s="429"/>
      <c r="N27" s="429"/>
      <c r="O27" s="429"/>
      <c r="P27" s="429"/>
      <c r="Q27" s="430"/>
      <c r="R27" s="428" t="str">
        <f>Calibración!F37</f>
        <v>psi</v>
      </c>
      <c r="S27" s="429"/>
      <c r="T27" s="429"/>
      <c r="U27" s="429"/>
      <c r="V27" s="429"/>
      <c r="W27" s="430"/>
    </row>
    <row r="28" spans="1:24" x14ac:dyDescent="0.3">
      <c r="A28" s="9"/>
      <c r="B28" s="9"/>
      <c r="C28" s="9"/>
      <c r="D28" s="421" t="str">
        <f ca="1">Calibración!C38</f>
        <v/>
      </c>
      <c r="E28" s="421"/>
      <c r="F28" s="418" t="str">
        <f ca="1">Calibración!D38</f>
        <v/>
      </c>
      <c r="G28" s="419"/>
      <c r="H28" s="419"/>
      <c r="I28" s="419"/>
      <c r="J28" s="419"/>
      <c r="K28" s="420"/>
      <c r="L28" s="418" t="str">
        <f ca="1">Calibración!E38</f>
        <v/>
      </c>
      <c r="M28" s="419"/>
      <c r="N28" s="419"/>
      <c r="O28" s="419"/>
      <c r="P28" s="419"/>
      <c r="Q28" s="420"/>
      <c r="R28" s="418" t="str">
        <f ca="1">Calibración!F38</f>
        <v/>
      </c>
      <c r="S28" s="419"/>
      <c r="T28" s="419"/>
      <c r="U28" s="419"/>
      <c r="V28" s="419"/>
      <c r="W28" s="420"/>
    </row>
    <row r="29" spans="1:24" x14ac:dyDescent="0.3">
      <c r="A29" s="9"/>
      <c r="B29" s="9"/>
      <c r="C29" s="9"/>
      <c r="D29" s="421" t="str">
        <f ca="1">Calibración!C39</f>
        <v/>
      </c>
      <c r="E29" s="421"/>
      <c r="F29" s="418" t="str">
        <f ca="1">Calibración!D39</f>
        <v/>
      </c>
      <c r="G29" s="419"/>
      <c r="H29" s="419"/>
      <c r="I29" s="419"/>
      <c r="J29" s="419"/>
      <c r="K29" s="420"/>
      <c r="L29" s="418" t="str">
        <f ca="1">Calibración!E39</f>
        <v/>
      </c>
      <c r="M29" s="419"/>
      <c r="N29" s="419"/>
      <c r="O29" s="419"/>
      <c r="P29" s="419"/>
      <c r="Q29" s="420"/>
      <c r="R29" s="418" t="str">
        <f ca="1">Calibración!F39</f>
        <v/>
      </c>
      <c r="S29" s="419"/>
      <c r="T29" s="419"/>
      <c r="U29" s="419"/>
      <c r="V29" s="419"/>
      <c r="W29" s="420"/>
    </row>
    <row r="30" spans="1:24" x14ac:dyDescent="0.3">
      <c r="A30" s="9"/>
      <c r="B30" s="9"/>
      <c r="C30" s="9"/>
      <c r="D30" s="421" t="str">
        <f ca="1">Calibración!C40</f>
        <v/>
      </c>
      <c r="E30" s="421"/>
      <c r="F30" s="418" t="str">
        <f ca="1">Calibración!D40</f>
        <v/>
      </c>
      <c r="G30" s="419"/>
      <c r="H30" s="419"/>
      <c r="I30" s="419"/>
      <c r="J30" s="419"/>
      <c r="K30" s="420"/>
      <c r="L30" s="418" t="str">
        <f ca="1">Calibración!E40</f>
        <v/>
      </c>
      <c r="M30" s="419"/>
      <c r="N30" s="419"/>
      <c r="O30" s="419"/>
      <c r="P30" s="419"/>
      <c r="Q30" s="420"/>
      <c r="R30" s="418" t="str">
        <f ca="1">Calibración!F40</f>
        <v/>
      </c>
      <c r="S30" s="419"/>
      <c r="T30" s="419"/>
      <c r="U30" s="419"/>
      <c r="V30" s="419"/>
      <c r="W30" s="420"/>
    </row>
    <row r="31" spans="1:24" x14ac:dyDescent="0.3">
      <c r="A31" s="9"/>
      <c r="B31" s="9"/>
      <c r="C31" s="9"/>
      <c r="D31" s="421" t="str">
        <f ca="1">Calibración!C41</f>
        <v/>
      </c>
      <c r="E31" s="421"/>
      <c r="F31" s="418" t="str">
        <f ca="1">Calibración!D41</f>
        <v/>
      </c>
      <c r="G31" s="419"/>
      <c r="H31" s="419"/>
      <c r="I31" s="419"/>
      <c r="J31" s="419"/>
      <c r="K31" s="420"/>
      <c r="L31" s="418" t="str">
        <f ca="1">Calibración!E41</f>
        <v/>
      </c>
      <c r="M31" s="419"/>
      <c r="N31" s="419"/>
      <c r="O31" s="419"/>
      <c r="P31" s="419"/>
      <c r="Q31" s="420"/>
      <c r="R31" s="418" t="str">
        <f ca="1">Calibración!F41</f>
        <v/>
      </c>
      <c r="S31" s="419"/>
      <c r="T31" s="419"/>
      <c r="U31" s="419"/>
      <c r="V31" s="419"/>
      <c r="W31" s="420"/>
    </row>
    <row r="32" spans="1:24" x14ac:dyDescent="0.3">
      <c r="A32" s="9"/>
      <c r="B32" s="9"/>
      <c r="C32" s="9"/>
      <c r="D32" s="421" t="str">
        <f ca="1">Calibración!C42</f>
        <v/>
      </c>
      <c r="E32" s="421"/>
      <c r="F32" s="418" t="str">
        <f ca="1">Calibración!D42</f>
        <v/>
      </c>
      <c r="G32" s="419"/>
      <c r="H32" s="419"/>
      <c r="I32" s="419"/>
      <c r="J32" s="419"/>
      <c r="K32" s="420"/>
      <c r="L32" s="418" t="str">
        <f ca="1">Calibración!E42</f>
        <v/>
      </c>
      <c r="M32" s="419"/>
      <c r="N32" s="419"/>
      <c r="O32" s="419"/>
      <c r="P32" s="419"/>
      <c r="Q32" s="420"/>
      <c r="R32" s="418" t="str">
        <f ca="1">Calibración!F42</f>
        <v/>
      </c>
      <c r="S32" s="419"/>
      <c r="T32" s="419"/>
      <c r="U32" s="419"/>
      <c r="V32" s="419"/>
      <c r="W32" s="420"/>
    </row>
    <row r="33" spans="1:23" x14ac:dyDescent="0.3">
      <c r="A33" s="9"/>
      <c r="B33" s="9"/>
      <c r="C33" s="9"/>
      <c r="D33" s="421" t="str">
        <f ca="1">Calibración!C43</f>
        <v/>
      </c>
      <c r="E33" s="421"/>
      <c r="F33" s="418" t="str">
        <f ca="1">Calibración!D43</f>
        <v/>
      </c>
      <c r="G33" s="419"/>
      <c r="H33" s="419"/>
      <c r="I33" s="419"/>
      <c r="J33" s="419"/>
      <c r="K33" s="420"/>
      <c r="L33" s="418" t="str">
        <f ca="1">Calibración!E43</f>
        <v/>
      </c>
      <c r="M33" s="419"/>
      <c r="N33" s="419"/>
      <c r="O33" s="419"/>
      <c r="P33" s="419"/>
      <c r="Q33" s="420"/>
      <c r="R33" s="418" t="str">
        <f ca="1">Calibración!F43</f>
        <v/>
      </c>
      <c r="S33" s="419"/>
      <c r="T33" s="419"/>
      <c r="U33" s="419"/>
      <c r="V33" s="419"/>
      <c r="W33" s="420"/>
    </row>
    <row r="34" spans="1:23" x14ac:dyDescent="0.3">
      <c r="A34" s="9"/>
      <c r="B34" s="9"/>
      <c r="C34" s="9"/>
      <c r="D34" s="421" t="str">
        <f ca="1">Calibración!C44</f>
        <v/>
      </c>
      <c r="E34" s="421"/>
      <c r="F34" s="418" t="str">
        <f ca="1">Calibración!D44</f>
        <v/>
      </c>
      <c r="G34" s="419"/>
      <c r="H34" s="419"/>
      <c r="I34" s="419"/>
      <c r="J34" s="419"/>
      <c r="K34" s="420"/>
      <c r="L34" s="418" t="str">
        <f ca="1">Calibración!E44</f>
        <v/>
      </c>
      <c r="M34" s="419"/>
      <c r="N34" s="419"/>
      <c r="O34" s="419"/>
      <c r="P34" s="419"/>
      <c r="Q34" s="420"/>
      <c r="R34" s="418" t="str">
        <f ca="1">Calibración!F44</f>
        <v/>
      </c>
      <c r="S34" s="419"/>
      <c r="T34" s="419"/>
      <c r="U34" s="419"/>
      <c r="V34" s="419"/>
      <c r="W34" s="420"/>
    </row>
    <row r="35" spans="1:23" x14ac:dyDescent="0.3">
      <c r="A35" s="9"/>
      <c r="B35" s="9"/>
      <c r="C35" s="9"/>
      <c r="D35" s="421" t="str">
        <f ca="1">Calibración!C45</f>
        <v/>
      </c>
      <c r="E35" s="421"/>
      <c r="F35" s="418" t="str">
        <f ca="1">Calibración!D45</f>
        <v/>
      </c>
      <c r="G35" s="419"/>
      <c r="H35" s="419"/>
      <c r="I35" s="419"/>
      <c r="J35" s="419"/>
      <c r="K35" s="420"/>
      <c r="L35" s="418" t="str">
        <f ca="1">Calibración!E45</f>
        <v/>
      </c>
      <c r="M35" s="419"/>
      <c r="N35" s="419"/>
      <c r="O35" s="419"/>
      <c r="P35" s="419"/>
      <c r="Q35" s="420"/>
      <c r="R35" s="418" t="str">
        <f ca="1">Calibración!F45</f>
        <v/>
      </c>
      <c r="S35" s="419"/>
      <c r="T35" s="419"/>
      <c r="U35" s="419"/>
      <c r="V35" s="419"/>
      <c r="W35" s="420"/>
    </row>
    <row r="36" spans="1:23" x14ac:dyDescent="0.3">
      <c r="A36" s="9"/>
      <c r="B36" s="9"/>
      <c r="C36" s="9"/>
      <c r="D36" s="421" t="str">
        <f ca="1">Calibración!C46</f>
        <v/>
      </c>
      <c r="E36" s="421"/>
      <c r="F36" s="418" t="str">
        <f ca="1">Calibración!D46</f>
        <v/>
      </c>
      <c r="G36" s="419"/>
      <c r="H36" s="419"/>
      <c r="I36" s="419"/>
      <c r="J36" s="419"/>
      <c r="K36" s="420"/>
      <c r="L36" s="418" t="str">
        <f ca="1">Calibración!E46</f>
        <v/>
      </c>
      <c r="M36" s="419"/>
      <c r="N36" s="419"/>
      <c r="O36" s="419"/>
      <c r="P36" s="419"/>
      <c r="Q36" s="420"/>
      <c r="R36" s="418" t="str">
        <f ca="1">Calibración!F46</f>
        <v/>
      </c>
      <c r="S36" s="419"/>
      <c r="T36" s="419"/>
      <c r="U36" s="419"/>
      <c r="V36" s="419"/>
      <c r="W36" s="420"/>
    </row>
    <row r="37" spans="1:23" x14ac:dyDescent="0.3">
      <c r="A37" s="9"/>
      <c r="B37" s="9"/>
      <c r="C37" s="9"/>
      <c r="D37" s="421" t="str">
        <f ca="1">Calibración!C47</f>
        <v/>
      </c>
      <c r="E37" s="421"/>
      <c r="F37" s="418" t="str">
        <f ca="1">Calibración!D47</f>
        <v/>
      </c>
      <c r="G37" s="419"/>
      <c r="H37" s="419"/>
      <c r="I37" s="419"/>
      <c r="J37" s="419"/>
      <c r="K37" s="420"/>
      <c r="L37" s="418" t="str">
        <f ca="1">Calibración!E47</f>
        <v/>
      </c>
      <c r="M37" s="419"/>
      <c r="N37" s="419"/>
      <c r="O37" s="419"/>
      <c r="P37" s="419"/>
      <c r="Q37" s="420"/>
      <c r="R37" s="418" t="str">
        <f ca="1">Calibración!F47</f>
        <v/>
      </c>
      <c r="S37" s="419"/>
      <c r="T37" s="419"/>
      <c r="U37" s="419"/>
      <c r="V37" s="419"/>
      <c r="W37" s="420"/>
    </row>
    <row r="38" spans="1:23" x14ac:dyDescent="0.3">
      <c r="A38" s="9"/>
      <c r="B38" s="9"/>
      <c r="C38" s="9"/>
      <c r="D38" s="350"/>
      <c r="E38" s="350"/>
      <c r="F38" s="350"/>
      <c r="G38" s="350"/>
      <c r="H38" s="350"/>
      <c r="I38" s="350"/>
      <c r="J38" s="350"/>
      <c r="K38" s="350"/>
      <c r="L38" s="350"/>
      <c r="M38" s="350"/>
      <c r="N38" s="350"/>
      <c r="O38" s="350"/>
      <c r="P38" s="350"/>
      <c r="Q38" s="350"/>
      <c r="R38" s="350"/>
      <c r="S38" s="350"/>
      <c r="T38" s="350"/>
      <c r="U38" s="350"/>
      <c r="V38" s="350"/>
      <c r="W38" s="350"/>
    </row>
    <row r="39" spans="1:23" x14ac:dyDescent="0.3">
      <c r="A39" s="9"/>
      <c r="B39" s="9"/>
      <c r="C39" s="9"/>
      <c r="D39" s="350"/>
      <c r="E39" s="350"/>
      <c r="F39" s="350"/>
      <c r="G39" s="350"/>
      <c r="H39" s="350"/>
      <c r="I39" s="350"/>
      <c r="J39" s="350"/>
      <c r="K39" s="350"/>
      <c r="L39" s="350"/>
      <c r="M39" s="350"/>
      <c r="N39" s="350"/>
      <c r="O39" s="350"/>
      <c r="P39" s="350"/>
      <c r="Q39" s="350"/>
      <c r="R39" s="350"/>
      <c r="S39" s="350"/>
      <c r="T39" s="350"/>
      <c r="U39" s="350"/>
      <c r="V39" s="350"/>
      <c r="W39" s="350"/>
    </row>
    <row r="40" spans="1:23" x14ac:dyDescent="0.3">
      <c r="A40" s="9"/>
      <c r="B40" s="9"/>
      <c r="C40" s="9"/>
      <c r="D40" s="350"/>
      <c r="E40" s="350"/>
      <c r="F40" s="350"/>
      <c r="G40" s="350"/>
      <c r="H40" s="350"/>
      <c r="I40" s="350"/>
      <c r="J40" s="350"/>
      <c r="K40" s="350"/>
      <c r="L40" s="350"/>
      <c r="M40" s="350"/>
      <c r="N40" s="350"/>
      <c r="O40" s="350"/>
      <c r="P40" s="350"/>
      <c r="Q40" s="350"/>
      <c r="R40" s="350"/>
      <c r="S40" s="350"/>
      <c r="T40" s="350"/>
      <c r="U40" s="350"/>
      <c r="V40" s="350"/>
      <c r="W40" s="350"/>
    </row>
    <row r="41" spans="1:23" x14ac:dyDescent="0.3">
      <c r="A41" s="9"/>
      <c r="B41" s="9"/>
      <c r="C41" s="9"/>
      <c r="D41" s="350"/>
      <c r="E41" s="350"/>
      <c r="F41" s="350"/>
      <c r="G41" s="350"/>
      <c r="H41" s="350"/>
      <c r="I41" s="350"/>
      <c r="J41" s="350"/>
      <c r="K41" s="350"/>
      <c r="L41" s="350"/>
      <c r="M41" s="350"/>
      <c r="N41" s="350"/>
      <c r="O41" s="350"/>
      <c r="P41" s="350"/>
      <c r="Q41" s="350"/>
      <c r="R41" s="350"/>
      <c r="S41" s="350"/>
      <c r="T41" s="350"/>
      <c r="U41" s="350"/>
      <c r="V41" s="350"/>
      <c r="W41" s="350"/>
    </row>
    <row r="42" spans="1:23" x14ac:dyDescent="0.3">
      <c r="A42" s="9"/>
      <c r="B42" s="9"/>
      <c r="C42" s="9"/>
      <c r="D42" s="350"/>
      <c r="E42" s="350"/>
      <c r="F42" s="350"/>
      <c r="G42" s="350"/>
      <c r="H42" s="350"/>
      <c r="I42" s="350"/>
      <c r="J42" s="350"/>
      <c r="K42" s="350"/>
      <c r="L42" s="350"/>
      <c r="M42" s="350"/>
      <c r="N42" s="350"/>
      <c r="O42" s="350"/>
      <c r="P42" s="350"/>
      <c r="Q42" s="350"/>
      <c r="R42" s="350"/>
      <c r="S42" s="350"/>
      <c r="T42" s="350"/>
      <c r="U42" s="350"/>
      <c r="V42" s="350"/>
      <c r="W42" s="350"/>
    </row>
    <row r="43" spans="1:23" x14ac:dyDescent="0.3">
      <c r="A43" s="9"/>
      <c r="B43" s="9"/>
      <c r="C43" s="9"/>
      <c r="D43" s="350"/>
      <c r="E43" s="350"/>
      <c r="F43" s="350"/>
      <c r="G43" s="350"/>
      <c r="H43" s="350"/>
      <c r="I43" s="350"/>
      <c r="J43" s="350"/>
      <c r="K43" s="350"/>
      <c r="L43" s="350"/>
      <c r="M43" s="350"/>
      <c r="N43" s="350"/>
      <c r="O43" s="350"/>
      <c r="P43" s="350"/>
      <c r="Q43" s="350"/>
      <c r="R43" s="350"/>
      <c r="S43" s="350"/>
      <c r="T43" s="350"/>
      <c r="U43" s="350"/>
      <c r="V43" s="350"/>
      <c r="W43" s="350"/>
    </row>
    <row r="44" spans="1:23" x14ac:dyDescent="0.3">
      <c r="A44" s="9"/>
      <c r="B44" s="9"/>
      <c r="C44" s="9"/>
      <c r="D44" s="350"/>
      <c r="E44" s="350"/>
      <c r="F44" s="350"/>
      <c r="G44" s="350"/>
      <c r="H44" s="350"/>
      <c r="I44" s="350"/>
      <c r="J44" s="350"/>
      <c r="K44" s="350"/>
      <c r="L44" s="350"/>
      <c r="M44" s="350"/>
      <c r="N44" s="350"/>
      <c r="O44" s="350"/>
      <c r="P44" s="350"/>
      <c r="Q44" s="350"/>
      <c r="R44" s="350"/>
      <c r="S44" s="350"/>
      <c r="T44" s="350"/>
      <c r="U44" s="350"/>
      <c r="V44" s="350"/>
      <c r="W44" s="350"/>
    </row>
    <row r="45" spans="1:23" x14ac:dyDescent="0.3">
      <c r="A45" s="9"/>
      <c r="B45" s="9"/>
      <c r="C45" s="9"/>
      <c r="D45" s="350"/>
      <c r="E45" s="350"/>
      <c r="F45" s="350"/>
      <c r="G45" s="350"/>
      <c r="H45" s="350"/>
      <c r="I45" s="350"/>
      <c r="J45" s="350"/>
      <c r="K45" s="350"/>
      <c r="L45" s="350"/>
      <c r="M45" s="350"/>
      <c r="N45" s="350"/>
      <c r="O45" s="350"/>
      <c r="P45" s="350"/>
      <c r="Q45" s="350"/>
      <c r="R45" s="350"/>
      <c r="S45" s="350"/>
      <c r="T45" s="350"/>
      <c r="U45" s="350"/>
      <c r="V45" s="350"/>
      <c r="W45" s="350"/>
    </row>
    <row r="46" spans="1:23" x14ac:dyDescent="0.3">
      <c r="A46" s="9"/>
      <c r="B46" s="9"/>
      <c r="C46" s="9"/>
      <c r="D46" s="350"/>
      <c r="E46" s="350"/>
      <c r="F46" s="350"/>
      <c r="G46" s="350"/>
      <c r="H46" s="350"/>
      <c r="I46" s="350"/>
      <c r="J46" s="350"/>
      <c r="K46" s="350"/>
      <c r="L46" s="350"/>
      <c r="M46" s="350"/>
      <c r="N46" s="350"/>
      <c r="O46" s="350"/>
      <c r="P46" s="350"/>
      <c r="Q46" s="350"/>
      <c r="R46" s="350"/>
      <c r="S46" s="350"/>
      <c r="T46" s="350"/>
      <c r="U46" s="350"/>
      <c r="V46" s="350"/>
      <c r="W46" s="350"/>
    </row>
    <row r="47" spans="1:23" x14ac:dyDescent="0.3">
      <c r="A47" s="9"/>
      <c r="B47" s="9"/>
      <c r="C47" s="9"/>
      <c r="D47" s="350"/>
      <c r="E47" s="350"/>
      <c r="F47" s="350"/>
      <c r="G47" s="350"/>
      <c r="H47" s="350"/>
      <c r="I47" s="350"/>
      <c r="J47" s="350"/>
      <c r="K47" s="350"/>
      <c r="L47" s="350"/>
      <c r="M47" s="350"/>
      <c r="N47" s="350"/>
      <c r="O47" s="350"/>
      <c r="P47" s="350"/>
      <c r="Q47" s="350"/>
      <c r="R47" s="350"/>
      <c r="S47" s="350"/>
      <c r="T47" s="350"/>
      <c r="U47" s="350"/>
      <c r="V47" s="350"/>
      <c r="W47" s="350"/>
    </row>
    <row r="48" spans="1:23" x14ac:dyDescent="0.3">
      <c r="A48" s="9"/>
      <c r="B48" s="9"/>
      <c r="C48" s="9"/>
      <c r="D48" s="350"/>
      <c r="E48" s="350"/>
      <c r="F48" s="350"/>
      <c r="G48" s="350"/>
      <c r="H48" s="350"/>
      <c r="I48" s="350"/>
      <c r="J48" s="350"/>
      <c r="K48" s="350"/>
      <c r="L48" s="350"/>
      <c r="M48" s="350"/>
      <c r="N48" s="350"/>
      <c r="O48" s="350"/>
      <c r="P48" s="350"/>
      <c r="Q48" s="350"/>
      <c r="R48" s="350"/>
      <c r="S48" s="350"/>
      <c r="T48" s="350"/>
      <c r="U48" s="350"/>
      <c r="V48" s="350"/>
      <c r="W48" s="350"/>
    </row>
    <row r="49" spans="1:23" x14ac:dyDescent="0.3">
      <c r="D49" s="232"/>
      <c r="E49" s="232"/>
      <c r="F49" s="233"/>
      <c r="G49" s="233"/>
      <c r="H49" s="233"/>
      <c r="I49" s="233"/>
      <c r="J49" s="233"/>
      <c r="K49" s="233"/>
      <c r="L49" s="232"/>
      <c r="M49" s="232"/>
      <c r="N49" s="232"/>
      <c r="O49" s="232"/>
      <c r="P49" s="232"/>
      <c r="Q49" s="232"/>
      <c r="R49" s="232"/>
      <c r="S49" s="232"/>
      <c r="T49" s="232"/>
      <c r="U49" s="232"/>
      <c r="V49" s="232"/>
      <c r="W49" s="232"/>
    </row>
    <row r="50" spans="1:23" x14ac:dyDescent="0.3">
      <c r="D50" s="232"/>
      <c r="E50" s="232"/>
      <c r="F50" s="233"/>
      <c r="G50" s="233"/>
      <c r="H50" s="233"/>
      <c r="I50" s="233"/>
      <c r="J50" s="233"/>
      <c r="K50" s="233"/>
      <c r="L50" s="232"/>
      <c r="M50" s="232"/>
      <c r="N50" s="232"/>
      <c r="O50" s="232"/>
      <c r="P50" s="232"/>
      <c r="Q50" s="232"/>
      <c r="R50" s="232"/>
      <c r="S50" s="232"/>
      <c r="T50" s="232"/>
      <c r="U50" s="232"/>
      <c r="V50" s="232"/>
      <c r="W50" s="232"/>
    </row>
    <row r="51" spans="1:23" x14ac:dyDescent="0.3">
      <c r="D51" s="232"/>
      <c r="E51" s="232"/>
      <c r="F51" s="233"/>
      <c r="G51" s="233"/>
      <c r="H51" s="233"/>
      <c r="I51" s="233"/>
      <c r="J51" s="233"/>
      <c r="K51" s="233"/>
      <c r="L51" s="232"/>
      <c r="M51" s="232"/>
      <c r="N51" s="232"/>
      <c r="O51" s="232"/>
      <c r="P51" s="232"/>
      <c r="Q51" s="232"/>
      <c r="R51" s="232"/>
      <c r="S51" s="232"/>
      <c r="T51" s="232"/>
      <c r="U51" s="232"/>
      <c r="V51" s="232"/>
      <c r="W51" s="232"/>
    </row>
    <row r="52" spans="1:23" x14ac:dyDescent="0.3">
      <c r="D52" s="232"/>
      <c r="E52" s="232"/>
      <c r="F52" s="233"/>
      <c r="G52" s="233"/>
      <c r="H52" s="233"/>
      <c r="I52" s="233"/>
      <c r="J52" s="233"/>
      <c r="K52" s="233"/>
      <c r="L52" s="232"/>
      <c r="M52" s="232"/>
      <c r="N52" s="232"/>
      <c r="O52" s="232"/>
      <c r="P52" s="232"/>
      <c r="Q52" s="232"/>
      <c r="R52" s="232"/>
      <c r="S52" s="232"/>
      <c r="T52" s="232"/>
      <c r="U52" s="232"/>
      <c r="V52" s="232"/>
      <c r="W52" s="232"/>
    </row>
    <row r="53" spans="1:23" x14ac:dyDescent="0.3">
      <c r="D53" s="232"/>
      <c r="E53" s="232"/>
      <c r="F53" s="233"/>
      <c r="G53" s="233"/>
      <c r="H53" s="233"/>
      <c r="I53" s="233"/>
      <c r="J53" s="233"/>
      <c r="K53" s="233"/>
      <c r="L53" s="232"/>
      <c r="M53" s="232"/>
      <c r="N53" s="232"/>
      <c r="O53" s="232"/>
      <c r="P53" s="232"/>
      <c r="Q53" s="232"/>
      <c r="R53" s="232"/>
      <c r="S53" s="232"/>
      <c r="T53" s="232"/>
      <c r="U53" s="232"/>
      <c r="V53" s="232"/>
      <c r="W53" s="232"/>
    </row>
    <row r="54" spans="1:23" x14ac:dyDescent="0.3">
      <c r="D54" s="232"/>
      <c r="E54" s="232"/>
      <c r="F54" s="233"/>
      <c r="G54" s="233"/>
      <c r="H54" s="233"/>
      <c r="I54" s="233"/>
      <c r="J54" s="233"/>
      <c r="K54" s="233"/>
      <c r="L54" s="232"/>
      <c r="M54" s="232"/>
      <c r="N54" s="232"/>
      <c r="O54" s="232"/>
      <c r="P54" s="232"/>
      <c r="Q54" s="232"/>
      <c r="R54" s="232"/>
      <c r="S54" s="232"/>
      <c r="T54" s="232"/>
      <c r="U54" s="232"/>
      <c r="V54" s="232"/>
      <c r="W54" s="232"/>
    </row>
    <row r="55" spans="1:23" x14ac:dyDescent="0.3">
      <c r="D55" s="232"/>
      <c r="E55" s="232"/>
      <c r="F55" s="233"/>
      <c r="G55" s="233"/>
      <c r="H55" s="233"/>
      <c r="I55" s="233"/>
      <c r="J55" s="233"/>
      <c r="K55" s="233"/>
      <c r="L55" s="232"/>
      <c r="M55" s="232"/>
      <c r="N55" s="232"/>
      <c r="O55" s="232"/>
      <c r="P55" s="232"/>
      <c r="Q55" s="232"/>
      <c r="R55" s="232"/>
      <c r="S55" s="232"/>
      <c r="T55" s="232"/>
      <c r="U55" s="232"/>
      <c r="V55" s="232"/>
      <c r="W55" s="232"/>
    </row>
    <row r="56" spans="1:23" x14ac:dyDescent="0.3">
      <c r="D56" s="232"/>
      <c r="E56" s="232"/>
      <c r="F56" s="233"/>
      <c r="G56" s="233"/>
      <c r="H56" s="233"/>
      <c r="I56" s="233"/>
      <c r="J56" s="233"/>
      <c r="K56" s="233"/>
      <c r="L56" s="232"/>
      <c r="M56" s="232"/>
      <c r="N56" s="232"/>
      <c r="O56" s="232"/>
      <c r="P56" s="232"/>
      <c r="Q56" s="232"/>
      <c r="R56" s="232"/>
      <c r="S56" s="232"/>
      <c r="T56" s="232"/>
      <c r="U56" s="232"/>
      <c r="V56" s="232"/>
      <c r="W56" s="232"/>
    </row>
    <row r="57" spans="1:23" x14ac:dyDescent="0.3">
      <c r="D57" s="232"/>
      <c r="E57" s="232"/>
      <c r="F57" s="233"/>
      <c r="G57" s="233"/>
      <c r="H57" s="233"/>
      <c r="I57" s="233"/>
      <c r="J57" s="233"/>
      <c r="K57" s="233"/>
      <c r="L57" s="232"/>
      <c r="M57" s="232"/>
      <c r="N57" s="232"/>
      <c r="O57" s="232"/>
      <c r="P57" s="232"/>
      <c r="Q57" s="232"/>
      <c r="R57" s="232"/>
      <c r="S57" s="232"/>
      <c r="T57" s="232"/>
      <c r="U57" s="232"/>
      <c r="V57" s="232"/>
      <c r="W57" s="232"/>
    </row>
    <row r="58" spans="1:23" x14ac:dyDescent="0.3">
      <c r="D58" s="232"/>
      <c r="E58" s="232"/>
      <c r="F58" s="233"/>
      <c r="G58" s="233"/>
      <c r="H58" s="233"/>
      <c r="I58" s="233"/>
      <c r="J58" s="233"/>
      <c r="K58" s="233"/>
      <c r="L58" s="232"/>
      <c r="M58" s="232"/>
      <c r="N58" s="232"/>
      <c r="O58" s="232"/>
      <c r="P58" s="232"/>
      <c r="Q58" s="232"/>
      <c r="R58" s="232"/>
      <c r="S58" s="232"/>
      <c r="T58" s="232"/>
      <c r="U58" s="232"/>
      <c r="V58" s="232"/>
      <c r="W58" s="232"/>
    </row>
    <row r="59" spans="1:23" x14ac:dyDescent="0.3">
      <c r="D59" s="232"/>
      <c r="E59" s="232"/>
      <c r="F59" s="233"/>
      <c r="G59" s="233"/>
      <c r="H59" s="233"/>
      <c r="I59" s="233"/>
      <c r="J59" s="233"/>
      <c r="K59" s="233"/>
      <c r="L59" s="232"/>
      <c r="M59" s="232"/>
      <c r="N59" s="232"/>
      <c r="O59" s="232"/>
      <c r="P59" s="232"/>
      <c r="Q59" s="232"/>
      <c r="R59" s="232"/>
      <c r="S59" s="232"/>
      <c r="T59" s="232"/>
      <c r="U59" s="232"/>
      <c r="V59" s="232"/>
      <c r="W59" s="232"/>
    </row>
    <row r="60" spans="1:23" x14ac:dyDescent="0.3">
      <c r="A60" s="226" t="s">
        <v>370</v>
      </c>
      <c r="D60" s="232"/>
      <c r="E60" s="232"/>
      <c r="F60" s="233"/>
      <c r="G60" s="233"/>
      <c r="H60" s="233"/>
      <c r="I60" s="233"/>
      <c r="J60" s="233"/>
      <c r="K60" s="233"/>
      <c r="L60" s="232"/>
      <c r="M60" s="232"/>
      <c r="N60" s="232"/>
      <c r="O60" s="232"/>
      <c r="P60" s="232"/>
      <c r="Q60" s="232"/>
      <c r="R60" s="232"/>
      <c r="S60" s="232"/>
      <c r="T60" s="232"/>
      <c r="U60" s="232"/>
      <c r="V60" s="232"/>
      <c r="W60" s="232"/>
    </row>
    <row r="61" spans="1:23" x14ac:dyDescent="0.3">
      <c r="A61" s="9"/>
      <c r="B61" s="9"/>
      <c r="C61" s="9"/>
      <c r="D61" s="432" t="s">
        <v>95</v>
      </c>
      <c r="E61" s="432"/>
      <c r="F61" s="432"/>
      <c r="G61" s="432"/>
      <c r="H61" s="432"/>
      <c r="I61" s="432"/>
      <c r="J61" s="432"/>
      <c r="K61" s="432"/>
      <c r="L61" s="432"/>
      <c r="M61" s="432"/>
      <c r="N61" s="432"/>
      <c r="O61" s="432"/>
      <c r="P61" s="432"/>
      <c r="Q61" s="432"/>
      <c r="R61" s="432"/>
      <c r="S61" s="432"/>
      <c r="T61" s="432"/>
      <c r="U61" s="432"/>
      <c r="V61" s="432"/>
      <c r="W61" s="432"/>
    </row>
    <row r="62" spans="1:23" ht="15" customHeight="1" x14ac:dyDescent="0.3">
      <c r="A62" s="9"/>
      <c r="B62" s="9"/>
      <c r="C62" s="9"/>
      <c r="D62" s="433" t="s">
        <v>318</v>
      </c>
      <c r="E62" s="433"/>
      <c r="F62" s="434" t="s">
        <v>368</v>
      </c>
      <c r="G62" s="434"/>
      <c r="H62" s="434"/>
      <c r="I62" s="434"/>
      <c r="J62" s="434"/>
      <c r="K62" s="434"/>
      <c r="L62" s="434" t="s">
        <v>96</v>
      </c>
      <c r="M62" s="434"/>
      <c r="N62" s="434"/>
      <c r="O62" s="434"/>
      <c r="P62" s="434"/>
      <c r="Q62" s="434"/>
      <c r="R62" s="433" t="s">
        <v>369</v>
      </c>
      <c r="S62" s="433"/>
      <c r="T62" s="433"/>
      <c r="U62" s="433"/>
      <c r="V62" s="433"/>
      <c r="W62" s="433"/>
    </row>
    <row r="63" spans="1:23" x14ac:dyDescent="0.3">
      <c r="A63" s="9"/>
      <c r="B63" s="9"/>
      <c r="C63" s="9"/>
      <c r="D63" s="433"/>
      <c r="E63" s="433"/>
      <c r="F63" s="434"/>
      <c r="G63" s="434"/>
      <c r="H63" s="434"/>
      <c r="I63" s="434"/>
      <c r="J63" s="434"/>
      <c r="K63" s="434"/>
      <c r="L63" s="434"/>
      <c r="M63" s="434"/>
      <c r="N63" s="434"/>
      <c r="O63" s="434"/>
      <c r="P63" s="434"/>
      <c r="Q63" s="434"/>
      <c r="R63" s="433"/>
      <c r="S63" s="433"/>
      <c r="T63" s="433"/>
      <c r="U63" s="433"/>
      <c r="V63" s="433"/>
      <c r="W63" s="433"/>
    </row>
    <row r="64" spans="1:23" x14ac:dyDescent="0.3">
      <c r="A64" s="9"/>
      <c r="B64" s="9"/>
      <c r="C64" s="9"/>
      <c r="D64" s="427" t="str">
        <f>Calibración!G37</f>
        <v>kPa</v>
      </c>
      <c r="E64" s="427"/>
      <c r="F64" s="428" t="str">
        <f>Calibración!H37</f>
        <v>kPa</v>
      </c>
      <c r="G64" s="429"/>
      <c r="H64" s="429"/>
      <c r="I64" s="429"/>
      <c r="J64" s="429"/>
      <c r="K64" s="430"/>
      <c r="L64" s="427" t="str">
        <f>Calibración!I37</f>
        <v>kPa</v>
      </c>
      <c r="M64" s="427"/>
      <c r="N64" s="427"/>
      <c r="O64" s="427"/>
      <c r="P64" s="427"/>
      <c r="Q64" s="427"/>
      <c r="R64" s="427" t="str">
        <f>Calibración!J37</f>
        <v>kPa</v>
      </c>
      <c r="S64" s="427"/>
      <c r="T64" s="427"/>
      <c r="U64" s="427"/>
      <c r="V64" s="427"/>
      <c r="W64" s="427"/>
    </row>
    <row r="65" spans="1:24" x14ac:dyDescent="0.3">
      <c r="A65" s="9"/>
      <c r="B65" s="9"/>
      <c r="C65" s="9"/>
      <c r="D65" s="414" t="str">
        <f ca="1">Calibración!G38</f>
        <v/>
      </c>
      <c r="E65" s="416"/>
      <c r="F65" s="414" t="str">
        <f ca="1">Calibración!H38</f>
        <v/>
      </c>
      <c r="G65" s="415"/>
      <c r="H65" s="415"/>
      <c r="I65" s="415"/>
      <c r="J65" s="415"/>
      <c r="K65" s="416"/>
      <c r="L65" s="417" t="str">
        <f ca="1">Calibración!I38</f>
        <v/>
      </c>
      <c r="M65" s="417"/>
      <c r="N65" s="417"/>
      <c r="O65" s="417"/>
      <c r="P65" s="417"/>
      <c r="Q65" s="417"/>
      <c r="R65" s="417" t="str">
        <f ca="1">Calibración!J38</f>
        <v/>
      </c>
      <c r="S65" s="417"/>
      <c r="T65" s="417"/>
      <c r="U65" s="417"/>
      <c r="V65" s="417"/>
      <c r="W65" s="417"/>
    </row>
    <row r="66" spans="1:24" x14ac:dyDescent="0.3">
      <c r="A66" s="9"/>
      <c r="B66" s="9"/>
      <c r="C66" s="9"/>
      <c r="D66" s="414" t="str">
        <f ca="1">Calibración!G39</f>
        <v/>
      </c>
      <c r="E66" s="416"/>
      <c r="F66" s="414" t="str">
        <f ca="1">Calibración!H39</f>
        <v/>
      </c>
      <c r="G66" s="415"/>
      <c r="H66" s="415"/>
      <c r="I66" s="415"/>
      <c r="J66" s="415"/>
      <c r="K66" s="416"/>
      <c r="L66" s="417" t="str">
        <f ca="1">Calibración!I39</f>
        <v/>
      </c>
      <c r="M66" s="417"/>
      <c r="N66" s="417"/>
      <c r="O66" s="417"/>
      <c r="P66" s="417"/>
      <c r="Q66" s="417"/>
      <c r="R66" s="417" t="str">
        <f ca="1">Calibración!J39</f>
        <v/>
      </c>
      <c r="S66" s="417"/>
      <c r="T66" s="417"/>
      <c r="U66" s="417"/>
      <c r="V66" s="417"/>
      <c r="W66" s="417"/>
    </row>
    <row r="67" spans="1:24" x14ac:dyDescent="0.3">
      <c r="A67" s="9"/>
      <c r="B67" s="9"/>
      <c r="C67" s="9"/>
      <c r="D67" s="414" t="str">
        <f ca="1">Calibración!G40</f>
        <v/>
      </c>
      <c r="E67" s="416"/>
      <c r="F67" s="414" t="str">
        <f ca="1">Calibración!H40</f>
        <v/>
      </c>
      <c r="G67" s="415"/>
      <c r="H67" s="415"/>
      <c r="I67" s="415"/>
      <c r="J67" s="415"/>
      <c r="K67" s="416"/>
      <c r="L67" s="417" t="str">
        <f ca="1">Calibración!I40</f>
        <v/>
      </c>
      <c r="M67" s="417"/>
      <c r="N67" s="417"/>
      <c r="O67" s="417"/>
      <c r="P67" s="417"/>
      <c r="Q67" s="417"/>
      <c r="R67" s="417" t="str">
        <f ca="1">Calibración!J40</f>
        <v/>
      </c>
      <c r="S67" s="417"/>
      <c r="T67" s="417"/>
      <c r="U67" s="417"/>
      <c r="V67" s="417"/>
      <c r="W67" s="417"/>
    </row>
    <row r="68" spans="1:24" x14ac:dyDescent="0.3">
      <c r="A68" s="9"/>
      <c r="B68" s="9"/>
      <c r="C68" s="9"/>
      <c r="D68" s="414" t="str">
        <f ca="1">Calibración!G41</f>
        <v/>
      </c>
      <c r="E68" s="416"/>
      <c r="F68" s="414" t="str">
        <f ca="1">Calibración!H41</f>
        <v/>
      </c>
      <c r="G68" s="415"/>
      <c r="H68" s="415"/>
      <c r="I68" s="415"/>
      <c r="J68" s="415"/>
      <c r="K68" s="416"/>
      <c r="L68" s="417" t="str">
        <f ca="1">Calibración!I41</f>
        <v/>
      </c>
      <c r="M68" s="417"/>
      <c r="N68" s="417"/>
      <c r="O68" s="417"/>
      <c r="P68" s="417"/>
      <c r="Q68" s="417"/>
      <c r="R68" s="417" t="str">
        <f ca="1">Calibración!J41</f>
        <v/>
      </c>
      <c r="S68" s="417"/>
      <c r="T68" s="417"/>
      <c r="U68" s="417"/>
      <c r="V68" s="417"/>
      <c r="W68" s="417"/>
    </row>
    <row r="69" spans="1:24" x14ac:dyDescent="0.3">
      <c r="A69" s="9"/>
      <c r="B69" s="9"/>
      <c r="C69" s="9"/>
      <c r="D69" s="414" t="str">
        <f ca="1">Calibración!G42</f>
        <v/>
      </c>
      <c r="E69" s="416"/>
      <c r="F69" s="414" t="str">
        <f ca="1">Calibración!H42</f>
        <v/>
      </c>
      <c r="G69" s="415"/>
      <c r="H69" s="415"/>
      <c r="I69" s="415"/>
      <c r="J69" s="415"/>
      <c r="K69" s="416"/>
      <c r="L69" s="417" t="str">
        <f ca="1">Calibración!I42</f>
        <v/>
      </c>
      <c r="M69" s="417"/>
      <c r="N69" s="417"/>
      <c r="O69" s="417"/>
      <c r="P69" s="417"/>
      <c r="Q69" s="417"/>
      <c r="R69" s="417" t="str">
        <f ca="1">Calibración!J42</f>
        <v/>
      </c>
      <c r="S69" s="417"/>
      <c r="T69" s="417"/>
      <c r="U69" s="417"/>
      <c r="V69" s="417"/>
      <c r="W69" s="417"/>
    </row>
    <row r="70" spans="1:24" x14ac:dyDescent="0.3">
      <c r="A70" s="9"/>
      <c r="B70" s="9"/>
      <c r="C70" s="9"/>
      <c r="D70" s="414" t="str">
        <f ca="1">Calibración!G43</f>
        <v/>
      </c>
      <c r="E70" s="416"/>
      <c r="F70" s="414" t="str">
        <f ca="1">Calibración!H43</f>
        <v/>
      </c>
      <c r="G70" s="415"/>
      <c r="H70" s="415"/>
      <c r="I70" s="415"/>
      <c r="J70" s="415"/>
      <c r="K70" s="416"/>
      <c r="L70" s="417" t="str">
        <f ca="1">Calibración!I43</f>
        <v/>
      </c>
      <c r="M70" s="417"/>
      <c r="N70" s="417"/>
      <c r="O70" s="417"/>
      <c r="P70" s="417"/>
      <c r="Q70" s="417"/>
      <c r="R70" s="417" t="str">
        <f ca="1">Calibración!J43</f>
        <v/>
      </c>
      <c r="S70" s="417"/>
      <c r="T70" s="417"/>
      <c r="U70" s="417"/>
      <c r="V70" s="417"/>
      <c r="W70" s="417"/>
    </row>
    <row r="71" spans="1:24" x14ac:dyDescent="0.3">
      <c r="A71" s="9"/>
      <c r="B71" s="9"/>
      <c r="C71" s="9"/>
      <c r="D71" s="414" t="str">
        <f ca="1">Calibración!G44</f>
        <v/>
      </c>
      <c r="E71" s="416"/>
      <c r="F71" s="414" t="str">
        <f ca="1">Calibración!H44</f>
        <v/>
      </c>
      <c r="G71" s="415"/>
      <c r="H71" s="415"/>
      <c r="I71" s="415"/>
      <c r="J71" s="415"/>
      <c r="K71" s="416"/>
      <c r="L71" s="417" t="str">
        <f ca="1">Calibración!I44</f>
        <v/>
      </c>
      <c r="M71" s="417"/>
      <c r="N71" s="417"/>
      <c r="O71" s="417"/>
      <c r="P71" s="417"/>
      <c r="Q71" s="417"/>
      <c r="R71" s="417" t="str">
        <f ca="1">Calibración!J44</f>
        <v/>
      </c>
      <c r="S71" s="417"/>
      <c r="T71" s="417"/>
      <c r="U71" s="417"/>
      <c r="V71" s="417"/>
      <c r="W71" s="417"/>
    </row>
    <row r="72" spans="1:24" x14ac:dyDescent="0.3">
      <c r="A72" s="9"/>
      <c r="B72" s="9"/>
      <c r="C72" s="9"/>
      <c r="D72" s="414" t="str">
        <f ca="1">Calibración!G45</f>
        <v/>
      </c>
      <c r="E72" s="416"/>
      <c r="F72" s="414" t="str">
        <f ca="1">Calibración!H45</f>
        <v/>
      </c>
      <c r="G72" s="415"/>
      <c r="H72" s="415"/>
      <c r="I72" s="415"/>
      <c r="J72" s="415"/>
      <c r="K72" s="416"/>
      <c r="L72" s="417" t="str">
        <f ca="1">Calibración!I45</f>
        <v/>
      </c>
      <c r="M72" s="417"/>
      <c r="N72" s="417"/>
      <c r="O72" s="417"/>
      <c r="P72" s="417"/>
      <c r="Q72" s="417"/>
      <c r="R72" s="417" t="str">
        <f ca="1">Calibración!J45</f>
        <v/>
      </c>
      <c r="S72" s="417"/>
      <c r="T72" s="417"/>
      <c r="U72" s="417"/>
      <c r="V72" s="417"/>
      <c r="W72" s="417"/>
    </row>
    <row r="73" spans="1:24" x14ac:dyDescent="0.3">
      <c r="A73" s="9"/>
      <c r="B73" s="9"/>
      <c r="C73" s="9"/>
      <c r="D73" s="414" t="str">
        <f ca="1">Calibración!G46</f>
        <v/>
      </c>
      <c r="E73" s="416"/>
      <c r="F73" s="414" t="str">
        <f ca="1">Calibración!H46</f>
        <v/>
      </c>
      <c r="G73" s="415"/>
      <c r="H73" s="415"/>
      <c r="I73" s="415"/>
      <c r="J73" s="415"/>
      <c r="K73" s="416"/>
      <c r="L73" s="417" t="str">
        <f ca="1">Calibración!I46</f>
        <v/>
      </c>
      <c r="M73" s="417"/>
      <c r="N73" s="417"/>
      <c r="O73" s="417"/>
      <c r="P73" s="417"/>
      <c r="Q73" s="417"/>
      <c r="R73" s="417" t="str">
        <f ca="1">Calibración!J46</f>
        <v/>
      </c>
      <c r="S73" s="417"/>
      <c r="T73" s="417"/>
      <c r="U73" s="417"/>
      <c r="V73" s="417"/>
      <c r="W73" s="417"/>
    </row>
    <row r="74" spans="1:24" x14ac:dyDescent="0.3">
      <c r="A74" s="9"/>
      <c r="B74" s="9"/>
      <c r="C74" s="9"/>
      <c r="D74" s="414" t="str">
        <f ca="1">Calibración!G47</f>
        <v/>
      </c>
      <c r="E74" s="416"/>
      <c r="F74" s="414" t="str">
        <f ca="1">Calibración!H47</f>
        <v/>
      </c>
      <c r="G74" s="415"/>
      <c r="H74" s="415"/>
      <c r="I74" s="415"/>
      <c r="J74" s="415"/>
      <c r="K74" s="416"/>
      <c r="L74" s="417" t="str">
        <f ca="1">Calibración!I47</f>
        <v/>
      </c>
      <c r="M74" s="417"/>
      <c r="N74" s="417"/>
      <c r="O74" s="417"/>
      <c r="P74" s="417"/>
      <c r="Q74" s="417"/>
      <c r="R74" s="417" t="str">
        <f ca="1">Calibración!J47</f>
        <v/>
      </c>
      <c r="S74" s="417"/>
      <c r="T74" s="417"/>
      <c r="U74" s="417"/>
      <c r="V74" s="417"/>
      <c r="W74" s="417"/>
    </row>
    <row r="75" spans="1:24" x14ac:dyDescent="0.3">
      <c r="A75" s="9"/>
      <c r="B75" s="9"/>
      <c r="C75" s="9"/>
      <c r="D75" s="351"/>
      <c r="E75" s="351"/>
      <c r="F75" s="351"/>
      <c r="G75" s="351"/>
      <c r="H75" s="351"/>
      <c r="I75" s="351"/>
      <c r="J75" s="351"/>
      <c r="K75" s="351"/>
      <c r="L75" s="351"/>
      <c r="M75" s="351"/>
      <c r="N75" s="351"/>
      <c r="O75" s="351"/>
      <c r="P75" s="351"/>
      <c r="Q75" s="351"/>
      <c r="R75" s="351"/>
      <c r="S75" s="351"/>
      <c r="T75" s="351"/>
      <c r="U75" s="351"/>
      <c r="V75" s="351"/>
      <c r="W75" s="351"/>
    </row>
    <row r="76" spans="1:24" x14ac:dyDescent="0.3">
      <c r="A76" s="9"/>
      <c r="B76" s="9"/>
      <c r="C76" s="9"/>
      <c r="D76" s="351"/>
      <c r="E76" s="351"/>
      <c r="F76" s="351"/>
      <c r="G76" s="351"/>
      <c r="H76" s="351"/>
      <c r="I76" s="351"/>
      <c r="J76" s="351"/>
      <c r="K76" s="351"/>
      <c r="L76" s="351"/>
      <c r="M76" s="351"/>
      <c r="N76" s="351"/>
      <c r="O76" s="351"/>
      <c r="P76" s="351"/>
      <c r="Q76" s="351"/>
      <c r="R76" s="351"/>
      <c r="S76" s="351"/>
      <c r="T76" s="351"/>
      <c r="U76" s="351"/>
      <c r="V76" s="351"/>
      <c r="W76" s="351"/>
    </row>
    <row r="77" spans="1:24" x14ac:dyDescent="0.3">
      <c r="A77" s="9"/>
      <c r="B77" s="9"/>
      <c r="C77" s="9"/>
      <c r="D77" s="351"/>
      <c r="E77" s="351"/>
      <c r="F77" s="351"/>
      <c r="G77" s="351"/>
      <c r="H77" s="351"/>
      <c r="I77" s="351"/>
      <c r="J77" s="351"/>
      <c r="K77" s="351"/>
      <c r="L77" s="351"/>
      <c r="M77" s="351"/>
      <c r="N77" s="351"/>
      <c r="O77" s="351"/>
      <c r="P77" s="351"/>
      <c r="Q77" s="351"/>
      <c r="R77" s="351"/>
      <c r="S77" s="351"/>
      <c r="T77" s="351"/>
      <c r="U77" s="351"/>
      <c r="V77" s="351"/>
      <c r="W77" s="351"/>
    </row>
    <row r="79" spans="1:24" x14ac:dyDescent="0.3">
      <c r="A79" s="226" t="s">
        <v>371</v>
      </c>
      <c r="B79" s="9"/>
      <c r="C79" s="9"/>
      <c r="D79" s="9"/>
      <c r="E79" s="9"/>
      <c r="F79" s="234" t="s">
        <v>99</v>
      </c>
      <c r="H79" s="9"/>
      <c r="I79" s="9"/>
      <c r="J79" s="234" t="str">
        <f>General!I4</f>
        <v>NI-MCPPT-01</v>
      </c>
      <c r="L79" s="9"/>
      <c r="O79" s="226" t="s">
        <v>372</v>
      </c>
      <c r="P79" s="9"/>
      <c r="Q79" s="9"/>
      <c r="R79" s="9"/>
      <c r="S79" s="9"/>
      <c r="T79" s="9"/>
      <c r="U79" s="9"/>
      <c r="V79" s="9"/>
      <c r="W79" s="9"/>
      <c r="X79" s="9"/>
    </row>
    <row r="80" spans="1:24" x14ac:dyDescent="0.3">
      <c r="A80" s="235"/>
      <c r="B80" s="442" t="s">
        <v>373</v>
      </c>
      <c r="C80" s="442"/>
      <c r="D80" s="442"/>
      <c r="E80" s="236">
        <f>CertTempC</f>
        <v>19.5</v>
      </c>
      <c r="F80" s="237" t="s">
        <v>374</v>
      </c>
      <c r="G80" s="238">
        <f>CertTempIncerti</f>
        <v>0.3</v>
      </c>
      <c r="H80" s="235" t="s">
        <v>97</v>
      </c>
      <c r="I80" s="9"/>
      <c r="J80" s="9"/>
      <c r="K80" s="425"/>
      <c r="L80" s="425"/>
      <c r="M80" s="9"/>
      <c r="N80" s="9"/>
      <c r="O80" s="9"/>
      <c r="P80" s="235" t="s">
        <v>375</v>
      </c>
      <c r="Q80" s="9"/>
      <c r="R80" s="9"/>
      <c r="S80" s="9"/>
      <c r="T80" s="443">
        <f>General!I18</f>
        <v>1001</v>
      </c>
      <c r="U80" s="443"/>
      <c r="V80" s="237" t="s">
        <v>376</v>
      </c>
      <c r="W80" s="236">
        <f>CertPresIncert</f>
        <v>10</v>
      </c>
      <c r="X80" s="9"/>
    </row>
    <row r="81" spans="1:24" x14ac:dyDescent="0.3">
      <c r="A81" s="235"/>
      <c r="B81" s="235" t="s">
        <v>377</v>
      </c>
      <c r="C81" s="235"/>
      <c r="D81" s="235"/>
      <c r="E81" s="236">
        <f>CertHR</f>
        <v>12.166666666666666</v>
      </c>
      <c r="F81" s="237" t="s">
        <v>378</v>
      </c>
      <c r="G81" s="238">
        <f>CertHRIncerti</f>
        <v>1.3</v>
      </c>
      <c r="H81" s="237" t="s">
        <v>379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5"/>
      <c r="B82" s="235"/>
      <c r="C82" s="235"/>
      <c r="D82" s="235"/>
      <c r="E82" s="236"/>
      <c r="F82" s="237"/>
      <c r="G82" s="238"/>
      <c r="H82" s="237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35"/>
      <c r="B83" s="235"/>
      <c r="C83" s="235"/>
      <c r="D83" s="235"/>
      <c r="E83" s="236"/>
      <c r="F83" s="237"/>
      <c r="G83" s="238"/>
      <c r="H83" s="237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x14ac:dyDescent="0.3">
      <c r="A84" s="235"/>
      <c r="B84" s="235"/>
      <c r="C84" s="235"/>
      <c r="D84" s="235"/>
      <c r="E84" s="236"/>
      <c r="F84" s="237"/>
      <c r="G84" s="238"/>
      <c r="H84" s="237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x14ac:dyDescent="0.3">
      <c r="A85" s="235"/>
      <c r="B85" s="235"/>
      <c r="C85" s="235"/>
      <c r="D85" s="235"/>
      <c r="E85" s="236"/>
      <c r="F85" s="237"/>
      <c r="G85" s="238"/>
      <c r="H85" s="237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x14ac:dyDescent="0.3">
      <c r="A86" s="235"/>
      <c r="B86" s="235"/>
      <c r="C86" s="235"/>
      <c r="D86" s="235"/>
      <c r="E86" s="236"/>
      <c r="F86" s="237"/>
      <c r="G86" s="238"/>
      <c r="H86" s="237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x14ac:dyDescent="0.3">
      <c r="A87" s="235"/>
      <c r="B87" s="235"/>
      <c r="C87" s="235"/>
      <c r="D87" s="235"/>
      <c r="E87" s="236"/>
      <c r="F87" s="237"/>
      <c r="G87" s="238"/>
      <c r="H87" s="237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x14ac:dyDescent="0.3">
      <c r="A88" s="235"/>
      <c r="B88" s="235"/>
      <c r="C88" s="235"/>
      <c r="D88" s="235"/>
      <c r="E88" s="236"/>
      <c r="F88" s="237"/>
      <c r="G88" s="238"/>
      <c r="H88" s="237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x14ac:dyDescent="0.3">
      <c r="A89" s="235"/>
      <c r="B89" s="235"/>
      <c r="C89" s="235"/>
      <c r="D89" s="235"/>
      <c r="E89" s="236"/>
      <c r="F89" s="237"/>
      <c r="G89" s="238"/>
      <c r="H89" s="237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x14ac:dyDescent="0.3">
      <c r="A90" s="235"/>
      <c r="B90" s="235"/>
      <c r="C90" s="235"/>
      <c r="D90" s="235"/>
      <c r="E90" s="236"/>
      <c r="F90" s="237"/>
      <c r="G90" s="238"/>
      <c r="H90" s="237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x14ac:dyDescent="0.3">
      <c r="A91" s="235"/>
      <c r="B91" s="235"/>
      <c r="C91" s="235"/>
      <c r="D91" s="235"/>
      <c r="E91" s="236"/>
      <c r="F91" s="237"/>
      <c r="G91" s="238"/>
      <c r="H91" s="237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x14ac:dyDescent="0.3">
      <c r="A92" s="226" t="s">
        <v>354</v>
      </c>
      <c r="B92" s="9"/>
      <c r="C92" s="227"/>
      <c r="D92" s="228"/>
      <c r="E92" s="228"/>
      <c r="F92" s="228"/>
      <c r="G92" s="9"/>
      <c r="H92" s="9"/>
      <c r="I92" s="9"/>
      <c r="J92" s="9"/>
      <c r="K92" s="9"/>
      <c r="L92" s="9"/>
      <c r="M92" s="9"/>
      <c r="N92" s="423" t="str">
        <f>N8</f>
        <v>NI-MC-P-XXXX-2024</v>
      </c>
      <c r="O92" s="423"/>
      <c r="P92" s="423"/>
      <c r="Q92" s="423"/>
      <c r="R92" s="423"/>
      <c r="S92" s="423"/>
      <c r="T92" s="423"/>
      <c r="U92" s="423"/>
      <c r="V92" s="423"/>
      <c r="W92" s="423"/>
    </row>
    <row r="93" spans="1:24" x14ac:dyDescent="0.3">
      <c r="A93" s="226"/>
      <c r="B93" s="9"/>
      <c r="C93" s="227"/>
      <c r="D93" s="228"/>
      <c r="E93" s="228"/>
      <c r="F93" s="228"/>
      <c r="G93" s="9"/>
      <c r="H93" s="9"/>
      <c r="I93" s="9"/>
      <c r="J93" s="9"/>
      <c r="K93" s="9"/>
      <c r="L93" s="9"/>
      <c r="M93" s="9"/>
      <c r="N93" s="250"/>
      <c r="O93" s="250"/>
      <c r="P93" s="250"/>
      <c r="Q93" s="250"/>
      <c r="R93" s="250"/>
      <c r="S93" s="250"/>
      <c r="T93" s="250"/>
      <c r="U93" s="250"/>
      <c r="V93" s="250"/>
      <c r="W93" s="250"/>
    </row>
    <row r="94" spans="1:24" x14ac:dyDescent="0.3">
      <c r="A94" s="226"/>
      <c r="B94" s="9"/>
      <c r="C94" s="227"/>
      <c r="D94" s="228"/>
      <c r="E94" s="228"/>
      <c r="F94" s="228"/>
      <c r="G94" s="9"/>
      <c r="H94" s="9"/>
      <c r="I94" s="9"/>
      <c r="J94" s="9"/>
      <c r="K94" s="9"/>
      <c r="L94" s="9"/>
      <c r="M94" s="9"/>
      <c r="N94" s="250"/>
      <c r="O94" s="250"/>
      <c r="P94" s="250"/>
      <c r="Q94" s="250"/>
      <c r="R94" s="250"/>
      <c r="S94" s="250"/>
      <c r="T94" s="250"/>
      <c r="U94" s="250"/>
      <c r="V94" s="250"/>
      <c r="W94" s="250"/>
    </row>
    <row r="95" spans="1:24" x14ac:dyDescent="0.3">
      <c r="A95" s="226" t="s">
        <v>380</v>
      </c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</row>
    <row r="96" spans="1:24" ht="15" customHeight="1" x14ac:dyDescent="0.3">
      <c r="A96" s="435" t="s">
        <v>504</v>
      </c>
      <c r="B96" s="435"/>
      <c r="C96" s="435"/>
      <c r="D96" s="435"/>
      <c r="E96" s="435"/>
      <c r="F96" s="435"/>
      <c r="G96" s="435"/>
      <c r="H96" s="435"/>
      <c r="I96" s="435"/>
      <c r="J96" s="435"/>
      <c r="K96" s="435"/>
      <c r="L96" s="435"/>
      <c r="M96" s="435"/>
      <c r="N96" s="435"/>
      <c r="O96" s="435"/>
      <c r="P96" s="435"/>
      <c r="Q96" s="435"/>
      <c r="R96" s="435"/>
      <c r="S96" s="435"/>
      <c r="T96" s="435"/>
      <c r="U96" s="435"/>
      <c r="V96" s="435"/>
      <c r="W96" s="435"/>
      <c r="X96" s="435"/>
    </row>
    <row r="97" spans="1:24" x14ac:dyDescent="0.3"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</row>
    <row r="98" spans="1:24" ht="15" customHeight="1" x14ac:dyDescent="0.3">
      <c r="A98" s="226" t="s">
        <v>381</v>
      </c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</row>
    <row r="99" spans="1:24" x14ac:dyDescent="0.3">
      <c r="A99" s="435" t="s">
        <v>382</v>
      </c>
      <c r="B99" s="435"/>
      <c r="C99" s="435"/>
      <c r="D99" s="435"/>
      <c r="E99" s="435"/>
      <c r="F99" s="435"/>
      <c r="G99" s="435"/>
      <c r="H99" s="435"/>
      <c r="I99" s="435"/>
      <c r="J99" s="435"/>
      <c r="K99" s="435"/>
      <c r="L99" s="435"/>
      <c r="M99" s="435"/>
      <c r="N99" s="435"/>
      <c r="O99" s="435"/>
      <c r="P99" s="435"/>
      <c r="Q99" s="435"/>
      <c r="R99" s="435"/>
      <c r="S99" s="435"/>
      <c r="T99" s="435"/>
      <c r="U99" s="435"/>
      <c r="V99" s="435"/>
      <c r="W99" s="435"/>
      <c r="X99" s="435"/>
    </row>
    <row r="100" spans="1:24" ht="15" customHeight="1" x14ac:dyDescent="0.3">
      <c r="A100" s="435"/>
      <c r="B100" s="435"/>
      <c r="C100" s="435"/>
      <c r="D100" s="435"/>
      <c r="E100" s="435"/>
      <c r="F100" s="435"/>
      <c r="G100" s="435"/>
      <c r="H100" s="435"/>
      <c r="I100" s="435"/>
      <c r="J100" s="435"/>
      <c r="K100" s="435"/>
      <c r="L100" s="435"/>
      <c r="M100" s="435"/>
      <c r="N100" s="435"/>
      <c r="O100" s="435"/>
      <c r="P100" s="435"/>
      <c r="Q100" s="435"/>
      <c r="R100" s="435"/>
      <c r="S100" s="435"/>
      <c r="T100" s="435"/>
      <c r="U100" s="435"/>
      <c r="V100" s="435"/>
      <c r="W100" s="435"/>
      <c r="X100" s="435"/>
    </row>
    <row r="101" spans="1:24" ht="15" customHeight="1" x14ac:dyDescent="0.3">
      <c r="A101" s="435"/>
      <c r="B101" s="435"/>
      <c r="C101" s="435"/>
      <c r="D101" s="435"/>
      <c r="E101" s="435"/>
      <c r="F101" s="435"/>
      <c r="G101" s="435"/>
      <c r="H101" s="435"/>
      <c r="I101" s="435"/>
      <c r="J101" s="435"/>
      <c r="K101" s="435"/>
      <c r="L101" s="435"/>
      <c r="M101" s="435"/>
      <c r="N101" s="435"/>
      <c r="O101" s="435"/>
      <c r="P101" s="435"/>
      <c r="Q101" s="435"/>
      <c r="R101" s="435"/>
      <c r="S101" s="435"/>
      <c r="T101" s="435"/>
      <c r="U101" s="435"/>
      <c r="V101" s="435"/>
      <c r="W101" s="435"/>
      <c r="X101" s="435"/>
    </row>
    <row r="102" spans="1:24" x14ac:dyDescent="0.3">
      <c r="A102" s="435"/>
      <c r="B102" s="435"/>
      <c r="C102" s="435"/>
      <c r="D102" s="435"/>
      <c r="E102" s="435"/>
      <c r="F102" s="435"/>
      <c r="G102" s="435"/>
      <c r="H102" s="435"/>
      <c r="I102" s="435"/>
      <c r="J102" s="435"/>
      <c r="K102" s="435"/>
      <c r="L102" s="435"/>
      <c r="M102" s="435"/>
      <c r="N102" s="435"/>
      <c r="O102" s="435"/>
      <c r="P102" s="435"/>
      <c r="Q102" s="435"/>
      <c r="R102" s="435"/>
      <c r="S102" s="435"/>
      <c r="T102" s="435"/>
      <c r="U102" s="435"/>
      <c r="V102" s="435"/>
      <c r="W102" s="435"/>
      <c r="X102" s="435"/>
    </row>
    <row r="103" spans="1:24" x14ac:dyDescent="0.3">
      <c r="A103" s="435"/>
      <c r="B103" s="435"/>
      <c r="C103" s="435"/>
      <c r="D103" s="435"/>
      <c r="E103" s="435"/>
      <c r="F103" s="435"/>
      <c r="G103" s="435"/>
      <c r="H103" s="435"/>
      <c r="I103" s="435"/>
      <c r="J103" s="435"/>
      <c r="K103" s="435"/>
      <c r="L103" s="435"/>
      <c r="M103" s="435"/>
      <c r="N103" s="435"/>
      <c r="O103" s="435"/>
      <c r="P103" s="435"/>
      <c r="Q103" s="435"/>
      <c r="R103" s="435"/>
      <c r="S103" s="435"/>
      <c r="T103" s="435"/>
      <c r="U103" s="435"/>
      <c r="V103" s="435"/>
      <c r="W103" s="435"/>
      <c r="X103" s="435"/>
    </row>
    <row r="104" spans="1:24" x14ac:dyDescent="0.3">
      <c r="A104" s="226" t="s">
        <v>383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436" t="s">
        <v>98</v>
      </c>
      <c r="B105" s="437"/>
      <c r="C105" s="437"/>
      <c r="D105" s="437"/>
      <c r="E105" s="437"/>
      <c r="F105" s="438"/>
      <c r="G105" s="436" t="s">
        <v>4</v>
      </c>
      <c r="H105" s="437"/>
      <c r="I105" s="438"/>
      <c r="J105" s="439" t="s">
        <v>101</v>
      </c>
      <c r="K105" s="440"/>
      <c r="L105" s="440"/>
      <c r="M105" s="440"/>
      <c r="N105" s="441"/>
      <c r="O105" s="436" t="s">
        <v>384</v>
      </c>
      <c r="P105" s="437"/>
      <c r="Q105" s="437"/>
      <c r="R105" s="437"/>
      <c r="S105" s="437"/>
      <c r="T105" s="438"/>
      <c r="U105" s="439" t="s">
        <v>385</v>
      </c>
      <c r="V105" s="440"/>
      <c r="W105" s="440"/>
      <c r="X105" s="441"/>
    </row>
    <row r="106" spans="1:24" x14ac:dyDescent="0.3">
      <c r="A106" s="444" t="s">
        <v>393</v>
      </c>
      <c r="B106" s="445" t="s">
        <v>393</v>
      </c>
      <c r="C106" s="445" t="s">
        <v>393</v>
      </c>
      <c r="D106" s="445" t="s">
        <v>393</v>
      </c>
      <c r="E106" s="445" t="s">
        <v>393</v>
      </c>
      <c r="F106" s="446" t="s">
        <v>393</v>
      </c>
      <c r="G106" s="444" t="s">
        <v>247</v>
      </c>
      <c r="H106" s="445" t="s">
        <v>247</v>
      </c>
      <c r="I106" s="446" t="s">
        <v>247</v>
      </c>
      <c r="J106" s="447" t="s">
        <v>498</v>
      </c>
      <c r="K106" s="448" t="s">
        <v>395</v>
      </c>
      <c r="L106" s="448">
        <v>43368</v>
      </c>
      <c r="M106" s="448" t="s">
        <v>394</v>
      </c>
      <c r="N106" s="449" t="s">
        <v>395</v>
      </c>
      <c r="O106" s="444" t="s">
        <v>395</v>
      </c>
      <c r="P106" s="445" t="s">
        <v>395</v>
      </c>
      <c r="Q106" s="445" t="s">
        <v>395</v>
      </c>
      <c r="R106" s="445" t="s">
        <v>395</v>
      </c>
      <c r="S106" s="445" t="s">
        <v>395</v>
      </c>
      <c r="T106" s="446" t="s">
        <v>395</v>
      </c>
      <c r="U106" s="447">
        <v>44795</v>
      </c>
      <c r="V106" s="448" t="s">
        <v>394</v>
      </c>
      <c r="W106" s="448" t="s">
        <v>395</v>
      </c>
      <c r="X106" s="449">
        <v>43368</v>
      </c>
    </row>
    <row r="107" spans="1:24" ht="15" customHeight="1" x14ac:dyDescent="0.3">
      <c r="A107" s="444" t="s">
        <v>410</v>
      </c>
      <c r="B107" s="445"/>
      <c r="C107" s="445"/>
      <c r="D107" s="445"/>
      <c r="E107" s="445"/>
      <c r="F107" s="446"/>
      <c r="G107" s="444" t="s">
        <v>505</v>
      </c>
      <c r="H107" s="445"/>
      <c r="I107" s="446"/>
      <c r="J107" s="447" t="s">
        <v>507</v>
      </c>
      <c r="K107" s="448"/>
      <c r="L107" s="448"/>
      <c r="M107" s="448"/>
      <c r="N107" s="449"/>
      <c r="O107" s="444" t="s">
        <v>395</v>
      </c>
      <c r="P107" s="445" t="s">
        <v>395</v>
      </c>
      <c r="Q107" s="445" t="s">
        <v>395</v>
      </c>
      <c r="R107" s="445" t="s">
        <v>395</v>
      </c>
      <c r="S107" s="445" t="s">
        <v>395</v>
      </c>
      <c r="T107" s="446" t="s">
        <v>395</v>
      </c>
      <c r="U107" s="447">
        <v>44738</v>
      </c>
      <c r="V107" s="448"/>
      <c r="W107" s="448"/>
      <c r="X107" s="449"/>
    </row>
    <row r="108" spans="1:24" ht="15" customHeight="1" x14ac:dyDescent="0.3">
      <c r="A108" s="444" t="s">
        <v>99</v>
      </c>
      <c r="B108" s="445" t="s">
        <v>393</v>
      </c>
      <c r="C108" s="445" t="s">
        <v>393</v>
      </c>
      <c r="D108" s="445" t="s">
        <v>393</v>
      </c>
      <c r="E108" s="445" t="s">
        <v>393</v>
      </c>
      <c r="F108" s="446" t="s">
        <v>393</v>
      </c>
      <c r="G108" s="444" t="s">
        <v>274</v>
      </c>
      <c r="H108" s="445" t="s">
        <v>255</v>
      </c>
      <c r="I108" s="446" t="s">
        <v>255</v>
      </c>
      <c r="J108" s="447" t="s">
        <v>503</v>
      </c>
      <c r="K108" s="448" t="s">
        <v>397</v>
      </c>
      <c r="L108" s="448">
        <v>43393</v>
      </c>
      <c r="M108" s="448" t="s">
        <v>404</v>
      </c>
      <c r="N108" s="449" t="s">
        <v>397</v>
      </c>
      <c r="O108" s="444" t="s">
        <v>395</v>
      </c>
      <c r="P108" s="445" t="s">
        <v>395</v>
      </c>
      <c r="Q108" s="445" t="s">
        <v>395</v>
      </c>
      <c r="R108" s="445" t="s">
        <v>395</v>
      </c>
      <c r="S108" s="445" t="s">
        <v>395</v>
      </c>
      <c r="T108" s="446" t="s">
        <v>395</v>
      </c>
      <c r="U108" s="447">
        <v>44696</v>
      </c>
      <c r="V108" s="448" t="s">
        <v>404</v>
      </c>
      <c r="W108" s="448" t="s">
        <v>397</v>
      </c>
      <c r="X108" s="449">
        <v>43393</v>
      </c>
    </row>
    <row r="109" spans="1:24" ht="15" customHeight="1" x14ac:dyDescent="0.3">
      <c r="A109" s="239"/>
      <c r="B109" s="239"/>
      <c r="C109" s="239"/>
      <c r="D109" s="239"/>
      <c r="E109" s="239"/>
      <c r="F109" s="239"/>
      <c r="G109" s="239"/>
      <c r="H109" s="239"/>
      <c r="I109" s="239"/>
      <c r="J109" s="239"/>
      <c r="K109" s="239"/>
      <c r="L109" s="239"/>
      <c r="M109" s="239"/>
      <c r="N109" s="239"/>
      <c r="O109" s="239"/>
      <c r="P109" s="239"/>
      <c r="Q109" s="239"/>
      <c r="R109" s="239"/>
      <c r="S109" s="239"/>
      <c r="T109" s="239"/>
      <c r="U109" s="239"/>
      <c r="V109" s="239"/>
      <c r="W109" s="239"/>
      <c r="X109" s="239"/>
    </row>
    <row r="110" spans="1:24" x14ac:dyDescent="0.3">
      <c r="A110" s="226" t="s">
        <v>386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40" t="s">
        <v>387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41" t="s">
        <v>448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x14ac:dyDescent="0.3">
      <c r="A113" s="435" t="str">
        <f>IF(Calibración!E10="2",Calibración!BJ6,Calibración!BJ7)</f>
        <v>La indicación de la presión de referencia y del equipo corresponden al promedio de 6 mediciones en 3 ciclos ascendentes y descendentes.</v>
      </c>
      <c r="B113" s="435"/>
      <c r="C113" s="435"/>
      <c r="D113" s="435"/>
      <c r="E113" s="435"/>
      <c r="F113" s="435"/>
      <c r="G113" s="435"/>
      <c r="H113" s="435"/>
      <c r="I113" s="435"/>
      <c r="J113" s="435"/>
      <c r="K113" s="435"/>
      <c r="L113" s="435"/>
      <c r="M113" s="435"/>
      <c r="N113" s="435"/>
      <c r="O113" s="435"/>
      <c r="P113" s="435"/>
      <c r="Q113" s="435"/>
      <c r="R113" s="435"/>
      <c r="S113" s="435"/>
      <c r="T113" s="435"/>
      <c r="U113" s="435"/>
      <c r="V113" s="435"/>
      <c r="W113" s="435"/>
      <c r="X113" s="435"/>
    </row>
    <row r="114" spans="1:25" ht="15" customHeight="1" x14ac:dyDescent="0.3">
      <c r="A114" s="435"/>
      <c r="B114" s="435"/>
      <c r="C114" s="435"/>
      <c r="D114" s="435"/>
      <c r="E114" s="435"/>
      <c r="F114" s="435"/>
      <c r="G114" s="435"/>
      <c r="H114" s="435"/>
      <c r="I114" s="435"/>
      <c r="J114" s="435"/>
      <c r="K114" s="435"/>
      <c r="L114" s="435"/>
      <c r="M114" s="435"/>
      <c r="N114" s="435"/>
      <c r="O114" s="435"/>
      <c r="P114" s="435"/>
      <c r="Q114" s="435"/>
      <c r="R114" s="435"/>
      <c r="S114" s="435"/>
      <c r="T114" s="435"/>
      <c r="U114" s="435"/>
      <c r="V114" s="435"/>
      <c r="W114" s="435"/>
      <c r="X114" s="435"/>
    </row>
    <row r="115" spans="1:25" ht="15" customHeight="1" x14ac:dyDescent="0.3">
      <c r="A115" s="240" t="s">
        <v>388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40" t="s">
        <v>389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481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482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,""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41" t="s">
        <v>450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41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41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3" spans="1:25" x14ac:dyDescent="0.3">
      <c r="A123" s="241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15"/>
      <c r="S123" s="15"/>
      <c r="T123" s="15"/>
      <c r="U123" s="15"/>
      <c r="V123" s="15"/>
      <c r="W123" s="9"/>
      <c r="X123" s="9"/>
    </row>
    <row r="124" spans="1:25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5" x14ac:dyDescent="0.3">
      <c r="Y125" s="9"/>
    </row>
    <row r="126" spans="1:25" x14ac:dyDescent="0.3">
      <c r="I126" s="450" t="s">
        <v>30</v>
      </c>
      <c r="J126" s="450"/>
      <c r="K126" s="450"/>
      <c r="L126" s="450"/>
      <c r="M126" s="450"/>
      <c r="N126" s="450"/>
      <c r="O126" s="450"/>
      <c r="P126" s="450"/>
      <c r="Y126" s="9"/>
    </row>
    <row r="127" spans="1:25" x14ac:dyDescent="0.3">
      <c r="I127" s="451" t="str">
        <f>IF(I126=[5]Generales!$F$1,[5]Generales!$F$6,[5]Generales!$F$5)</f>
        <v>Director Técnico</v>
      </c>
      <c r="J127" s="451"/>
      <c r="K127" s="451"/>
      <c r="L127" s="451"/>
      <c r="M127" s="451"/>
      <c r="N127" s="451"/>
      <c r="O127" s="451"/>
      <c r="P127" s="451"/>
    </row>
    <row r="128" spans="1:25" x14ac:dyDescent="0.3">
      <c r="I128" s="452" t="s">
        <v>390</v>
      </c>
      <c r="J128" s="452"/>
      <c r="K128" s="452"/>
      <c r="L128" s="452"/>
      <c r="M128" s="452"/>
      <c r="N128" s="452"/>
      <c r="O128" s="452"/>
      <c r="P128" s="452"/>
    </row>
    <row r="129" spans="9:16" x14ac:dyDescent="0.3">
      <c r="I129" s="453" t="s">
        <v>391</v>
      </c>
      <c r="J129" s="453"/>
      <c r="K129" s="453"/>
      <c r="L129" s="453"/>
      <c r="M129" s="453"/>
      <c r="N129" s="453"/>
      <c r="O129" s="453"/>
      <c r="P129" s="453"/>
    </row>
  </sheetData>
  <mergeCells count="144">
    <mergeCell ref="I126:P126"/>
    <mergeCell ref="I127:P127"/>
    <mergeCell ref="I128:P128"/>
    <mergeCell ref="I129:P129"/>
    <mergeCell ref="A108:F108"/>
    <mergeCell ref="G108:I108"/>
    <mergeCell ref="J108:N108"/>
    <mergeCell ref="O108:T108"/>
    <mergeCell ref="U108:X108"/>
    <mergeCell ref="A113:X114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A96:X96"/>
    <mergeCell ref="A99:X103"/>
    <mergeCell ref="A105:F105"/>
    <mergeCell ref="G105:I105"/>
    <mergeCell ref="J105:N105"/>
    <mergeCell ref="O105:T105"/>
    <mergeCell ref="U105:X105"/>
    <mergeCell ref="N92:W92"/>
    <mergeCell ref="B80:D80"/>
    <mergeCell ref="K80:L80"/>
    <mergeCell ref="T80:U80"/>
    <mergeCell ref="D68:E68"/>
    <mergeCell ref="F68:K68"/>
    <mergeCell ref="L68:Q68"/>
    <mergeCell ref="R68:W68"/>
    <mergeCell ref="D69:E69"/>
    <mergeCell ref="F69:K69"/>
    <mergeCell ref="L69:Q69"/>
    <mergeCell ref="R69:W69"/>
    <mergeCell ref="D66:E66"/>
    <mergeCell ref="F66:K66"/>
    <mergeCell ref="L66:Q66"/>
    <mergeCell ref="R66:W66"/>
    <mergeCell ref="D67:E67"/>
    <mergeCell ref="F67:K67"/>
    <mergeCell ref="L67:Q67"/>
    <mergeCell ref="R67:W67"/>
    <mergeCell ref="D64:E64"/>
    <mergeCell ref="F64:K64"/>
    <mergeCell ref="L64:Q64"/>
    <mergeCell ref="R64:W64"/>
    <mergeCell ref="D65:E65"/>
    <mergeCell ref="F65:K65"/>
    <mergeCell ref="L65:Q65"/>
    <mergeCell ref="R65:W65"/>
    <mergeCell ref="D61:W61"/>
    <mergeCell ref="D62:E63"/>
    <mergeCell ref="F62:K63"/>
    <mergeCell ref="L62:Q63"/>
    <mergeCell ref="R62:W63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28:E28"/>
    <mergeCell ref="F28:K28"/>
    <mergeCell ref="L28:Q28"/>
    <mergeCell ref="R28:W28"/>
    <mergeCell ref="D25:E26"/>
    <mergeCell ref="F25:K26"/>
    <mergeCell ref="L25:Q26"/>
    <mergeCell ref="R25:W26"/>
    <mergeCell ref="D31:E31"/>
    <mergeCell ref="F31:K31"/>
    <mergeCell ref="L31:Q31"/>
    <mergeCell ref="R31:W31"/>
    <mergeCell ref="N8:X8"/>
    <mergeCell ref="N9:X9"/>
    <mergeCell ref="N10:X10"/>
    <mergeCell ref="N12:X12"/>
    <mergeCell ref="N13:X13"/>
    <mergeCell ref="N14:X14"/>
    <mergeCell ref="D27:E27"/>
    <mergeCell ref="F27:K27"/>
    <mergeCell ref="L27:Q27"/>
    <mergeCell ref="R27:W27"/>
    <mergeCell ref="N20:X20"/>
    <mergeCell ref="N21:X22"/>
    <mergeCell ref="D24:W24"/>
    <mergeCell ref="P17:S17"/>
    <mergeCell ref="N11:Q11"/>
    <mergeCell ref="N15:X15"/>
    <mergeCell ref="N16:X16"/>
    <mergeCell ref="N17:O17"/>
    <mergeCell ref="N18:X18"/>
    <mergeCell ref="N19:X19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F33:K33"/>
    <mergeCell ref="F34:K34"/>
    <mergeCell ref="F35:K35"/>
    <mergeCell ref="F36:K36"/>
    <mergeCell ref="F37:K37"/>
    <mergeCell ref="D33:E33"/>
    <mergeCell ref="D34:E34"/>
    <mergeCell ref="D35:E35"/>
    <mergeCell ref="D36:E36"/>
    <mergeCell ref="D37:E37"/>
    <mergeCell ref="R70:W70"/>
    <mergeCell ref="R71:W71"/>
    <mergeCell ref="R72:W72"/>
    <mergeCell ref="R73:W73"/>
    <mergeCell ref="R74:W74"/>
    <mergeCell ref="L70:Q70"/>
    <mergeCell ref="L71:Q71"/>
    <mergeCell ref="L72:Q72"/>
    <mergeCell ref="L73:Q73"/>
    <mergeCell ref="L74:Q74"/>
    <mergeCell ref="F70:K70"/>
    <mergeCell ref="F71:K71"/>
    <mergeCell ref="F72:K72"/>
    <mergeCell ref="F73:K73"/>
    <mergeCell ref="F74:K74"/>
    <mergeCell ref="D70:E70"/>
    <mergeCell ref="D71:E71"/>
    <mergeCell ref="D72:E72"/>
    <mergeCell ref="D73:E73"/>
    <mergeCell ref="D74:E74"/>
  </mergeCells>
  <conditionalFormatting sqref="A117">
    <cfRule type="cellIs" priority="1" operator="equal">
      <formula>$D$26</formula>
    </cfRule>
  </conditionalFormatting>
  <conditionalFormatting sqref="A118">
    <cfRule type="cellIs" priority="2" operator="equal">
      <formula>$F$28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I126:P126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5:Y96"/>
  <sheetViews>
    <sheetView view="pageLayout" topLeftCell="A22" zoomScaleNormal="40" zoomScaleSheetLayoutView="100" workbookViewId="0">
      <selection activeCell="A73" sqref="A73:X73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ht="18" customHeight="1" x14ac:dyDescent="0.3"/>
    <row r="8" spans="1:24" x14ac:dyDescent="0.3">
      <c r="A8" s="226" t="s">
        <v>354</v>
      </c>
      <c r="B8" s="227"/>
      <c r="C8" s="228"/>
      <c r="E8" s="228"/>
      <c r="F8" s="228"/>
      <c r="G8" s="229"/>
      <c r="H8" s="229"/>
      <c r="I8" s="229"/>
      <c r="J8" s="229"/>
      <c r="K8" s="229"/>
      <c r="L8" s="9"/>
      <c r="M8" s="9"/>
      <c r="N8" s="422" t="str">
        <f>General!F3</f>
        <v>NI-MC-P-XXXX-2024</v>
      </c>
      <c r="O8" s="423"/>
      <c r="P8" s="423"/>
      <c r="Q8" s="423"/>
      <c r="R8" s="423"/>
      <c r="S8" s="423"/>
      <c r="T8" s="423"/>
      <c r="U8" s="423"/>
      <c r="V8" s="423"/>
      <c r="W8" s="423"/>
      <c r="X8" s="423"/>
    </row>
    <row r="9" spans="1:24" x14ac:dyDescent="0.3">
      <c r="A9" s="226" t="s">
        <v>355</v>
      </c>
      <c r="B9" s="227"/>
      <c r="C9" s="228"/>
      <c r="E9" s="228"/>
      <c r="F9" s="228"/>
      <c r="G9" s="229"/>
      <c r="H9" s="229"/>
      <c r="I9" s="229"/>
      <c r="J9" s="229"/>
      <c r="K9" s="229"/>
      <c r="L9" s="9"/>
      <c r="M9" s="9"/>
      <c r="N9" s="424" t="str">
        <f>General!F4</f>
        <v>NI-CS-0062-23</v>
      </c>
      <c r="O9" s="425"/>
      <c r="P9" s="425"/>
      <c r="Q9" s="425"/>
      <c r="R9" s="425"/>
      <c r="S9" s="425"/>
      <c r="T9" s="425"/>
      <c r="U9" s="425"/>
      <c r="V9" s="425"/>
      <c r="W9" s="425"/>
      <c r="X9" s="425"/>
    </row>
    <row r="10" spans="1:24" x14ac:dyDescent="0.3">
      <c r="A10" s="226" t="s">
        <v>356</v>
      </c>
      <c r="B10" s="227"/>
      <c r="C10" s="227"/>
      <c r="E10" s="227"/>
      <c r="F10" s="227"/>
      <c r="G10" s="229"/>
      <c r="H10" s="229"/>
      <c r="I10" s="229"/>
      <c r="J10" s="229"/>
      <c r="K10" s="229"/>
      <c r="L10" s="230"/>
      <c r="M10" s="9"/>
      <c r="N10" s="426">
        <f>General!F5</f>
        <v>44965</v>
      </c>
      <c r="O10" s="426"/>
      <c r="P10" s="426"/>
      <c r="Q10" s="426"/>
      <c r="R10" s="426"/>
      <c r="S10" s="426"/>
      <c r="T10" s="426"/>
      <c r="U10" s="426"/>
      <c r="V10" s="426"/>
      <c r="W10" s="426"/>
      <c r="X10" s="426"/>
    </row>
    <row r="11" spans="1:24" x14ac:dyDescent="0.3">
      <c r="A11" s="226" t="s">
        <v>483</v>
      </c>
      <c r="B11" s="227"/>
      <c r="C11" s="227"/>
      <c r="E11" s="227"/>
      <c r="F11" s="227"/>
      <c r="G11" s="229"/>
      <c r="H11" s="229"/>
      <c r="I11" s="229"/>
      <c r="J11" s="229"/>
      <c r="K11" s="229"/>
      <c r="L11" s="230"/>
      <c r="M11" s="9"/>
      <c r="N11" s="426">
        <f ca="1">NOW()</f>
        <v>45398.730872800923</v>
      </c>
      <c r="O11" s="426"/>
      <c r="P11" s="426"/>
      <c r="Q11" s="426"/>
      <c r="R11" s="283"/>
      <c r="S11" s="283"/>
      <c r="T11" s="283"/>
      <c r="U11" s="283"/>
      <c r="V11" s="283"/>
      <c r="W11" s="283"/>
      <c r="X11" s="283"/>
    </row>
    <row r="12" spans="1:24" x14ac:dyDescent="0.3">
      <c r="A12" s="226" t="s">
        <v>357</v>
      </c>
      <c r="B12" s="227"/>
      <c r="C12" s="227"/>
      <c r="E12" s="227"/>
      <c r="F12" s="227"/>
      <c r="G12" s="229"/>
      <c r="H12" s="229"/>
      <c r="I12" s="229"/>
      <c r="J12" s="229"/>
      <c r="K12" s="229"/>
      <c r="L12" s="9"/>
      <c r="M12" s="9"/>
      <c r="N12" s="424" t="str">
        <f>General!F7</f>
        <v xml:space="preserve">Manómetro </v>
      </c>
      <c r="O12" s="425"/>
      <c r="P12" s="425"/>
      <c r="Q12" s="425"/>
      <c r="R12" s="425"/>
      <c r="S12" s="425"/>
      <c r="T12" s="425"/>
      <c r="U12" s="425"/>
      <c r="V12" s="425"/>
      <c r="W12" s="425"/>
      <c r="X12" s="425"/>
    </row>
    <row r="13" spans="1:24" x14ac:dyDescent="0.3">
      <c r="A13" s="226" t="s">
        <v>358</v>
      </c>
      <c r="B13" s="227"/>
      <c r="C13" s="227"/>
      <c r="E13" s="227"/>
      <c r="F13" s="227"/>
      <c r="G13" s="229"/>
      <c r="H13" s="229"/>
      <c r="I13" s="229"/>
      <c r="J13" s="229"/>
      <c r="K13" s="229"/>
      <c r="L13" s="9"/>
      <c r="M13" s="9"/>
      <c r="N13" s="424" t="str">
        <f>General!F10</f>
        <v>Ashcroft</v>
      </c>
      <c r="O13" s="425"/>
      <c r="P13" s="425"/>
      <c r="Q13" s="425"/>
      <c r="R13" s="425"/>
      <c r="S13" s="425"/>
      <c r="T13" s="425"/>
      <c r="U13" s="425"/>
      <c r="V13" s="425"/>
      <c r="W13" s="425"/>
      <c r="X13" s="425"/>
    </row>
    <row r="14" spans="1:24" x14ac:dyDescent="0.3">
      <c r="A14" s="226" t="s">
        <v>359</v>
      </c>
      <c r="B14" s="227"/>
      <c r="C14" s="227"/>
      <c r="E14" s="227"/>
      <c r="F14" s="227"/>
      <c r="G14" s="229"/>
      <c r="H14" s="229"/>
      <c r="I14" s="229"/>
      <c r="J14" s="229"/>
      <c r="K14" s="229"/>
      <c r="L14" s="9"/>
      <c r="M14" s="9"/>
      <c r="N14" s="424" t="str">
        <f>General!F12</f>
        <v>asdfart547657</v>
      </c>
      <c r="O14" s="425"/>
      <c r="P14" s="425"/>
      <c r="Q14" s="425"/>
      <c r="R14" s="425"/>
      <c r="S14" s="425"/>
      <c r="T14" s="425"/>
      <c r="U14" s="425"/>
      <c r="V14" s="425"/>
      <c r="W14" s="425"/>
      <c r="X14" s="425"/>
    </row>
    <row r="15" spans="1:24" x14ac:dyDescent="0.3">
      <c r="A15" s="226" t="s">
        <v>360</v>
      </c>
      <c r="B15" s="227"/>
      <c r="C15" s="227"/>
      <c r="E15" s="227"/>
      <c r="F15" s="227"/>
      <c r="G15" s="229"/>
      <c r="H15" s="229"/>
      <c r="I15" s="229"/>
      <c r="J15" s="229"/>
      <c r="K15" s="229"/>
      <c r="L15" s="9"/>
      <c r="M15" s="9"/>
      <c r="N15" s="424" t="str">
        <f>General!F11</f>
        <v>asdfadfdfdssd</v>
      </c>
      <c r="O15" s="425"/>
      <c r="P15" s="425"/>
      <c r="Q15" s="425"/>
      <c r="R15" s="425"/>
      <c r="S15" s="425"/>
      <c r="T15" s="425"/>
      <c r="U15" s="425"/>
      <c r="V15" s="425"/>
      <c r="W15" s="425"/>
      <c r="X15" s="425"/>
    </row>
    <row r="16" spans="1:24" x14ac:dyDescent="0.3">
      <c r="A16" s="226" t="s">
        <v>361</v>
      </c>
      <c r="B16" s="227"/>
      <c r="C16" s="227"/>
      <c r="E16" s="227"/>
      <c r="F16" s="227"/>
      <c r="G16" s="229"/>
      <c r="H16" s="229"/>
      <c r="I16" s="229"/>
      <c r="J16" s="229"/>
      <c r="K16" s="229"/>
      <c r="L16" s="9"/>
      <c r="M16" s="9"/>
      <c r="N16" s="424" t="str">
        <f>General!F18</f>
        <v>0 psi a 100 psi</v>
      </c>
      <c r="O16" s="425"/>
      <c r="P16" s="425"/>
      <c r="Q16" s="425"/>
      <c r="R16" s="425"/>
      <c r="S16" s="425"/>
      <c r="T16" s="425"/>
      <c r="U16" s="425"/>
      <c r="V16" s="425"/>
      <c r="W16" s="425"/>
      <c r="X16" s="425"/>
    </row>
    <row r="17" spans="1:24" x14ac:dyDescent="0.3">
      <c r="A17" s="226" t="s">
        <v>362</v>
      </c>
      <c r="B17" s="227"/>
      <c r="C17" s="227"/>
      <c r="E17" s="227"/>
      <c r="F17" s="227"/>
      <c r="G17" s="229"/>
      <c r="H17" s="229"/>
      <c r="I17" s="229"/>
      <c r="J17" s="229"/>
      <c r="K17" s="229"/>
      <c r="L17" s="9"/>
      <c r="M17" s="9"/>
      <c r="N17" s="424">
        <f>General!F15</f>
        <v>0.5</v>
      </c>
      <c r="O17" s="425"/>
      <c r="P17" s="424" t="str">
        <f>General!F16</f>
        <v>psi</v>
      </c>
      <c r="Q17" s="424"/>
      <c r="R17" s="424"/>
      <c r="S17" s="424"/>
      <c r="T17" s="9"/>
      <c r="U17" s="9"/>
      <c r="V17" s="9"/>
      <c r="W17" s="9"/>
      <c r="X17" s="9"/>
    </row>
    <row r="18" spans="1:24" x14ac:dyDescent="0.3">
      <c r="A18" s="226" t="s">
        <v>363</v>
      </c>
      <c r="B18" s="227"/>
      <c r="C18" s="227"/>
      <c r="E18" s="227"/>
      <c r="F18" s="227"/>
      <c r="G18" s="229"/>
      <c r="H18" s="229"/>
      <c r="I18" s="229"/>
      <c r="J18" s="229"/>
      <c r="K18" s="229"/>
      <c r="L18" s="9"/>
      <c r="M18" s="9"/>
      <c r="N18" s="424" t="str">
        <f>General!F6</f>
        <v>SAJHJLF54564+SD</v>
      </c>
      <c r="O18" s="425"/>
      <c r="P18" s="425"/>
      <c r="Q18" s="425"/>
      <c r="R18" s="425"/>
      <c r="S18" s="425"/>
      <c r="T18" s="425"/>
      <c r="U18" s="425"/>
      <c r="V18" s="425"/>
      <c r="W18" s="425"/>
      <c r="X18" s="425"/>
    </row>
    <row r="19" spans="1:24" x14ac:dyDescent="0.3">
      <c r="A19" s="226" t="s">
        <v>364</v>
      </c>
      <c r="B19" s="227"/>
      <c r="C19" s="227"/>
      <c r="E19" s="227"/>
      <c r="F19" s="227"/>
      <c r="G19" s="229"/>
      <c r="H19" s="229"/>
      <c r="I19" s="229"/>
      <c r="J19" s="229"/>
      <c r="K19" s="229"/>
      <c r="L19" s="9"/>
      <c r="M19" s="9"/>
      <c r="N19" s="424" t="str">
        <f>General!L3</f>
        <v>Agencia Aduanera GRH S,A.</v>
      </c>
      <c r="O19" s="425"/>
      <c r="P19" s="425"/>
      <c r="Q19" s="425"/>
      <c r="R19" s="425"/>
      <c r="S19" s="425"/>
      <c r="T19" s="425"/>
      <c r="U19" s="425"/>
      <c r="V19" s="425"/>
      <c r="W19" s="425"/>
      <c r="X19" s="425"/>
    </row>
    <row r="20" spans="1:24" x14ac:dyDescent="0.3">
      <c r="A20" s="231" t="s">
        <v>365</v>
      </c>
      <c r="C20" s="227"/>
      <c r="D20" s="227"/>
      <c r="E20" s="227"/>
      <c r="F20" s="227"/>
      <c r="G20" s="229"/>
      <c r="H20" s="229"/>
      <c r="I20" s="229"/>
      <c r="J20" s="229"/>
      <c r="K20" s="229"/>
      <c r="L20" s="10"/>
      <c r="M20" s="9"/>
      <c r="N20" s="425" t="str">
        <f>General!L4</f>
        <v>De Los Semáforos de Sabana Grande 1 500 m Este.</v>
      </c>
      <c r="O20" s="425"/>
      <c r="P20" s="425"/>
      <c r="Q20" s="425"/>
      <c r="R20" s="425"/>
      <c r="S20" s="425"/>
      <c r="T20" s="425"/>
      <c r="U20" s="425"/>
      <c r="V20" s="425"/>
      <c r="W20" s="425"/>
      <c r="X20" s="425"/>
    </row>
    <row r="21" spans="1:24" x14ac:dyDescent="0.3">
      <c r="A21" s="226" t="s">
        <v>366</v>
      </c>
      <c r="C21" s="227"/>
      <c r="D21" s="227"/>
      <c r="E21" s="227"/>
      <c r="F21" s="227"/>
      <c r="G21" s="229"/>
      <c r="H21" s="229"/>
      <c r="I21" s="229"/>
      <c r="J21" s="229"/>
      <c r="K21" s="229"/>
      <c r="L21" s="9"/>
      <c r="M21" s="9"/>
      <c r="N21" s="431" t="str">
        <f>General!L6</f>
        <v>Laboratorio #2, Metrocal</v>
      </c>
      <c r="O21" s="431"/>
      <c r="P21" s="431"/>
      <c r="Q21" s="431"/>
      <c r="R21" s="431"/>
      <c r="S21" s="431"/>
      <c r="T21" s="431"/>
      <c r="U21" s="431"/>
      <c r="V21" s="431"/>
      <c r="W21" s="431"/>
      <c r="X21" s="431"/>
    </row>
    <row r="22" spans="1:24" x14ac:dyDescent="0.3">
      <c r="A22" s="226"/>
      <c r="N22" s="431"/>
      <c r="O22" s="431"/>
      <c r="P22" s="431"/>
      <c r="Q22" s="431"/>
      <c r="R22" s="431"/>
      <c r="S22" s="431"/>
      <c r="T22" s="431"/>
      <c r="U22" s="431"/>
      <c r="V22" s="431"/>
      <c r="W22" s="431"/>
      <c r="X22" s="431"/>
    </row>
    <row r="23" spans="1:24" x14ac:dyDescent="0.3">
      <c r="A23" s="226" t="s">
        <v>367</v>
      </c>
      <c r="C23" s="227"/>
      <c r="D23" s="227"/>
      <c r="E23" s="227"/>
      <c r="F23" s="227"/>
    </row>
    <row r="24" spans="1:24" x14ac:dyDescent="0.3">
      <c r="A24" s="9"/>
      <c r="B24" s="9"/>
      <c r="C24" s="9"/>
      <c r="D24" s="432" t="s">
        <v>95</v>
      </c>
      <c r="E24" s="432"/>
      <c r="F24" s="432"/>
      <c r="G24" s="432"/>
      <c r="H24" s="432"/>
      <c r="I24" s="432"/>
      <c r="J24" s="432"/>
      <c r="K24" s="432"/>
      <c r="L24" s="432"/>
      <c r="M24" s="432"/>
      <c r="N24" s="432"/>
      <c r="O24" s="432"/>
      <c r="P24" s="432"/>
      <c r="Q24" s="432"/>
      <c r="R24" s="432"/>
      <c r="S24" s="432"/>
      <c r="T24" s="432"/>
      <c r="U24" s="432"/>
      <c r="V24" s="432"/>
      <c r="W24" s="432"/>
    </row>
    <row r="25" spans="1:24" ht="15" customHeight="1" x14ac:dyDescent="0.3">
      <c r="A25" s="9"/>
      <c r="B25" s="9"/>
      <c r="C25" s="9"/>
      <c r="D25" s="433" t="s">
        <v>318</v>
      </c>
      <c r="E25" s="433"/>
      <c r="F25" s="434" t="s">
        <v>368</v>
      </c>
      <c r="G25" s="434"/>
      <c r="H25" s="434"/>
      <c r="I25" s="434"/>
      <c r="J25" s="434"/>
      <c r="K25" s="434"/>
      <c r="L25" s="434" t="s">
        <v>96</v>
      </c>
      <c r="M25" s="434"/>
      <c r="N25" s="434"/>
      <c r="O25" s="434"/>
      <c r="P25" s="434"/>
      <c r="Q25" s="434"/>
      <c r="R25" s="433" t="s">
        <v>369</v>
      </c>
      <c r="S25" s="433"/>
      <c r="T25" s="433"/>
      <c r="U25" s="433"/>
      <c r="V25" s="433"/>
      <c r="W25" s="433"/>
    </row>
    <row r="26" spans="1:24" ht="14.25" customHeight="1" x14ac:dyDescent="0.3">
      <c r="A26" s="9"/>
      <c r="B26" s="9"/>
      <c r="C26" s="9"/>
      <c r="D26" s="433"/>
      <c r="E26" s="433"/>
      <c r="F26" s="434"/>
      <c r="G26" s="434"/>
      <c r="H26" s="434"/>
      <c r="I26" s="434"/>
      <c r="J26" s="434"/>
      <c r="K26" s="434"/>
      <c r="L26" s="434"/>
      <c r="M26" s="434"/>
      <c r="N26" s="434"/>
      <c r="O26" s="434"/>
      <c r="P26" s="434"/>
      <c r="Q26" s="434"/>
      <c r="R26" s="433"/>
      <c r="S26" s="433"/>
      <c r="T26" s="433"/>
      <c r="U26" s="433"/>
      <c r="V26" s="433"/>
      <c r="W26" s="433"/>
    </row>
    <row r="27" spans="1:24" x14ac:dyDescent="0.3">
      <c r="A27" s="9"/>
      <c r="B27" s="9"/>
      <c r="C27" s="9"/>
      <c r="D27" s="427" t="str">
        <f>Calibración!C37</f>
        <v>psi</v>
      </c>
      <c r="E27" s="427"/>
      <c r="F27" s="428" t="str">
        <f>Calibración!D37</f>
        <v>psi</v>
      </c>
      <c r="G27" s="429"/>
      <c r="H27" s="429"/>
      <c r="I27" s="429"/>
      <c r="J27" s="429"/>
      <c r="K27" s="430"/>
      <c r="L27" s="428" t="str">
        <f>Calibración!E37</f>
        <v>psi</v>
      </c>
      <c r="M27" s="429"/>
      <c r="N27" s="429"/>
      <c r="O27" s="429"/>
      <c r="P27" s="429"/>
      <c r="Q27" s="430"/>
      <c r="R27" s="428" t="str">
        <f>Calibración!F37</f>
        <v>psi</v>
      </c>
      <c r="S27" s="429"/>
      <c r="T27" s="429"/>
      <c r="U27" s="429"/>
      <c r="V27" s="429"/>
      <c r="W27" s="430"/>
    </row>
    <row r="28" spans="1:24" x14ac:dyDescent="0.3">
      <c r="A28" s="9"/>
      <c r="B28" s="9"/>
      <c r="C28" s="9"/>
      <c r="D28" s="421" t="str">
        <f ca="1">Calibración!C38</f>
        <v/>
      </c>
      <c r="E28" s="421"/>
      <c r="F28" s="418" t="str">
        <f ca="1">Calibración!D38</f>
        <v/>
      </c>
      <c r="G28" s="419"/>
      <c r="H28" s="419"/>
      <c r="I28" s="419"/>
      <c r="J28" s="419"/>
      <c r="K28" s="420"/>
      <c r="L28" s="418" t="str">
        <f ca="1">Calibración!E38</f>
        <v/>
      </c>
      <c r="M28" s="419"/>
      <c r="N28" s="419"/>
      <c r="O28" s="419"/>
      <c r="P28" s="419"/>
      <c r="Q28" s="420"/>
      <c r="R28" s="418" t="str">
        <f ca="1">Calibración!F38</f>
        <v/>
      </c>
      <c r="S28" s="419"/>
      <c r="T28" s="419"/>
      <c r="U28" s="419"/>
      <c r="V28" s="419"/>
      <c r="W28" s="420"/>
    </row>
    <row r="29" spans="1:24" x14ac:dyDescent="0.3">
      <c r="A29" s="9"/>
      <c r="B29" s="9"/>
      <c r="C29" s="9"/>
      <c r="D29" s="421" t="str">
        <f ca="1">Calibración!C39</f>
        <v/>
      </c>
      <c r="E29" s="421"/>
      <c r="F29" s="418" t="str">
        <f ca="1">Calibración!D39</f>
        <v/>
      </c>
      <c r="G29" s="419"/>
      <c r="H29" s="419"/>
      <c r="I29" s="419"/>
      <c r="J29" s="419"/>
      <c r="K29" s="420"/>
      <c r="L29" s="418" t="str">
        <f ca="1">Calibración!E39</f>
        <v/>
      </c>
      <c r="M29" s="419"/>
      <c r="N29" s="419"/>
      <c r="O29" s="419"/>
      <c r="P29" s="419"/>
      <c r="Q29" s="420"/>
      <c r="R29" s="418" t="str">
        <f ca="1">Calibración!F39</f>
        <v/>
      </c>
      <c r="S29" s="419"/>
      <c r="T29" s="419"/>
      <c r="U29" s="419"/>
      <c r="V29" s="419"/>
      <c r="W29" s="420"/>
    </row>
    <row r="30" spans="1:24" x14ac:dyDescent="0.3">
      <c r="A30" s="9"/>
      <c r="B30" s="9"/>
      <c r="C30" s="9"/>
      <c r="D30" s="421" t="str">
        <f ca="1">Calibración!C40</f>
        <v/>
      </c>
      <c r="E30" s="421"/>
      <c r="F30" s="418" t="str">
        <f ca="1">Calibración!D40</f>
        <v/>
      </c>
      <c r="G30" s="419"/>
      <c r="H30" s="419"/>
      <c r="I30" s="419"/>
      <c r="J30" s="419"/>
      <c r="K30" s="420"/>
      <c r="L30" s="418" t="str">
        <f ca="1">Calibración!E40</f>
        <v/>
      </c>
      <c r="M30" s="419"/>
      <c r="N30" s="419"/>
      <c r="O30" s="419"/>
      <c r="P30" s="419"/>
      <c r="Q30" s="420"/>
      <c r="R30" s="418" t="str">
        <f ca="1">Calibración!F40</f>
        <v/>
      </c>
      <c r="S30" s="419"/>
      <c r="T30" s="419"/>
      <c r="U30" s="419"/>
      <c r="V30" s="419"/>
      <c r="W30" s="420"/>
    </row>
    <row r="31" spans="1:24" x14ac:dyDescent="0.3">
      <c r="A31" s="9"/>
      <c r="B31" s="9"/>
      <c r="C31" s="9"/>
      <c r="D31" s="421" t="str">
        <f ca="1">Calibración!C41</f>
        <v/>
      </c>
      <c r="E31" s="421"/>
      <c r="F31" s="418" t="str">
        <f ca="1">Calibración!D41</f>
        <v/>
      </c>
      <c r="G31" s="419"/>
      <c r="H31" s="419"/>
      <c r="I31" s="419"/>
      <c r="J31" s="419"/>
      <c r="K31" s="420"/>
      <c r="L31" s="418" t="str">
        <f ca="1">Calibración!E41</f>
        <v/>
      </c>
      <c r="M31" s="419"/>
      <c r="N31" s="419"/>
      <c r="O31" s="419"/>
      <c r="P31" s="419"/>
      <c r="Q31" s="420"/>
      <c r="R31" s="418" t="str">
        <f ca="1">Calibración!F41</f>
        <v/>
      </c>
      <c r="S31" s="419"/>
      <c r="T31" s="419"/>
      <c r="U31" s="419"/>
      <c r="V31" s="419"/>
      <c r="W31" s="420"/>
    </row>
    <row r="32" spans="1:24" x14ac:dyDescent="0.3">
      <c r="A32" s="9"/>
      <c r="B32" s="9"/>
      <c r="C32" s="9"/>
      <c r="D32" s="421" t="str">
        <f ca="1">Calibración!C42</f>
        <v/>
      </c>
      <c r="E32" s="421"/>
      <c r="F32" s="418" t="str">
        <f ca="1">Calibración!D42</f>
        <v/>
      </c>
      <c r="G32" s="419"/>
      <c r="H32" s="419"/>
      <c r="I32" s="419"/>
      <c r="J32" s="419"/>
      <c r="K32" s="420"/>
      <c r="L32" s="418" t="str">
        <f ca="1">Calibración!E42</f>
        <v/>
      </c>
      <c r="M32" s="419"/>
      <c r="N32" s="419"/>
      <c r="O32" s="419"/>
      <c r="P32" s="419"/>
      <c r="Q32" s="420"/>
      <c r="R32" s="418" t="str">
        <f ca="1">Calibración!F42</f>
        <v/>
      </c>
      <c r="S32" s="419"/>
      <c r="T32" s="419"/>
      <c r="U32" s="419"/>
      <c r="V32" s="419"/>
      <c r="W32" s="420"/>
    </row>
    <row r="33" spans="1:23" x14ac:dyDescent="0.3">
      <c r="D33" s="232"/>
      <c r="E33" s="232"/>
      <c r="F33" s="233"/>
      <c r="G33" s="233"/>
      <c r="H33" s="233"/>
      <c r="I33" s="233"/>
      <c r="J33" s="233"/>
      <c r="K33" s="233"/>
      <c r="L33" s="232"/>
      <c r="M33" s="232"/>
      <c r="N33" s="232"/>
      <c r="O33" s="232"/>
      <c r="P33" s="232"/>
      <c r="Q33" s="232"/>
      <c r="R33" s="232"/>
      <c r="S33" s="232"/>
      <c r="T33" s="232"/>
      <c r="U33" s="232"/>
      <c r="V33" s="232"/>
      <c r="W33" s="232"/>
    </row>
    <row r="34" spans="1:23" x14ac:dyDescent="0.3">
      <c r="A34" s="226" t="s">
        <v>370</v>
      </c>
      <c r="D34" s="232"/>
      <c r="E34" s="232"/>
      <c r="F34" s="233"/>
      <c r="G34" s="233"/>
      <c r="H34" s="233"/>
      <c r="I34" s="233"/>
      <c r="J34" s="233"/>
      <c r="K34" s="233"/>
      <c r="L34" s="232"/>
      <c r="M34" s="232"/>
      <c r="N34" s="232"/>
      <c r="O34" s="232"/>
      <c r="P34" s="232"/>
      <c r="Q34" s="232"/>
      <c r="R34" s="232"/>
      <c r="S34" s="232"/>
      <c r="T34" s="232"/>
      <c r="U34" s="232"/>
      <c r="V34" s="232"/>
      <c r="W34" s="232"/>
    </row>
    <row r="35" spans="1:23" x14ac:dyDescent="0.3">
      <c r="A35" s="9"/>
      <c r="B35" s="9"/>
      <c r="C35" s="9"/>
      <c r="D35" s="432" t="s">
        <v>95</v>
      </c>
      <c r="E35" s="432"/>
      <c r="F35" s="432"/>
      <c r="G35" s="432"/>
      <c r="H35" s="432"/>
      <c r="I35" s="432"/>
      <c r="J35" s="432"/>
      <c r="K35" s="432"/>
      <c r="L35" s="432"/>
      <c r="M35" s="432"/>
      <c r="N35" s="432"/>
      <c r="O35" s="432"/>
      <c r="P35" s="432"/>
      <c r="Q35" s="432"/>
      <c r="R35" s="432"/>
      <c r="S35" s="432"/>
      <c r="T35" s="432"/>
      <c r="U35" s="432"/>
      <c r="V35" s="432"/>
      <c r="W35" s="432"/>
    </row>
    <row r="36" spans="1:23" ht="15" customHeight="1" x14ac:dyDescent="0.3">
      <c r="A36" s="9"/>
      <c r="B36" s="9"/>
      <c r="C36" s="9"/>
      <c r="D36" s="433" t="s">
        <v>318</v>
      </c>
      <c r="E36" s="433"/>
      <c r="F36" s="434" t="s">
        <v>368</v>
      </c>
      <c r="G36" s="434"/>
      <c r="H36" s="434"/>
      <c r="I36" s="434"/>
      <c r="J36" s="434"/>
      <c r="K36" s="434"/>
      <c r="L36" s="434" t="s">
        <v>96</v>
      </c>
      <c r="M36" s="434"/>
      <c r="N36" s="434"/>
      <c r="O36" s="434"/>
      <c r="P36" s="434"/>
      <c r="Q36" s="434"/>
      <c r="R36" s="433" t="s">
        <v>369</v>
      </c>
      <c r="S36" s="433"/>
      <c r="T36" s="433"/>
      <c r="U36" s="433"/>
      <c r="V36" s="433"/>
      <c r="W36" s="433"/>
    </row>
    <row r="37" spans="1:23" x14ac:dyDescent="0.3">
      <c r="A37" s="9"/>
      <c r="B37" s="9"/>
      <c r="C37" s="9"/>
      <c r="D37" s="433"/>
      <c r="E37" s="433"/>
      <c r="F37" s="434"/>
      <c r="G37" s="434"/>
      <c r="H37" s="434"/>
      <c r="I37" s="434"/>
      <c r="J37" s="434"/>
      <c r="K37" s="434"/>
      <c r="L37" s="434"/>
      <c r="M37" s="434"/>
      <c r="N37" s="434"/>
      <c r="O37" s="434"/>
      <c r="P37" s="434"/>
      <c r="Q37" s="434"/>
      <c r="R37" s="433"/>
      <c r="S37" s="433"/>
      <c r="T37" s="433"/>
      <c r="U37" s="433"/>
      <c r="V37" s="433"/>
      <c r="W37" s="433"/>
    </row>
    <row r="38" spans="1:23" x14ac:dyDescent="0.3">
      <c r="A38" s="9"/>
      <c r="B38" s="9"/>
      <c r="C38" s="9"/>
      <c r="D38" s="427" t="str">
        <f>Calibración!G37</f>
        <v>kPa</v>
      </c>
      <c r="E38" s="427"/>
      <c r="F38" s="428" t="str">
        <f>Calibración!H37</f>
        <v>kPa</v>
      </c>
      <c r="G38" s="429"/>
      <c r="H38" s="429"/>
      <c r="I38" s="429"/>
      <c r="J38" s="429"/>
      <c r="K38" s="430"/>
      <c r="L38" s="427" t="str">
        <f>Calibración!I37</f>
        <v>kPa</v>
      </c>
      <c r="M38" s="427"/>
      <c r="N38" s="427"/>
      <c r="O38" s="427"/>
      <c r="P38" s="427"/>
      <c r="Q38" s="427"/>
      <c r="R38" s="427" t="str">
        <f>Calibración!J37</f>
        <v>kPa</v>
      </c>
      <c r="S38" s="427"/>
      <c r="T38" s="427"/>
      <c r="U38" s="427"/>
      <c r="V38" s="427"/>
      <c r="W38" s="427"/>
    </row>
    <row r="39" spans="1:23" x14ac:dyDescent="0.3">
      <c r="A39" s="9"/>
      <c r="B39" s="9"/>
      <c r="C39" s="9"/>
      <c r="D39" s="417" t="str">
        <f ca="1">Calibración!G38</f>
        <v/>
      </c>
      <c r="E39" s="417"/>
      <c r="F39" s="414" t="str">
        <f ca="1">Calibración!H38</f>
        <v/>
      </c>
      <c r="G39" s="415"/>
      <c r="H39" s="415"/>
      <c r="I39" s="415"/>
      <c r="J39" s="415"/>
      <c r="K39" s="416"/>
      <c r="L39" s="417" t="str">
        <f ca="1">Calibración!I38</f>
        <v/>
      </c>
      <c r="M39" s="417"/>
      <c r="N39" s="417"/>
      <c r="O39" s="417"/>
      <c r="P39" s="417"/>
      <c r="Q39" s="417"/>
      <c r="R39" s="417" t="str">
        <f ca="1">Calibración!J38</f>
        <v/>
      </c>
      <c r="S39" s="417"/>
      <c r="T39" s="417"/>
      <c r="U39" s="417"/>
      <c r="V39" s="417"/>
      <c r="W39" s="417"/>
    </row>
    <row r="40" spans="1:23" x14ac:dyDescent="0.3">
      <c r="A40" s="9"/>
      <c r="B40" s="9"/>
      <c r="C40" s="9"/>
      <c r="D40" s="417" t="str">
        <f ca="1">Calibración!G39</f>
        <v/>
      </c>
      <c r="E40" s="417"/>
      <c r="F40" s="414" t="str">
        <f ca="1">Calibración!H39</f>
        <v/>
      </c>
      <c r="G40" s="415"/>
      <c r="H40" s="415"/>
      <c r="I40" s="415"/>
      <c r="J40" s="415"/>
      <c r="K40" s="416"/>
      <c r="L40" s="417" t="str">
        <f ca="1">Calibración!I39</f>
        <v/>
      </c>
      <c r="M40" s="417"/>
      <c r="N40" s="417"/>
      <c r="O40" s="417"/>
      <c r="P40" s="417"/>
      <c r="Q40" s="417"/>
      <c r="R40" s="414" t="str">
        <f ca="1">Calibración!J39</f>
        <v/>
      </c>
      <c r="S40" s="415"/>
      <c r="T40" s="415"/>
      <c r="U40" s="415"/>
      <c r="V40" s="415"/>
      <c r="W40" s="416"/>
    </row>
    <row r="41" spans="1:23" x14ac:dyDescent="0.3">
      <c r="A41" s="9"/>
      <c r="B41" s="9"/>
      <c r="C41" s="9"/>
      <c r="D41" s="417" t="str">
        <f ca="1">Calibración!G40</f>
        <v/>
      </c>
      <c r="E41" s="417"/>
      <c r="F41" s="414" t="str">
        <f ca="1">Calibración!H40</f>
        <v/>
      </c>
      <c r="G41" s="415"/>
      <c r="H41" s="415"/>
      <c r="I41" s="415"/>
      <c r="J41" s="415"/>
      <c r="K41" s="416"/>
      <c r="L41" s="417" t="str">
        <f ca="1">Calibración!I40</f>
        <v/>
      </c>
      <c r="M41" s="417"/>
      <c r="N41" s="417"/>
      <c r="O41" s="417"/>
      <c r="P41" s="417"/>
      <c r="Q41" s="417"/>
      <c r="R41" s="414" t="str">
        <f ca="1">Calibración!J40</f>
        <v/>
      </c>
      <c r="S41" s="415"/>
      <c r="T41" s="415"/>
      <c r="U41" s="415"/>
      <c r="V41" s="415"/>
      <c r="W41" s="416"/>
    </row>
    <row r="42" spans="1:23" x14ac:dyDescent="0.3">
      <c r="A42" s="9"/>
      <c r="B42" s="9"/>
      <c r="C42" s="9"/>
      <c r="D42" s="417" t="str">
        <f ca="1">Calibración!G41</f>
        <v/>
      </c>
      <c r="E42" s="417"/>
      <c r="F42" s="414" t="str">
        <f ca="1">Calibración!H41</f>
        <v/>
      </c>
      <c r="G42" s="415"/>
      <c r="H42" s="415"/>
      <c r="I42" s="415"/>
      <c r="J42" s="415"/>
      <c r="K42" s="416"/>
      <c r="L42" s="417" t="str">
        <f ca="1">Calibración!I41</f>
        <v/>
      </c>
      <c r="M42" s="417"/>
      <c r="N42" s="417"/>
      <c r="O42" s="417"/>
      <c r="P42" s="417"/>
      <c r="Q42" s="417"/>
      <c r="R42" s="414" t="str">
        <f ca="1">Calibración!J41</f>
        <v/>
      </c>
      <c r="S42" s="415"/>
      <c r="T42" s="415"/>
      <c r="U42" s="415"/>
      <c r="V42" s="415"/>
      <c r="W42" s="416"/>
    </row>
    <row r="43" spans="1:23" x14ac:dyDescent="0.3">
      <c r="A43" s="9"/>
      <c r="B43" s="9"/>
      <c r="C43" s="9"/>
      <c r="D43" s="417" t="str">
        <f ca="1">Calibración!G42</f>
        <v/>
      </c>
      <c r="E43" s="417"/>
      <c r="F43" s="414" t="str">
        <f ca="1">Calibración!H42</f>
        <v/>
      </c>
      <c r="G43" s="415"/>
      <c r="H43" s="415"/>
      <c r="I43" s="415"/>
      <c r="J43" s="415"/>
      <c r="K43" s="416"/>
      <c r="L43" s="417" t="str">
        <f ca="1">Calibración!I42</f>
        <v/>
      </c>
      <c r="M43" s="417"/>
      <c r="N43" s="417"/>
      <c r="O43" s="417"/>
      <c r="P43" s="417"/>
      <c r="Q43" s="417"/>
      <c r="R43" s="414" t="str">
        <f ca="1">Calibración!J42</f>
        <v/>
      </c>
      <c r="S43" s="415"/>
      <c r="T43" s="415"/>
      <c r="U43" s="415"/>
      <c r="V43" s="415"/>
      <c r="W43" s="416"/>
    </row>
    <row r="44" spans="1:23" x14ac:dyDescent="0.3">
      <c r="A44" s="9"/>
      <c r="B44" s="9"/>
      <c r="C44" s="9"/>
      <c r="D44" s="238"/>
      <c r="E44" s="238"/>
      <c r="F44" s="238"/>
      <c r="G44" s="238"/>
      <c r="H44" s="238"/>
      <c r="I44" s="238"/>
      <c r="J44" s="238"/>
      <c r="K44" s="238"/>
      <c r="L44" s="238"/>
      <c r="M44" s="238"/>
      <c r="N44" s="238"/>
      <c r="O44" s="238"/>
      <c r="P44" s="238"/>
      <c r="Q44" s="238"/>
      <c r="R44" s="238"/>
      <c r="S44" s="238"/>
      <c r="T44" s="238"/>
      <c r="U44" s="238"/>
      <c r="V44" s="238"/>
      <c r="W44" s="238"/>
    </row>
    <row r="45" spans="1:23" x14ac:dyDescent="0.3">
      <c r="A45" s="226" t="s">
        <v>371</v>
      </c>
      <c r="B45" s="9"/>
      <c r="C45" s="9"/>
      <c r="D45" s="9"/>
      <c r="E45" s="9"/>
      <c r="F45" s="234" t="s">
        <v>99</v>
      </c>
      <c r="H45" s="9"/>
      <c r="I45" s="9"/>
      <c r="J45" s="234" t="str">
        <f>General!I4</f>
        <v>NI-MCPPT-01</v>
      </c>
      <c r="L45" s="9"/>
      <c r="O45" s="226" t="s">
        <v>372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5"/>
      <c r="B46" s="442" t="s">
        <v>373</v>
      </c>
      <c r="C46" s="442"/>
      <c r="D46" s="442"/>
      <c r="E46" s="236">
        <f>CertTempC</f>
        <v>19.5</v>
      </c>
      <c r="F46" s="237" t="s">
        <v>374</v>
      </c>
      <c r="G46" s="238">
        <f>CertTempIncerti</f>
        <v>0.3</v>
      </c>
      <c r="H46" s="235" t="s">
        <v>97</v>
      </c>
      <c r="I46" s="9"/>
      <c r="J46" s="9"/>
      <c r="K46" s="425"/>
      <c r="L46" s="425"/>
      <c r="M46" s="9"/>
      <c r="N46" s="9"/>
      <c r="O46" s="9"/>
      <c r="P46" s="235" t="s">
        <v>375</v>
      </c>
      <c r="Q46" s="9"/>
      <c r="R46" s="9"/>
      <c r="S46" s="9"/>
      <c r="T46" s="443">
        <f>General!I18</f>
        <v>1001</v>
      </c>
      <c r="U46" s="443"/>
      <c r="V46" s="237" t="s">
        <v>376</v>
      </c>
      <c r="W46" s="236">
        <f>CertPresIncert</f>
        <v>10</v>
      </c>
    </row>
    <row r="47" spans="1:23" x14ac:dyDescent="0.3">
      <c r="A47" s="235"/>
      <c r="B47" s="235" t="s">
        <v>377</v>
      </c>
      <c r="C47" s="235"/>
      <c r="D47" s="235"/>
      <c r="E47" s="236">
        <f>CertHR</f>
        <v>12.166666666666666</v>
      </c>
      <c r="F47" s="237" t="s">
        <v>378</v>
      </c>
      <c r="G47" s="238">
        <f>CertHRIncerti</f>
        <v>1.3</v>
      </c>
      <c r="H47" s="237" t="s">
        <v>379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A48" s="9"/>
      <c r="B48" s="9"/>
      <c r="C48" s="9"/>
      <c r="D48" s="238"/>
      <c r="E48" s="238"/>
      <c r="F48" s="238"/>
      <c r="G48" s="238"/>
      <c r="H48" s="238"/>
      <c r="I48" s="238"/>
      <c r="J48" s="238"/>
      <c r="K48" s="238"/>
      <c r="L48" s="238"/>
      <c r="M48" s="238"/>
      <c r="N48" s="238"/>
      <c r="O48" s="238"/>
      <c r="P48" s="238"/>
      <c r="Q48" s="238"/>
      <c r="R48" s="238"/>
      <c r="S48" s="238"/>
      <c r="T48" s="238"/>
      <c r="U48" s="238"/>
      <c r="V48" s="238"/>
      <c r="W48" s="238"/>
    </row>
    <row r="50" spans="1:24" x14ac:dyDescent="0.3">
      <c r="A50" s="235"/>
      <c r="B50" s="235"/>
      <c r="C50" s="235"/>
      <c r="D50" s="235"/>
      <c r="E50" s="236"/>
      <c r="F50" s="237"/>
      <c r="G50" s="238"/>
      <c r="H50" s="237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x14ac:dyDescent="0.3">
      <c r="A51" s="235"/>
      <c r="B51" s="235"/>
      <c r="C51" s="235"/>
      <c r="D51" s="235"/>
      <c r="E51" s="236"/>
      <c r="F51" s="237"/>
      <c r="G51" s="238"/>
      <c r="H51" s="237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x14ac:dyDescent="0.3">
      <c r="A52" s="235"/>
      <c r="B52" s="235"/>
      <c r="C52" s="235"/>
      <c r="D52" s="235"/>
      <c r="E52" s="236"/>
      <c r="F52" s="237"/>
      <c r="G52" s="238"/>
      <c r="H52" s="237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x14ac:dyDescent="0.3">
      <c r="A53" s="235"/>
      <c r="B53" s="235"/>
      <c r="C53" s="235"/>
      <c r="D53" s="235"/>
      <c r="E53" s="236"/>
      <c r="F53" s="237"/>
      <c r="G53" s="238"/>
      <c r="H53" s="237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7.5" customHeight="1" x14ac:dyDescent="0.3">
      <c r="A54" s="235"/>
      <c r="B54" s="235"/>
      <c r="C54" s="235"/>
      <c r="D54" s="235"/>
      <c r="E54" s="236"/>
      <c r="F54" s="237"/>
      <c r="G54" s="238"/>
      <c r="H54" s="237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x14ac:dyDescent="0.3">
      <c r="A55" s="235"/>
      <c r="B55" s="235"/>
      <c r="C55" s="235"/>
      <c r="D55" s="235"/>
      <c r="E55" s="236"/>
      <c r="F55" s="237"/>
      <c r="G55" s="238"/>
      <c r="H55" s="237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x14ac:dyDescent="0.3">
      <c r="A56" s="235"/>
      <c r="B56" s="235"/>
      <c r="C56" s="235"/>
      <c r="D56" s="235"/>
      <c r="E56" s="236"/>
      <c r="F56" s="237"/>
      <c r="G56" s="238"/>
      <c r="H56" s="237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x14ac:dyDescent="0.3">
      <c r="A57" s="235"/>
      <c r="B57" s="235"/>
      <c r="C57" s="235"/>
      <c r="D57" s="235"/>
      <c r="E57" s="236"/>
      <c r="F57" s="237"/>
      <c r="G57" s="238"/>
      <c r="H57" s="237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x14ac:dyDescent="0.3">
      <c r="A58" s="226" t="s">
        <v>354</v>
      </c>
      <c r="B58" s="9"/>
      <c r="C58" s="227"/>
      <c r="D58" s="228"/>
      <c r="E58" s="228"/>
      <c r="F58" s="228"/>
      <c r="G58" s="9"/>
      <c r="H58" s="9"/>
      <c r="I58" s="9"/>
      <c r="J58" s="9"/>
      <c r="K58" s="9"/>
      <c r="L58" s="9"/>
      <c r="M58" s="9"/>
      <c r="N58" s="423" t="str">
        <f>N8</f>
        <v>NI-MC-P-XXXX-2024</v>
      </c>
      <c r="O58" s="423"/>
      <c r="P58" s="423"/>
      <c r="Q58" s="423"/>
      <c r="R58" s="423"/>
      <c r="S58" s="423"/>
      <c r="T58" s="423"/>
      <c r="U58" s="423"/>
      <c r="V58" s="423"/>
      <c r="W58" s="423"/>
    </row>
    <row r="59" spans="1:24" x14ac:dyDescent="0.3">
      <c r="A59" s="226"/>
      <c r="B59" s="9"/>
      <c r="C59" s="227"/>
      <c r="D59" s="228"/>
      <c r="E59" s="228"/>
      <c r="F59" s="228"/>
      <c r="G59" s="9"/>
      <c r="H59" s="9"/>
      <c r="I59" s="9"/>
      <c r="J59" s="9"/>
      <c r="K59" s="9"/>
      <c r="L59" s="9"/>
      <c r="M59" s="9"/>
      <c r="N59" s="250"/>
      <c r="O59" s="250"/>
      <c r="P59" s="250"/>
      <c r="Q59" s="250"/>
      <c r="R59" s="250"/>
      <c r="S59" s="250"/>
      <c r="T59" s="250"/>
      <c r="U59" s="250"/>
      <c r="V59" s="250"/>
      <c r="W59" s="250"/>
    </row>
    <row r="60" spans="1:24" x14ac:dyDescent="0.3">
      <c r="A60" s="226"/>
      <c r="B60" s="9"/>
      <c r="C60" s="227"/>
      <c r="D60" s="228"/>
      <c r="E60" s="228"/>
      <c r="F60" s="228"/>
      <c r="G60" s="9"/>
      <c r="H60" s="9"/>
      <c r="I60" s="9"/>
      <c r="J60" s="9"/>
      <c r="K60" s="9"/>
      <c r="L60" s="9"/>
      <c r="M60" s="9"/>
      <c r="N60" s="250"/>
      <c r="O60" s="250"/>
      <c r="P60" s="250"/>
      <c r="Q60" s="250"/>
      <c r="R60" s="250"/>
      <c r="S60" s="250"/>
      <c r="T60" s="250"/>
      <c r="U60" s="250"/>
      <c r="V60" s="250"/>
      <c r="W60" s="250"/>
    </row>
    <row r="61" spans="1:24" x14ac:dyDescent="0.3">
      <c r="A61" s="226" t="s">
        <v>380</v>
      </c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</row>
    <row r="62" spans="1:24" ht="15" customHeight="1" x14ac:dyDescent="0.3">
      <c r="A62" s="435" t="s">
        <v>504</v>
      </c>
      <c r="B62" s="435"/>
      <c r="C62" s="435"/>
      <c r="D62" s="435"/>
      <c r="E62" s="435"/>
      <c r="F62" s="435"/>
      <c r="G62" s="435"/>
      <c r="H62" s="435"/>
      <c r="I62" s="435"/>
      <c r="J62" s="435"/>
      <c r="K62" s="435"/>
      <c r="L62" s="435"/>
      <c r="M62" s="435"/>
      <c r="N62" s="435"/>
      <c r="O62" s="435"/>
      <c r="P62" s="435"/>
      <c r="Q62" s="435"/>
      <c r="R62" s="435"/>
      <c r="S62" s="435"/>
      <c r="T62" s="435"/>
      <c r="U62" s="435"/>
      <c r="V62" s="435"/>
      <c r="W62" s="435"/>
      <c r="X62" s="435"/>
    </row>
    <row r="63" spans="1:24" x14ac:dyDescent="0.3"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</row>
    <row r="64" spans="1:24" ht="15" customHeight="1" x14ac:dyDescent="0.3">
      <c r="A64" s="226" t="s">
        <v>381</v>
      </c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</row>
    <row r="65" spans="1:24" x14ac:dyDescent="0.3">
      <c r="A65" s="435" t="s">
        <v>382</v>
      </c>
      <c r="B65" s="435"/>
      <c r="C65" s="435"/>
      <c r="D65" s="435"/>
      <c r="E65" s="435"/>
      <c r="F65" s="435"/>
      <c r="G65" s="435"/>
      <c r="H65" s="435"/>
      <c r="I65" s="435"/>
      <c r="J65" s="435"/>
      <c r="K65" s="435"/>
      <c r="L65" s="435"/>
      <c r="M65" s="435"/>
      <c r="N65" s="435"/>
      <c r="O65" s="435"/>
      <c r="P65" s="435"/>
      <c r="Q65" s="435"/>
      <c r="R65" s="435"/>
      <c r="S65" s="435"/>
      <c r="T65" s="435"/>
      <c r="U65" s="435"/>
      <c r="V65" s="435"/>
      <c r="W65" s="435"/>
      <c r="X65" s="435"/>
    </row>
    <row r="66" spans="1:24" ht="15" customHeight="1" x14ac:dyDescent="0.3">
      <c r="A66" s="435"/>
      <c r="B66" s="435"/>
      <c r="C66" s="435"/>
      <c r="D66" s="435"/>
      <c r="E66" s="435"/>
      <c r="F66" s="435"/>
      <c r="G66" s="435"/>
      <c r="H66" s="435"/>
      <c r="I66" s="435"/>
      <c r="J66" s="435"/>
      <c r="K66" s="435"/>
      <c r="L66" s="435"/>
      <c r="M66" s="435"/>
      <c r="N66" s="435"/>
      <c r="O66" s="435"/>
      <c r="P66" s="435"/>
      <c r="Q66" s="435"/>
      <c r="R66" s="435"/>
      <c r="S66" s="435"/>
      <c r="T66" s="435"/>
      <c r="U66" s="435"/>
      <c r="V66" s="435"/>
      <c r="W66" s="435"/>
      <c r="X66" s="435"/>
    </row>
    <row r="67" spans="1:24" ht="15" customHeight="1" x14ac:dyDescent="0.3">
      <c r="A67" s="435"/>
      <c r="B67" s="435"/>
      <c r="C67" s="435"/>
      <c r="D67" s="435"/>
      <c r="E67" s="435"/>
      <c r="F67" s="435"/>
      <c r="G67" s="435"/>
      <c r="H67" s="435"/>
      <c r="I67" s="435"/>
      <c r="J67" s="435"/>
      <c r="K67" s="435"/>
      <c r="L67" s="435"/>
      <c r="M67" s="435"/>
      <c r="N67" s="435"/>
      <c r="O67" s="435"/>
      <c r="P67" s="435"/>
      <c r="Q67" s="435"/>
      <c r="R67" s="435"/>
      <c r="S67" s="435"/>
      <c r="T67" s="435"/>
      <c r="U67" s="435"/>
      <c r="V67" s="435"/>
      <c r="W67" s="435"/>
      <c r="X67" s="435"/>
    </row>
    <row r="68" spans="1:24" x14ac:dyDescent="0.3">
      <c r="A68" s="435"/>
      <c r="B68" s="435"/>
      <c r="C68" s="435"/>
      <c r="D68" s="435"/>
      <c r="E68" s="435"/>
      <c r="F68" s="435"/>
      <c r="G68" s="435"/>
      <c r="H68" s="435"/>
      <c r="I68" s="435"/>
      <c r="J68" s="435"/>
      <c r="K68" s="435"/>
      <c r="L68" s="435"/>
      <c r="M68" s="435"/>
      <c r="N68" s="435"/>
      <c r="O68" s="435"/>
      <c r="P68" s="435"/>
      <c r="Q68" s="435"/>
      <c r="R68" s="435"/>
      <c r="S68" s="435"/>
      <c r="T68" s="435"/>
      <c r="U68" s="435"/>
      <c r="V68" s="435"/>
      <c r="W68" s="435"/>
      <c r="X68" s="435"/>
    </row>
    <row r="69" spans="1:24" x14ac:dyDescent="0.3">
      <c r="A69" s="435"/>
      <c r="B69" s="435"/>
      <c r="C69" s="435"/>
      <c r="D69" s="435"/>
      <c r="E69" s="435"/>
      <c r="F69" s="435"/>
      <c r="G69" s="435"/>
      <c r="H69" s="435"/>
      <c r="I69" s="435"/>
      <c r="J69" s="435"/>
      <c r="K69" s="435"/>
      <c r="L69" s="435"/>
      <c r="M69" s="435"/>
      <c r="N69" s="435"/>
      <c r="O69" s="435"/>
      <c r="P69" s="435"/>
      <c r="Q69" s="435"/>
      <c r="R69" s="435"/>
      <c r="S69" s="435"/>
      <c r="T69" s="435"/>
      <c r="U69" s="435"/>
      <c r="V69" s="435"/>
      <c r="W69" s="435"/>
      <c r="X69" s="435"/>
    </row>
    <row r="70" spans="1:24" x14ac:dyDescent="0.3">
      <c r="A70" s="226" t="s">
        <v>383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436" t="s">
        <v>98</v>
      </c>
      <c r="B71" s="437"/>
      <c r="C71" s="437"/>
      <c r="D71" s="437"/>
      <c r="E71" s="437"/>
      <c r="F71" s="438"/>
      <c r="G71" s="436" t="s">
        <v>4</v>
      </c>
      <c r="H71" s="437"/>
      <c r="I71" s="438"/>
      <c r="J71" s="439" t="s">
        <v>101</v>
      </c>
      <c r="K71" s="440"/>
      <c r="L71" s="440"/>
      <c r="M71" s="440"/>
      <c r="N71" s="441"/>
      <c r="O71" s="436" t="s">
        <v>384</v>
      </c>
      <c r="P71" s="437"/>
      <c r="Q71" s="437"/>
      <c r="R71" s="437"/>
      <c r="S71" s="437"/>
      <c r="T71" s="438"/>
      <c r="U71" s="439" t="s">
        <v>385</v>
      </c>
      <c r="V71" s="440"/>
      <c r="W71" s="440"/>
      <c r="X71" s="441"/>
    </row>
    <row r="72" spans="1:24" x14ac:dyDescent="0.3">
      <c r="A72" s="444" t="s">
        <v>393</v>
      </c>
      <c r="B72" s="445" t="s">
        <v>393</v>
      </c>
      <c r="C72" s="445" t="s">
        <v>393</v>
      </c>
      <c r="D72" s="445" t="s">
        <v>393</v>
      </c>
      <c r="E72" s="445" t="s">
        <v>393</v>
      </c>
      <c r="F72" s="446" t="s">
        <v>393</v>
      </c>
      <c r="G72" s="444" t="s">
        <v>247</v>
      </c>
      <c r="H72" s="445" t="s">
        <v>247</v>
      </c>
      <c r="I72" s="446" t="s">
        <v>247</v>
      </c>
      <c r="J72" s="447" t="s">
        <v>498</v>
      </c>
      <c r="K72" s="448" t="s">
        <v>395</v>
      </c>
      <c r="L72" s="448">
        <v>43368</v>
      </c>
      <c r="M72" s="448" t="s">
        <v>394</v>
      </c>
      <c r="N72" s="449" t="s">
        <v>395</v>
      </c>
      <c r="O72" s="444" t="s">
        <v>395</v>
      </c>
      <c r="P72" s="445" t="s">
        <v>395</v>
      </c>
      <c r="Q72" s="445" t="s">
        <v>395</v>
      </c>
      <c r="R72" s="445" t="s">
        <v>395</v>
      </c>
      <c r="S72" s="445" t="s">
        <v>395</v>
      </c>
      <c r="T72" s="446" t="s">
        <v>395</v>
      </c>
      <c r="U72" s="447">
        <v>44096</v>
      </c>
      <c r="V72" s="448" t="s">
        <v>394</v>
      </c>
      <c r="W72" s="448" t="s">
        <v>395</v>
      </c>
      <c r="X72" s="449">
        <v>43368</v>
      </c>
    </row>
    <row r="73" spans="1:24" ht="15" customHeight="1" x14ac:dyDescent="0.3">
      <c r="A73" s="444" t="s">
        <v>410</v>
      </c>
      <c r="B73" s="445"/>
      <c r="C73" s="445"/>
      <c r="D73" s="445"/>
      <c r="E73" s="445"/>
      <c r="F73" s="446"/>
      <c r="G73" s="444" t="s">
        <v>505</v>
      </c>
      <c r="H73" s="445"/>
      <c r="I73" s="446"/>
      <c r="J73" s="447" t="s">
        <v>507</v>
      </c>
      <c r="K73" s="448"/>
      <c r="L73" s="448"/>
      <c r="M73" s="448"/>
      <c r="N73" s="449"/>
      <c r="O73" s="444" t="s">
        <v>395</v>
      </c>
      <c r="P73" s="445" t="s">
        <v>395</v>
      </c>
      <c r="Q73" s="445" t="s">
        <v>395</v>
      </c>
      <c r="R73" s="445" t="s">
        <v>395</v>
      </c>
      <c r="S73" s="445" t="s">
        <v>395</v>
      </c>
      <c r="T73" s="446" t="s">
        <v>395</v>
      </c>
      <c r="U73" s="447">
        <v>44008</v>
      </c>
      <c r="V73" s="448"/>
      <c r="W73" s="448"/>
      <c r="X73" s="449"/>
    </row>
    <row r="74" spans="1:24" ht="15" customHeight="1" x14ac:dyDescent="0.3">
      <c r="A74" s="444" t="s">
        <v>99</v>
      </c>
      <c r="B74" s="445" t="s">
        <v>393</v>
      </c>
      <c r="C74" s="445" t="s">
        <v>393</v>
      </c>
      <c r="D74" s="445" t="s">
        <v>393</v>
      </c>
      <c r="E74" s="445" t="s">
        <v>393</v>
      </c>
      <c r="F74" s="446" t="s">
        <v>393</v>
      </c>
      <c r="G74" s="444" t="s">
        <v>109</v>
      </c>
      <c r="H74" s="445" t="s">
        <v>255</v>
      </c>
      <c r="I74" s="446" t="s">
        <v>255</v>
      </c>
      <c r="J74" s="447" t="s">
        <v>497</v>
      </c>
      <c r="K74" s="448" t="s">
        <v>397</v>
      </c>
      <c r="L74" s="448">
        <v>43393</v>
      </c>
      <c r="M74" s="448" t="s">
        <v>404</v>
      </c>
      <c r="N74" s="449" t="s">
        <v>397</v>
      </c>
      <c r="O74" s="444" t="s">
        <v>395</v>
      </c>
      <c r="P74" s="445" t="s">
        <v>395</v>
      </c>
      <c r="Q74" s="445" t="s">
        <v>395</v>
      </c>
      <c r="R74" s="445" t="s">
        <v>395</v>
      </c>
      <c r="S74" s="445" t="s">
        <v>395</v>
      </c>
      <c r="T74" s="446" t="s">
        <v>395</v>
      </c>
      <c r="U74" s="447">
        <v>44331</v>
      </c>
      <c r="V74" s="448" t="s">
        <v>404</v>
      </c>
      <c r="W74" s="448" t="s">
        <v>397</v>
      </c>
      <c r="X74" s="449">
        <v>43393</v>
      </c>
    </row>
    <row r="75" spans="1:24" ht="15" customHeight="1" x14ac:dyDescent="0.3">
      <c r="A75" s="239"/>
      <c r="B75" s="239"/>
      <c r="C75" s="239"/>
      <c r="D75" s="239"/>
      <c r="E75" s="239"/>
      <c r="F75" s="239"/>
      <c r="G75" s="239"/>
      <c r="H75" s="239"/>
      <c r="I75" s="239"/>
      <c r="J75" s="239"/>
      <c r="K75" s="239"/>
      <c r="L75" s="239"/>
      <c r="M75" s="239"/>
      <c r="N75" s="239"/>
      <c r="O75" s="239"/>
      <c r="P75" s="239"/>
      <c r="Q75" s="239"/>
      <c r="R75" s="239"/>
      <c r="S75" s="239"/>
      <c r="T75" s="239"/>
      <c r="U75" s="239"/>
      <c r="V75" s="239"/>
      <c r="W75" s="239"/>
      <c r="X75" s="239"/>
    </row>
    <row r="76" spans="1:24" x14ac:dyDescent="0.3">
      <c r="A76" s="226" t="s">
        <v>386</v>
      </c>
      <c r="B76" s="9"/>
      <c r="C76" s="9"/>
      <c r="D76" s="9"/>
      <c r="E76" s="9"/>
      <c r="F76" s="9"/>
      <c r="G76" s="9"/>
      <c r="H76" s="9"/>
      <c r="I76" s="9"/>
      <c r="J76" s="292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40" t="s">
        <v>387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41" t="s">
        <v>448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435" t="str">
        <f>IF(Calibración!E10="2",Calibración!BJ6,Calibración!BJ7)</f>
        <v>La indicación de la presión de referencia y del equipo corresponden al promedio de 6 mediciones en 3 ciclos ascendentes y descendentes.</v>
      </c>
      <c r="B79" s="435"/>
      <c r="C79" s="435"/>
      <c r="D79" s="435"/>
      <c r="E79" s="435"/>
      <c r="F79" s="435"/>
      <c r="G79" s="435"/>
      <c r="H79" s="435"/>
      <c r="I79" s="435"/>
      <c r="J79" s="435"/>
      <c r="K79" s="435"/>
      <c r="L79" s="435"/>
      <c r="M79" s="435"/>
      <c r="N79" s="435"/>
      <c r="O79" s="435"/>
      <c r="P79" s="435"/>
      <c r="Q79" s="435"/>
      <c r="R79" s="435"/>
      <c r="S79" s="435"/>
      <c r="T79" s="435"/>
      <c r="U79" s="435"/>
      <c r="V79" s="435"/>
      <c r="W79" s="435"/>
      <c r="X79" s="435"/>
    </row>
    <row r="80" spans="1:24" ht="15" customHeight="1" x14ac:dyDescent="0.3">
      <c r="A80" s="435"/>
      <c r="B80" s="435"/>
      <c r="C80" s="435"/>
      <c r="D80" s="435"/>
      <c r="E80" s="435"/>
      <c r="F80" s="435"/>
      <c r="G80" s="435"/>
      <c r="H80" s="435"/>
      <c r="I80" s="435"/>
      <c r="J80" s="435"/>
      <c r="K80" s="435"/>
      <c r="L80" s="435"/>
      <c r="M80" s="435"/>
      <c r="N80" s="435"/>
      <c r="O80" s="435"/>
      <c r="P80" s="435"/>
      <c r="Q80" s="435"/>
      <c r="R80" s="435"/>
      <c r="S80" s="435"/>
      <c r="T80" s="435"/>
      <c r="U80" s="435"/>
      <c r="V80" s="435"/>
      <c r="W80" s="435"/>
      <c r="X80" s="435"/>
    </row>
    <row r="81" spans="1:25" ht="15" customHeight="1" x14ac:dyDescent="0.3">
      <c r="A81" s="240" t="s">
        <v>388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40" t="s">
        <v>389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481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482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41" t="s">
        <v>450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450" t="s">
        <v>30</v>
      </c>
      <c r="J92" s="450"/>
      <c r="K92" s="450"/>
      <c r="L92" s="450"/>
      <c r="M92" s="450"/>
      <c r="N92" s="450"/>
      <c r="O92" s="450"/>
      <c r="P92" s="450"/>
      <c r="Y92" s="9"/>
    </row>
    <row r="93" spans="1:25" x14ac:dyDescent="0.3">
      <c r="I93" s="451" t="str">
        <f>IF(I92=[5]Generales!$F$1,[5]Generales!$F$6,[5]Generales!$F$5)</f>
        <v>Director Técnico</v>
      </c>
      <c r="J93" s="451"/>
      <c r="K93" s="451"/>
      <c r="L93" s="451"/>
      <c r="M93" s="451"/>
      <c r="N93" s="451"/>
      <c r="O93" s="451"/>
      <c r="P93" s="451"/>
    </row>
    <row r="94" spans="1:25" x14ac:dyDescent="0.3">
      <c r="I94" s="452" t="s">
        <v>390</v>
      </c>
      <c r="J94" s="452"/>
      <c r="K94" s="452"/>
      <c r="L94" s="452"/>
      <c r="M94" s="452"/>
      <c r="N94" s="452"/>
      <c r="O94" s="452"/>
      <c r="P94" s="452"/>
    </row>
    <row r="96" spans="1:25" x14ac:dyDescent="0.3">
      <c r="I96" s="453" t="s">
        <v>391</v>
      </c>
      <c r="J96" s="453"/>
      <c r="K96" s="453"/>
      <c r="L96" s="453"/>
      <c r="M96" s="453"/>
      <c r="N96" s="453"/>
      <c r="O96" s="453"/>
      <c r="P96" s="453"/>
    </row>
  </sheetData>
  <mergeCells count="104"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P17:S17"/>
    <mergeCell ref="N11:Q11"/>
    <mergeCell ref="D27:E27"/>
    <mergeCell ref="F27:K27"/>
    <mergeCell ref="L27:Q27"/>
    <mergeCell ref="R27:W27"/>
    <mergeCell ref="D28:E28"/>
    <mergeCell ref="F28:K28"/>
    <mergeCell ref="L28:Q28"/>
    <mergeCell ref="R28:W28"/>
    <mergeCell ref="N21:X22"/>
    <mergeCell ref="D24:W24"/>
    <mergeCell ref="D25:E26"/>
    <mergeCell ref="F25:K26"/>
    <mergeCell ref="L25:Q26"/>
    <mergeCell ref="R25:W26"/>
    <mergeCell ref="D31:E31"/>
    <mergeCell ref="F31:K31"/>
    <mergeCell ref="L31:Q31"/>
    <mergeCell ref="R31:W31"/>
    <mergeCell ref="D32:E32"/>
    <mergeCell ref="F32:K32"/>
    <mergeCell ref="L32:Q32"/>
    <mergeCell ref="R32:W32"/>
    <mergeCell ref="D29:E29"/>
    <mergeCell ref="F29:K29"/>
    <mergeCell ref="L29:Q29"/>
    <mergeCell ref="R29:W29"/>
    <mergeCell ref="D30:E30"/>
    <mergeCell ref="F30:K30"/>
    <mergeCell ref="L30:Q30"/>
    <mergeCell ref="R30:W30"/>
    <mergeCell ref="D40:E40"/>
    <mergeCell ref="F40:K40"/>
    <mergeCell ref="L40:Q40"/>
    <mergeCell ref="R40:W40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39:E39"/>
    <mergeCell ref="F39:K39"/>
    <mergeCell ref="L39:Q39"/>
    <mergeCell ref="R39:W39"/>
    <mergeCell ref="T46:U46"/>
    <mergeCell ref="D41:E41"/>
    <mergeCell ref="F41:K41"/>
    <mergeCell ref="L41:Q41"/>
    <mergeCell ref="R41:W41"/>
    <mergeCell ref="D42:E42"/>
    <mergeCell ref="F42:K42"/>
    <mergeCell ref="L42:Q42"/>
    <mergeCell ref="R42:W42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I92:P92"/>
    <mergeCell ref="I93:P93"/>
    <mergeCell ref="I94:P94"/>
    <mergeCell ref="I96:P96"/>
    <mergeCell ref="N17:O17"/>
    <mergeCell ref="A74:F74"/>
    <mergeCell ref="G74:I74"/>
    <mergeCell ref="J74:N74"/>
    <mergeCell ref="O74:T74"/>
    <mergeCell ref="N58:W58"/>
    <mergeCell ref="A62:X62"/>
    <mergeCell ref="A65:X69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  <mergeCell ref="U74:X74"/>
  </mergeCells>
  <conditionalFormatting sqref="A83">
    <cfRule type="cellIs" priority="1" operator="equal">
      <formula>$D$25</formula>
    </cfRule>
  </conditionalFormatting>
  <conditionalFormatting sqref="A84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&amp;C&amp;G&amp;R&amp;"Arial,Normal"&amp;7Página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/>
  <dimension ref="B2:AH29"/>
  <sheetViews>
    <sheetView zoomScale="85" zoomScaleNormal="85" workbookViewId="0">
      <selection activeCell="T41" sqref="T41"/>
    </sheetView>
  </sheetViews>
  <sheetFormatPr baseColWidth="10" defaultColWidth="9.109375" defaultRowHeight="14.4" x14ac:dyDescent="0.3"/>
  <cols>
    <col min="6" max="6" width="13" customWidth="1"/>
    <col min="7" max="7" width="16" customWidth="1"/>
    <col min="11" max="11" width="11.44140625" customWidth="1"/>
    <col min="13" max="13" width="9.6640625" customWidth="1"/>
    <col min="17" max="17" width="10.109375" customWidth="1"/>
    <col min="18" max="18" width="11.33203125" customWidth="1"/>
    <col min="20" max="20" width="11.109375" customWidth="1"/>
    <col min="23" max="23" width="9.6640625" customWidth="1"/>
    <col min="24" max="24" width="10.6640625" customWidth="1"/>
    <col min="25" max="25" width="10.88671875" customWidth="1"/>
    <col min="26" max="26" width="9.6640625" customWidth="1"/>
    <col min="27" max="27" width="10.5546875" customWidth="1"/>
    <col min="30" max="30" width="9.88671875" customWidth="1"/>
    <col min="31" max="31" width="10" customWidth="1"/>
    <col min="32" max="33" width="10.44140625" customWidth="1"/>
    <col min="34" max="34" width="10.6640625" customWidth="1"/>
  </cols>
  <sheetData>
    <row r="2" spans="2:34" x14ac:dyDescent="0.3">
      <c r="B2" s="461" t="s">
        <v>470</v>
      </c>
      <c r="C2" s="461"/>
      <c r="D2" s="461"/>
      <c r="E2" s="461"/>
      <c r="F2" s="461"/>
      <c r="G2" s="461"/>
      <c r="I2" s="271"/>
    </row>
    <row r="3" spans="2:34" x14ac:dyDescent="0.3">
      <c r="B3" s="272"/>
      <c r="C3" s="272"/>
      <c r="D3" s="272"/>
      <c r="E3" s="272"/>
      <c r="F3" s="272"/>
      <c r="G3" s="272"/>
    </row>
    <row r="4" spans="2:34" ht="15" thickBot="1" x14ac:dyDescent="0.35">
      <c r="B4" s="456" t="s">
        <v>474</v>
      </c>
      <c r="C4" s="456"/>
      <c r="D4" s="272"/>
      <c r="E4" s="272"/>
      <c r="F4" s="272"/>
      <c r="G4" s="272"/>
      <c r="I4" s="462" t="s">
        <v>454</v>
      </c>
      <c r="J4" s="462"/>
      <c r="K4" s="462" t="s">
        <v>455</v>
      </c>
      <c r="L4" s="462"/>
      <c r="N4" s="16" t="s">
        <v>475</v>
      </c>
      <c r="O4" s="16"/>
      <c r="W4" s="465" t="s">
        <v>657</v>
      </c>
      <c r="X4" s="465"/>
      <c r="Y4" s="465"/>
      <c r="Z4" s="465"/>
      <c r="AA4" s="465"/>
      <c r="AB4" s="465"/>
      <c r="AC4" s="465"/>
      <c r="AD4" s="465"/>
    </row>
    <row r="5" spans="2:34" ht="16.2" thickBot="1" x14ac:dyDescent="0.35">
      <c r="B5" s="273" t="s">
        <v>471</v>
      </c>
      <c r="C5" s="274" t="s">
        <v>472</v>
      </c>
      <c r="D5" s="454" t="s">
        <v>473</v>
      </c>
      <c r="E5" s="457"/>
      <c r="F5" s="457"/>
      <c r="G5" s="455"/>
      <c r="I5" s="275" t="s">
        <v>131</v>
      </c>
      <c r="J5" s="275" t="s">
        <v>132</v>
      </c>
      <c r="K5" s="275" t="s">
        <v>131</v>
      </c>
      <c r="L5" s="275" t="s">
        <v>132</v>
      </c>
      <c r="M5" s="275" t="s">
        <v>1390</v>
      </c>
      <c r="N5" s="275" t="s">
        <v>1391</v>
      </c>
      <c r="O5" s="275" t="s">
        <v>1392</v>
      </c>
      <c r="P5" s="275" t="s">
        <v>1393</v>
      </c>
      <c r="Q5" s="275" t="s">
        <v>1394</v>
      </c>
      <c r="W5" s="293" t="s">
        <v>644</v>
      </c>
      <c r="X5" s="293"/>
      <c r="Y5" s="293"/>
      <c r="Z5" s="293"/>
      <c r="AA5" s="293"/>
      <c r="AB5" s="293" t="s">
        <v>648</v>
      </c>
      <c r="AC5" s="293"/>
      <c r="AD5" s="293"/>
    </row>
    <row r="6" spans="2:34" ht="15" thickBot="1" x14ac:dyDescent="0.35">
      <c r="B6" s="458">
        <v>-82.74</v>
      </c>
      <c r="C6" s="458">
        <v>-0.06</v>
      </c>
      <c r="D6" s="460" t="s">
        <v>655</v>
      </c>
      <c r="E6" s="455"/>
      <c r="F6" s="454" t="s">
        <v>644</v>
      </c>
      <c r="G6" s="455"/>
      <c r="I6" s="28">
        <v>-82.74</v>
      </c>
      <c r="J6" s="28">
        <v>-0.06</v>
      </c>
      <c r="K6" s="28">
        <v>0.16</v>
      </c>
      <c r="L6" s="28">
        <v>0.44</v>
      </c>
      <c r="M6" s="276">
        <v>0.72933000000000003</v>
      </c>
      <c r="N6" s="276">
        <v>6.9350000000000002E-3</v>
      </c>
      <c r="O6" s="28"/>
      <c r="P6" s="28"/>
      <c r="Q6" s="276"/>
      <c r="W6" s="293" t="s">
        <v>645</v>
      </c>
      <c r="X6" s="293"/>
      <c r="Y6" s="293"/>
      <c r="Z6" s="293"/>
      <c r="AA6" s="293"/>
      <c r="AB6" s="293" t="s">
        <v>649</v>
      </c>
      <c r="AC6" s="293"/>
      <c r="AD6" s="293"/>
    </row>
    <row r="7" spans="2:34" ht="15" thickBot="1" x14ac:dyDescent="0.35">
      <c r="B7" s="459"/>
      <c r="C7" s="459"/>
      <c r="D7" s="454" t="s">
        <v>456</v>
      </c>
      <c r="E7" s="455"/>
      <c r="F7" s="454" t="s">
        <v>457</v>
      </c>
      <c r="G7" s="455"/>
      <c r="I7" s="28">
        <v>0.01</v>
      </c>
      <c r="J7" s="28">
        <v>699.75</v>
      </c>
      <c r="K7" s="28">
        <v>0.17</v>
      </c>
      <c r="L7" s="28">
        <v>0.39</v>
      </c>
      <c r="M7" s="276">
        <v>0.19986999999999999</v>
      </c>
      <c r="N7" s="276">
        <v>3.4981999999999998E-4</v>
      </c>
      <c r="O7" s="28"/>
      <c r="P7" s="28"/>
      <c r="Q7" s="28"/>
      <c r="W7" s="293" t="s">
        <v>646</v>
      </c>
      <c r="X7" s="293"/>
      <c r="Y7" s="293"/>
      <c r="Z7" s="293"/>
      <c r="AA7" s="293"/>
      <c r="AB7" s="293" t="s">
        <v>650</v>
      </c>
      <c r="AC7" s="293"/>
      <c r="AD7" s="293"/>
    </row>
    <row r="8" spans="2:34" x14ac:dyDescent="0.3">
      <c r="B8" s="272"/>
      <c r="C8" s="272"/>
      <c r="D8" s="272"/>
      <c r="E8" s="272"/>
      <c r="F8" s="272"/>
      <c r="G8" s="272"/>
      <c r="I8" s="28">
        <v>700</v>
      </c>
      <c r="J8" s="28">
        <v>7000</v>
      </c>
      <c r="K8" s="28">
        <v>26.87</v>
      </c>
      <c r="L8" s="28">
        <v>32.909999999999997</v>
      </c>
      <c r="M8" s="276">
        <v>31.12</v>
      </c>
      <c r="N8" s="276">
        <v>5.128E-4</v>
      </c>
      <c r="O8" s="28"/>
      <c r="P8" s="28"/>
      <c r="Q8" s="28"/>
      <c r="W8" s="293" t="s">
        <v>647</v>
      </c>
      <c r="X8" s="293"/>
      <c r="Y8" s="293"/>
      <c r="Z8" s="293"/>
      <c r="AA8" s="293"/>
      <c r="AB8" s="293" t="s">
        <v>651</v>
      </c>
      <c r="AC8" s="293"/>
      <c r="AD8" s="293"/>
    </row>
    <row r="9" spans="2:34" ht="15" thickBot="1" x14ac:dyDescent="0.35">
      <c r="B9" s="456" t="s">
        <v>474</v>
      </c>
      <c r="C9" s="456"/>
      <c r="D9" s="272"/>
      <c r="E9" s="272"/>
      <c r="F9" s="272"/>
      <c r="G9" s="272"/>
      <c r="I9" s="28">
        <v>7001</v>
      </c>
      <c r="J9" s="28">
        <v>34500</v>
      </c>
      <c r="K9" s="28">
        <v>7.43</v>
      </c>
      <c r="L9" s="28">
        <v>17.079999999999998</v>
      </c>
      <c r="M9" s="276">
        <v>9.0002999999999993</v>
      </c>
      <c r="N9" s="276">
        <v>2.3411999999999999E-4</v>
      </c>
      <c r="O9" s="28"/>
      <c r="P9" s="28"/>
      <c r="Q9" s="28"/>
    </row>
    <row r="10" spans="2:34" ht="15" thickBot="1" x14ac:dyDescent="0.35">
      <c r="B10" s="273" t="s">
        <v>471</v>
      </c>
      <c r="C10" s="274" t="s">
        <v>472</v>
      </c>
      <c r="D10" s="454" t="s">
        <v>473</v>
      </c>
      <c r="E10" s="457"/>
      <c r="F10" s="457"/>
      <c r="G10" s="455"/>
    </row>
    <row r="11" spans="2:34" ht="15" thickBot="1" x14ac:dyDescent="0.35">
      <c r="B11" s="458">
        <v>0.01</v>
      </c>
      <c r="C11" s="458">
        <v>699.75</v>
      </c>
      <c r="D11" s="460" t="s">
        <v>656</v>
      </c>
      <c r="E11" s="455"/>
      <c r="F11" s="454" t="s">
        <v>645</v>
      </c>
      <c r="G11" s="455"/>
    </row>
    <row r="12" spans="2:34" ht="15" thickBot="1" x14ac:dyDescent="0.35">
      <c r="B12" s="459"/>
      <c r="C12" s="459"/>
      <c r="D12" s="454" t="s">
        <v>456</v>
      </c>
      <c r="E12" s="455"/>
      <c r="F12" s="454" t="s">
        <v>457</v>
      </c>
      <c r="G12" s="455"/>
    </row>
    <row r="13" spans="2:34" x14ac:dyDescent="0.3">
      <c r="B13" s="272"/>
      <c r="C13" s="272"/>
      <c r="D13" s="272"/>
      <c r="E13" s="272"/>
      <c r="F13" s="272"/>
      <c r="G13" s="272"/>
    </row>
    <row r="14" spans="2:34" ht="15" thickBot="1" x14ac:dyDescent="0.35">
      <c r="B14" s="456" t="s">
        <v>474</v>
      </c>
      <c r="C14" s="456"/>
      <c r="D14" s="272"/>
      <c r="E14" s="272"/>
      <c r="F14" s="272"/>
      <c r="G14" s="272"/>
      <c r="I14" s="16" t="s">
        <v>475</v>
      </c>
      <c r="J14" s="16"/>
      <c r="K14" s="463" t="s">
        <v>653</v>
      </c>
      <c r="L14" s="463"/>
      <c r="M14" s="463"/>
      <c r="P14" s="16" t="s">
        <v>475</v>
      </c>
      <c r="Q14" s="16"/>
      <c r="R14" s="463" t="s">
        <v>652</v>
      </c>
      <c r="S14" s="463"/>
      <c r="T14" s="463"/>
      <c r="W14" s="16" t="s">
        <v>475</v>
      </c>
      <c r="X14" s="16"/>
      <c r="Y14" s="464" t="s">
        <v>654</v>
      </c>
      <c r="Z14" s="464"/>
      <c r="AA14" s="464"/>
      <c r="AD14" s="16" t="s">
        <v>475</v>
      </c>
      <c r="AE14" s="16"/>
      <c r="AF14" s="464" t="s">
        <v>647</v>
      </c>
      <c r="AG14" s="464"/>
      <c r="AH14" s="464"/>
    </row>
    <row r="15" spans="2:34" ht="16.2" thickBot="1" x14ac:dyDescent="0.35">
      <c r="B15" s="273" t="s">
        <v>471</v>
      </c>
      <c r="C15" s="274" t="s">
        <v>472</v>
      </c>
      <c r="D15" s="454" t="s">
        <v>473</v>
      </c>
      <c r="E15" s="457"/>
      <c r="F15" s="457"/>
      <c r="G15" s="455"/>
      <c r="I15" s="277" t="s">
        <v>458</v>
      </c>
      <c r="J15" s="278" t="s">
        <v>480</v>
      </c>
      <c r="K15" s="278" t="s">
        <v>1395</v>
      </c>
      <c r="L15" s="277" t="s">
        <v>232</v>
      </c>
      <c r="M15" s="277" t="s">
        <v>459</v>
      </c>
      <c r="P15" s="277" t="s">
        <v>458</v>
      </c>
      <c r="Q15" s="278" t="s">
        <v>480</v>
      </c>
      <c r="R15" s="278" t="s">
        <v>1395</v>
      </c>
      <c r="S15" s="277" t="s">
        <v>232</v>
      </c>
      <c r="T15" s="277" t="s">
        <v>459</v>
      </c>
      <c r="W15" s="277" t="s">
        <v>458</v>
      </c>
      <c r="X15" s="278" t="s">
        <v>480</v>
      </c>
      <c r="Y15" s="278" t="s">
        <v>1395</v>
      </c>
      <c r="Z15" s="277" t="s">
        <v>232</v>
      </c>
      <c r="AA15" s="277" t="s">
        <v>459</v>
      </c>
      <c r="AD15" s="277" t="s">
        <v>458</v>
      </c>
      <c r="AE15" s="278" t="s">
        <v>480</v>
      </c>
      <c r="AF15" s="278" t="s">
        <v>1395</v>
      </c>
      <c r="AG15" s="277" t="s">
        <v>232</v>
      </c>
      <c r="AH15" s="277" t="s">
        <v>459</v>
      </c>
    </row>
    <row r="16" spans="2:34" ht="15" thickBot="1" x14ac:dyDescent="0.35">
      <c r="B16" s="458">
        <v>700</v>
      </c>
      <c r="C16" s="458">
        <v>7000</v>
      </c>
      <c r="D16" s="454" t="s">
        <v>476</v>
      </c>
      <c r="E16" s="455"/>
      <c r="F16" s="454" t="s">
        <v>646</v>
      </c>
      <c r="G16" s="455"/>
      <c r="I16" s="21" t="s">
        <v>460</v>
      </c>
      <c r="J16" s="279" t="str">
        <f ca="1">Calibración!G38</f>
        <v/>
      </c>
      <c r="K16" s="280" t="str">
        <f ca="1">Calibración!J38</f>
        <v/>
      </c>
      <c r="L16" s="280" t="e">
        <f ca="1">IF(J16=0,0,IF(J16&lt;=$J$6,$M$6+$N$6*J16+$O$6*J16^2+$P$6*J16^3+$Q$6*J16^4,IF(J16&gt;$J$7,$M$8+$N$8*J16+$O$8*J16^2+$P$8*J16^3+$Q$8*J16^4,$M$7+$N$7*J16+$O$7*J16^2+$P$7*J16^3+$Q$7*J16^4)))</f>
        <v>#VALUE!</v>
      </c>
      <c r="M16" s="280">
        <f ca="1">IF(J16=0,0,IF(J16&lt;=$J$6+5,$K$6,IF(J16&gt;$J$7+10,$K$8,$K$7)))</f>
        <v>26.87</v>
      </c>
      <c r="P16" s="21" t="s">
        <v>460</v>
      </c>
      <c r="Q16" s="279" t="str">
        <f ca="1">Calibración!G38</f>
        <v/>
      </c>
      <c r="R16" s="280" t="str">
        <f ca="1">Calibración!J38</f>
        <v/>
      </c>
      <c r="S16" s="280" t="e">
        <f ca="1">IF(Q16=0,0,IF(Q16&lt;=$J$7,$M$7+$N$7*Q16+$O$7*Q16^2+$P$7*Q16^3+$Q$7*Q16^4,IF(Q16&gt;$J$8,$M$9+$N$9*Q16+$O$9*Q16^2+$P$9*Q16^3+$Q$9*Q16^4,$M$8+$N$8*Q16+$O$8*Q16^2+$P$8*Q16^3+$Q$8*Q16^4)))</f>
        <v>#VALUE!</v>
      </c>
      <c r="T16" s="280">
        <f ca="1">IF(Q16=0,0,IF(Q16&lt;=$J$7+5,$K$7,IF(Q16&gt;$J$8+10,$K$9,$K$8)))</f>
        <v>7.43</v>
      </c>
      <c r="W16" s="21" t="s">
        <v>460</v>
      </c>
      <c r="X16" s="279" t="str">
        <f ca="1">Calibración!G38</f>
        <v/>
      </c>
      <c r="Y16" s="280" t="str">
        <f ca="1">Calibración!J38</f>
        <v/>
      </c>
      <c r="Z16" s="280" t="e">
        <f ca="1">IF(X16=0,0,IF(X16&lt;=$J$8,$M$8+$N$8*X16+$O$8*X16^2+$P$8*X16^3+$Q$8*X16^4,IF(X16&gt;$J$9,$M$9+$N$9*X16+$O$9*X16^2+$P$9*X16^3+$Q$9*X16^4,$M$8+$N$8*X16+$O$8*X16^2+$P$8*X16^3+$Q$8*X16^4)))</f>
        <v>#VALUE!</v>
      </c>
      <c r="AA16" s="280">
        <f ca="1">IF(X16=0,0,IF(X16&lt;=$J$8+5,$K$8,IF(X16&gt;$J$9+10,$K$10,$K$9)))</f>
        <v>0</v>
      </c>
      <c r="AD16" s="21" t="s">
        <v>460</v>
      </c>
      <c r="AE16" s="279" t="str">
        <f ca="1">Calibración!G38</f>
        <v/>
      </c>
      <c r="AF16" s="280" t="str">
        <f ca="1">Calibración!J38</f>
        <v/>
      </c>
      <c r="AG16" s="280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80">
        <f ca="1">IF(AE16=0,0,IF(AE16&lt;=$J$8+5,$K$9,IF(AE16&gt;$J$9+10,$K$11,$K$10)))</f>
        <v>0</v>
      </c>
    </row>
    <row r="17" spans="2:34" ht="15" thickBot="1" x14ac:dyDescent="0.35">
      <c r="B17" s="459"/>
      <c r="C17" s="459"/>
      <c r="D17" s="454" t="s">
        <v>456</v>
      </c>
      <c r="E17" s="455"/>
      <c r="F17" s="454" t="s">
        <v>457</v>
      </c>
      <c r="G17" s="455"/>
      <c r="I17" s="21" t="s">
        <v>461</v>
      </c>
      <c r="J17" s="279" t="str">
        <f ca="1">Calibración!G39</f>
        <v/>
      </c>
      <c r="K17" s="280" t="str">
        <f ca="1">Calibración!J39</f>
        <v/>
      </c>
      <c r="L17" s="280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80">
        <f t="shared" ref="M17:M25" ca="1" si="1">IF(J17=0,0,IF(J17&lt;=$J$6+5,$K$6,IF(J17&gt;$J$7+10,$K$8,$K$7)))</f>
        <v>26.87</v>
      </c>
      <c r="P17" s="21" t="s">
        <v>461</v>
      </c>
      <c r="Q17" s="279" t="str">
        <f ca="1">Calibración!G39</f>
        <v/>
      </c>
      <c r="R17" s="280" t="str">
        <f ca="1">Calibración!J39</f>
        <v/>
      </c>
      <c r="S17" s="280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80">
        <f t="shared" ref="T17:T25" ca="1" si="3">IF(Q17=0,0,IF(Q17&lt;=$J$7+5,$K$7,IF(Q17&gt;$J$8+10,$K$9,$K$8)))</f>
        <v>7.43</v>
      </c>
      <c r="W17" s="21" t="s">
        <v>461</v>
      </c>
      <c r="X17" s="279" t="str">
        <f ca="1">Calibración!G39</f>
        <v/>
      </c>
      <c r="Y17" s="280" t="str">
        <f ca="1">Calibración!J39</f>
        <v/>
      </c>
      <c r="Z17" s="280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80">
        <f t="shared" ref="AA17:AA25" ca="1" si="5">IF(X17=0,0,IF(X17&lt;=$J$8+5,$K$8,IF(X17&gt;$J$9+10,$K$10,$K$9)))</f>
        <v>0</v>
      </c>
      <c r="AD17" s="21" t="s">
        <v>461</v>
      </c>
      <c r="AE17" s="279" t="str">
        <f ca="1">Calibración!G39</f>
        <v/>
      </c>
      <c r="AF17" s="280" t="str">
        <f ca="1">Calibración!J39</f>
        <v/>
      </c>
      <c r="AG17" s="280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80">
        <f t="shared" ref="AH17:AH25" ca="1" si="7">IF(AE17=0,0,IF(AE17&lt;=$J$8+5,$K$9,IF(AE17&gt;$J$9+10,$K$11,$K$10)))</f>
        <v>0</v>
      </c>
    </row>
    <row r="18" spans="2:34" x14ac:dyDescent="0.3">
      <c r="B18" s="281"/>
      <c r="I18" s="21" t="s">
        <v>462</v>
      </c>
      <c r="J18" s="279" t="str">
        <f ca="1">Calibración!G40</f>
        <v/>
      </c>
      <c r="K18" s="280" t="str">
        <f ca="1">Calibración!J40</f>
        <v/>
      </c>
      <c r="L18" s="280" t="e">
        <f t="shared" ca="1" si="0"/>
        <v>#VALUE!</v>
      </c>
      <c r="M18" s="280">
        <f t="shared" ca="1" si="1"/>
        <v>26.87</v>
      </c>
      <c r="P18" s="21" t="s">
        <v>462</v>
      </c>
      <c r="Q18" s="279" t="str">
        <f ca="1">Calibración!G40</f>
        <v/>
      </c>
      <c r="R18" s="280" t="str">
        <f ca="1">Calibración!J40</f>
        <v/>
      </c>
      <c r="S18" s="280" t="e">
        <f t="shared" ca="1" si="2"/>
        <v>#VALUE!</v>
      </c>
      <c r="T18" s="280">
        <f t="shared" ca="1" si="3"/>
        <v>7.43</v>
      </c>
      <c r="W18" s="21" t="s">
        <v>462</v>
      </c>
      <c r="X18" s="279" t="str">
        <f ca="1">Calibración!G40</f>
        <v/>
      </c>
      <c r="Y18" s="280" t="str">
        <f ca="1">Calibración!J40</f>
        <v/>
      </c>
      <c r="Z18" s="280" t="e">
        <f t="shared" ca="1" si="4"/>
        <v>#VALUE!</v>
      </c>
      <c r="AA18" s="280">
        <f t="shared" ca="1" si="5"/>
        <v>0</v>
      </c>
      <c r="AD18" s="21" t="s">
        <v>462</v>
      </c>
      <c r="AE18" s="279" t="str">
        <f ca="1">Calibración!G40</f>
        <v/>
      </c>
      <c r="AF18" s="280" t="str">
        <f ca="1">Calibración!J40</f>
        <v/>
      </c>
      <c r="AG18" s="280" t="e">
        <f t="shared" ca="1" si="6"/>
        <v>#VALUE!</v>
      </c>
      <c r="AH18" s="280">
        <f t="shared" ca="1" si="7"/>
        <v>0</v>
      </c>
    </row>
    <row r="19" spans="2:34" ht="15" thickBot="1" x14ac:dyDescent="0.35">
      <c r="B19" s="456" t="s">
        <v>474</v>
      </c>
      <c r="C19" s="456"/>
      <c r="D19" s="272"/>
      <c r="E19" s="272"/>
      <c r="F19" s="272"/>
      <c r="G19" s="272"/>
      <c r="I19" s="21" t="s">
        <v>463</v>
      </c>
      <c r="J19" s="279" t="str">
        <f ca="1">Calibración!G41</f>
        <v/>
      </c>
      <c r="K19" s="280" t="str">
        <f ca="1">Calibración!J41</f>
        <v/>
      </c>
      <c r="L19" s="280" t="e">
        <f t="shared" ca="1" si="0"/>
        <v>#VALUE!</v>
      </c>
      <c r="M19" s="280">
        <f t="shared" ca="1" si="1"/>
        <v>26.87</v>
      </c>
      <c r="P19" s="21" t="s">
        <v>463</v>
      </c>
      <c r="Q19" s="279" t="str">
        <f ca="1">Calibración!G41</f>
        <v/>
      </c>
      <c r="R19" s="280" t="str">
        <f ca="1">Calibración!J41</f>
        <v/>
      </c>
      <c r="S19" s="280" t="e">
        <f t="shared" ca="1" si="2"/>
        <v>#VALUE!</v>
      </c>
      <c r="T19" s="280">
        <f t="shared" ca="1" si="3"/>
        <v>7.43</v>
      </c>
      <c r="W19" s="21" t="s">
        <v>463</v>
      </c>
      <c r="X19" s="279" t="str">
        <f ca="1">Calibración!G41</f>
        <v/>
      </c>
      <c r="Y19" s="280" t="str">
        <f ca="1">Calibración!J41</f>
        <v/>
      </c>
      <c r="Z19" s="280" t="e">
        <f t="shared" ca="1" si="4"/>
        <v>#VALUE!</v>
      </c>
      <c r="AA19" s="280">
        <f t="shared" ca="1" si="5"/>
        <v>0</v>
      </c>
      <c r="AD19" s="21" t="s">
        <v>463</v>
      </c>
      <c r="AE19" s="279" t="str">
        <f ca="1">Calibración!G41</f>
        <v/>
      </c>
      <c r="AF19" s="280" t="str">
        <f ca="1">Calibración!J41</f>
        <v/>
      </c>
      <c r="AG19" s="280" t="e">
        <f t="shared" ca="1" si="6"/>
        <v>#VALUE!</v>
      </c>
      <c r="AH19" s="280">
        <f t="shared" ca="1" si="7"/>
        <v>0</v>
      </c>
    </row>
    <row r="20" spans="2:34" ht="15" thickBot="1" x14ac:dyDescent="0.35">
      <c r="B20" s="273" t="s">
        <v>471</v>
      </c>
      <c r="C20" s="274" t="s">
        <v>472</v>
      </c>
      <c r="D20" s="454" t="s">
        <v>473</v>
      </c>
      <c r="E20" s="457"/>
      <c r="F20" s="457"/>
      <c r="G20" s="455"/>
      <c r="I20" s="21" t="s">
        <v>464</v>
      </c>
      <c r="J20" s="279" t="str">
        <f ca="1">Calibración!G42</f>
        <v/>
      </c>
      <c r="K20" s="280" t="str">
        <f ca="1">Calibración!J42</f>
        <v/>
      </c>
      <c r="L20" s="280" t="e">
        <f t="shared" ca="1" si="0"/>
        <v>#VALUE!</v>
      </c>
      <c r="M20" s="280">
        <f t="shared" ca="1" si="1"/>
        <v>26.87</v>
      </c>
      <c r="P20" s="21" t="s">
        <v>464</v>
      </c>
      <c r="Q20" s="279" t="str">
        <f ca="1">Calibración!G42</f>
        <v/>
      </c>
      <c r="R20" s="280" t="str">
        <f ca="1">Calibración!J42</f>
        <v/>
      </c>
      <c r="S20" s="280" t="e">
        <f t="shared" ca="1" si="2"/>
        <v>#VALUE!</v>
      </c>
      <c r="T20" s="280">
        <f t="shared" ca="1" si="3"/>
        <v>7.43</v>
      </c>
      <c r="W20" s="21" t="s">
        <v>464</v>
      </c>
      <c r="X20" s="279" t="str">
        <f ca="1">Calibración!G42</f>
        <v/>
      </c>
      <c r="Y20" s="280" t="str">
        <f ca="1">Calibración!J42</f>
        <v/>
      </c>
      <c r="Z20" s="280" t="e">
        <f t="shared" ca="1" si="4"/>
        <v>#VALUE!</v>
      </c>
      <c r="AA20" s="280">
        <f t="shared" ca="1" si="5"/>
        <v>0</v>
      </c>
      <c r="AD20" s="21" t="s">
        <v>464</v>
      </c>
      <c r="AE20" s="279" t="str">
        <f ca="1">Calibración!G42</f>
        <v/>
      </c>
      <c r="AF20" s="280" t="str">
        <f ca="1">Calibración!J42</f>
        <v/>
      </c>
      <c r="AG20" s="280" t="e">
        <f t="shared" ca="1" si="6"/>
        <v>#VALUE!</v>
      </c>
      <c r="AH20" s="280">
        <f t="shared" ca="1" si="7"/>
        <v>0</v>
      </c>
    </row>
    <row r="21" spans="2:34" ht="15" thickBot="1" x14ac:dyDescent="0.35">
      <c r="B21" s="458">
        <v>7001</v>
      </c>
      <c r="C21" s="458">
        <v>34500</v>
      </c>
      <c r="D21" s="454" t="s">
        <v>477</v>
      </c>
      <c r="E21" s="455"/>
      <c r="F21" s="454" t="s">
        <v>647</v>
      </c>
      <c r="G21" s="455"/>
      <c r="I21" s="21" t="s">
        <v>465</v>
      </c>
      <c r="J21" s="279" t="str">
        <f ca="1">Calibración!G43</f>
        <v/>
      </c>
      <c r="K21" s="280" t="str">
        <f ca="1">Calibración!J43</f>
        <v/>
      </c>
      <c r="L21" s="280" t="e">
        <f t="shared" ca="1" si="0"/>
        <v>#VALUE!</v>
      </c>
      <c r="M21" s="280">
        <f t="shared" ca="1" si="1"/>
        <v>26.87</v>
      </c>
      <c r="P21" s="21" t="s">
        <v>465</v>
      </c>
      <c r="Q21" s="279" t="str">
        <f ca="1">Calibración!G43</f>
        <v/>
      </c>
      <c r="R21" s="280" t="str">
        <f ca="1">Calibración!J43</f>
        <v/>
      </c>
      <c r="S21" s="280" t="e">
        <f t="shared" ca="1" si="2"/>
        <v>#VALUE!</v>
      </c>
      <c r="T21" s="280">
        <f t="shared" ca="1" si="3"/>
        <v>7.43</v>
      </c>
      <c r="W21" s="21" t="s">
        <v>465</v>
      </c>
      <c r="X21" s="279" t="str">
        <f ca="1">Calibración!G43</f>
        <v/>
      </c>
      <c r="Y21" s="280" t="str">
        <f ca="1">Calibración!J43</f>
        <v/>
      </c>
      <c r="Z21" s="280" t="e">
        <f t="shared" ca="1" si="4"/>
        <v>#VALUE!</v>
      </c>
      <c r="AA21" s="280">
        <f t="shared" ca="1" si="5"/>
        <v>0</v>
      </c>
      <c r="AD21" s="21" t="s">
        <v>465</v>
      </c>
      <c r="AE21" s="279" t="str">
        <f ca="1">Calibración!G43</f>
        <v/>
      </c>
      <c r="AF21" s="280" t="str">
        <f ca="1">Calibración!J43</f>
        <v/>
      </c>
      <c r="AG21" s="280" t="e">
        <f t="shared" ca="1" si="6"/>
        <v>#VALUE!</v>
      </c>
      <c r="AH21" s="280">
        <f t="shared" ca="1" si="7"/>
        <v>0</v>
      </c>
    </row>
    <row r="22" spans="2:34" ht="15" thickBot="1" x14ac:dyDescent="0.35">
      <c r="B22" s="459"/>
      <c r="C22" s="459"/>
      <c r="D22" s="454" t="s">
        <v>456</v>
      </c>
      <c r="E22" s="455"/>
      <c r="F22" s="454" t="s">
        <v>457</v>
      </c>
      <c r="G22" s="455"/>
      <c r="I22" s="21" t="s">
        <v>466</v>
      </c>
      <c r="J22" s="279" t="str">
        <f ca="1">Calibración!G44</f>
        <v/>
      </c>
      <c r="K22" s="280" t="str">
        <f ca="1">Calibración!J44</f>
        <v/>
      </c>
      <c r="L22" s="280" t="e">
        <f t="shared" ca="1" si="0"/>
        <v>#VALUE!</v>
      </c>
      <c r="M22" s="280">
        <f t="shared" ca="1" si="1"/>
        <v>26.87</v>
      </c>
      <c r="P22" s="21" t="s">
        <v>466</v>
      </c>
      <c r="Q22" s="279" t="str">
        <f ca="1">Calibración!G44</f>
        <v/>
      </c>
      <c r="R22" s="280" t="str">
        <f ca="1">Calibración!J44</f>
        <v/>
      </c>
      <c r="S22" s="280" t="e">
        <f t="shared" ca="1" si="2"/>
        <v>#VALUE!</v>
      </c>
      <c r="T22" s="280">
        <f t="shared" ca="1" si="3"/>
        <v>7.43</v>
      </c>
      <c r="W22" s="21" t="s">
        <v>466</v>
      </c>
      <c r="X22" s="279" t="str">
        <f ca="1">Calibración!G44</f>
        <v/>
      </c>
      <c r="Y22" s="280" t="str">
        <f ca="1">Calibración!J44</f>
        <v/>
      </c>
      <c r="Z22" s="280" t="e">
        <f t="shared" ca="1" si="4"/>
        <v>#VALUE!</v>
      </c>
      <c r="AA22" s="280">
        <f t="shared" ca="1" si="5"/>
        <v>0</v>
      </c>
      <c r="AD22" s="21" t="s">
        <v>466</v>
      </c>
      <c r="AE22" s="279" t="str">
        <f ca="1">Calibración!G44</f>
        <v/>
      </c>
      <c r="AF22" s="280" t="str">
        <f ca="1">Calibración!J44</f>
        <v/>
      </c>
      <c r="AG22" s="280" t="e">
        <f t="shared" ca="1" si="6"/>
        <v>#VALUE!</v>
      </c>
      <c r="AH22" s="280">
        <f t="shared" ca="1" si="7"/>
        <v>0</v>
      </c>
    </row>
    <row r="23" spans="2:34" x14ac:dyDescent="0.3">
      <c r="I23" s="21" t="s">
        <v>467</v>
      </c>
      <c r="J23" s="279" t="str">
        <f ca="1">Calibración!G45</f>
        <v/>
      </c>
      <c r="K23" s="280" t="str">
        <f ca="1">Calibración!J45</f>
        <v/>
      </c>
      <c r="L23" s="280" t="e">
        <f t="shared" ca="1" si="0"/>
        <v>#VALUE!</v>
      </c>
      <c r="M23" s="280">
        <f t="shared" ca="1" si="1"/>
        <v>26.87</v>
      </c>
      <c r="P23" s="21" t="s">
        <v>467</v>
      </c>
      <c r="Q23" s="279" t="str">
        <f ca="1">Calibración!G45</f>
        <v/>
      </c>
      <c r="R23" s="280" t="str">
        <f ca="1">Calibración!J45</f>
        <v/>
      </c>
      <c r="S23" s="280" t="e">
        <f t="shared" ca="1" si="2"/>
        <v>#VALUE!</v>
      </c>
      <c r="T23" s="280">
        <f t="shared" ca="1" si="3"/>
        <v>7.43</v>
      </c>
      <c r="W23" s="21" t="s">
        <v>467</v>
      </c>
      <c r="X23" s="279" t="str">
        <f ca="1">Calibración!G45</f>
        <v/>
      </c>
      <c r="Y23" s="280" t="str">
        <f ca="1">Calibración!J45</f>
        <v/>
      </c>
      <c r="Z23" s="280" t="e">
        <f t="shared" ca="1" si="4"/>
        <v>#VALUE!</v>
      </c>
      <c r="AA23" s="280">
        <f t="shared" ca="1" si="5"/>
        <v>0</v>
      </c>
      <c r="AD23" s="21" t="s">
        <v>467</v>
      </c>
      <c r="AE23" s="279" t="str">
        <f ca="1">Calibración!G45</f>
        <v/>
      </c>
      <c r="AF23" s="280" t="str">
        <f ca="1">Calibración!J45</f>
        <v/>
      </c>
      <c r="AG23" s="280" t="e">
        <f t="shared" ca="1" si="6"/>
        <v>#VALUE!</v>
      </c>
      <c r="AH23" s="280">
        <f t="shared" ca="1" si="7"/>
        <v>0</v>
      </c>
    </row>
    <row r="24" spans="2:34" x14ac:dyDescent="0.3">
      <c r="I24" s="21" t="s">
        <v>468</v>
      </c>
      <c r="J24" s="279" t="str">
        <f ca="1">Calibración!G46</f>
        <v/>
      </c>
      <c r="K24" s="280" t="str">
        <f ca="1">Calibración!J46</f>
        <v/>
      </c>
      <c r="L24" s="280" t="e">
        <f t="shared" ca="1" si="0"/>
        <v>#VALUE!</v>
      </c>
      <c r="M24" s="280">
        <f t="shared" ca="1" si="1"/>
        <v>26.87</v>
      </c>
      <c r="P24" s="21" t="s">
        <v>468</v>
      </c>
      <c r="Q24" s="279" t="str">
        <f ca="1">Calibración!G46</f>
        <v/>
      </c>
      <c r="R24" s="280" t="str">
        <f ca="1">Calibración!J46</f>
        <v/>
      </c>
      <c r="S24" s="280" t="e">
        <f t="shared" ca="1" si="2"/>
        <v>#VALUE!</v>
      </c>
      <c r="T24" s="280">
        <f t="shared" ca="1" si="3"/>
        <v>7.43</v>
      </c>
      <c r="W24" s="21" t="s">
        <v>468</v>
      </c>
      <c r="X24" s="279" t="str">
        <f ca="1">Calibración!G46</f>
        <v/>
      </c>
      <c r="Y24" s="280" t="str">
        <f ca="1">Calibración!J46</f>
        <v/>
      </c>
      <c r="Z24" s="280" t="e">
        <f t="shared" ca="1" si="4"/>
        <v>#VALUE!</v>
      </c>
      <c r="AA24" s="280">
        <f t="shared" ca="1" si="5"/>
        <v>0</v>
      </c>
      <c r="AD24" s="21" t="s">
        <v>468</v>
      </c>
      <c r="AE24" s="279" t="str">
        <f ca="1">Calibración!G46</f>
        <v/>
      </c>
      <c r="AF24" s="280" t="str">
        <f ca="1">Calibración!J46</f>
        <v/>
      </c>
      <c r="AG24" s="280" t="e">
        <f t="shared" ca="1" si="6"/>
        <v>#VALUE!</v>
      </c>
      <c r="AH24" s="280">
        <f t="shared" ca="1" si="7"/>
        <v>0</v>
      </c>
    </row>
    <row r="25" spans="2:34" x14ac:dyDescent="0.3">
      <c r="I25" s="21" t="s">
        <v>469</v>
      </c>
      <c r="J25" s="279" t="str">
        <f ca="1">Calibración!G47</f>
        <v/>
      </c>
      <c r="K25" s="280" t="str">
        <f ca="1">Calibración!J47</f>
        <v/>
      </c>
      <c r="L25" s="280" t="e">
        <f t="shared" ca="1" si="0"/>
        <v>#VALUE!</v>
      </c>
      <c r="M25" s="280">
        <f t="shared" ca="1" si="1"/>
        <v>26.87</v>
      </c>
      <c r="P25" s="21" t="s">
        <v>469</v>
      </c>
      <c r="Q25" s="279" t="str">
        <f ca="1">Calibración!G47</f>
        <v/>
      </c>
      <c r="R25" s="280" t="str">
        <f ca="1">Calibración!J47</f>
        <v/>
      </c>
      <c r="S25" s="280" t="e">
        <f t="shared" ca="1" si="2"/>
        <v>#VALUE!</v>
      </c>
      <c r="T25" s="280">
        <f t="shared" ca="1" si="3"/>
        <v>7.43</v>
      </c>
      <c r="W25" s="21" t="s">
        <v>469</v>
      </c>
      <c r="X25" s="279" t="str">
        <f ca="1">Calibración!G47</f>
        <v/>
      </c>
      <c r="Y25" s="280" t="str">
        <f ca="1">Calibración!J47</f>
        <v/>
      </c>
      <c r="Z25" s="280" t="e">
        <f t="shared" ca="1" si="4"/>
        <v>#VALUE!</v>
      </c>
      <c r="AA25" s="280">
        <f t="shared" ca="1" si="5"/>
        <v>0</v>
      </c>
      <c r="AD25" s="21" t="s">
        <v>469</v>
      </c>
      <c r="AE25" s="279" t="str">
        <f ca="1">Calibración!G47</f>
        <v/>
      </c>
      <c r="AF25" s="280" t="str">
        <f ca="1">Calibración!J47</f>
        <v/>
      </c>
      <c r="AG25" s="280" t="e">
        <f t="shared" ca="1" si="6"/>
        <v>#VALUE!</v>
      </c>
      <c r="AH25" s="280">
        <f t="shared" ca="1" si="7"/>
        <v>0</v>
      </c>
    </row>
    <row r="26" spans="2:34" ht="15" thickBot="1" x14ac:dyDescent="0.35">
      <c r="I26" s="456" t="s">
        <v>474</v>
      </c>
      <c r="J26" s="456"/>
      <c r="P26" s="456" t="s">
        <v>474</v>
      </c>
      <c r="Q26" s="456"/>
      <c r="W26" s="456" t="s">
        <v>474</v>
      </c>
      <c r="X26" s="456"/>
      <c r="AD26" s="456" t="s">
        <v>474</v>
      </c>
      <c r="AE26" s="456"/>
    </row>
    <row r="27" spans="2:34" ht="15" thickBot="1" x14ac:dyDescent="0.35">
      <c r="I27" s="273" t="s">
        <v>471</v>
      </c>
      <c r="J27" s="274" t="s">
        <v>472</v>
      </c>
      <c r="P27" s="273" t="s">
        <v>471</v>
      </c>
      <c r="Q27" s="274" t="s">
        <v>472</v>
      </c>
      <c r="W27" s="273" t="s">
        <v>471</v>
      </c>
      <c r="X27" s="274" t="s">
        <v>472</v>
      </c>
      <c r="AD27" s="273" t="s">
        <v>471</v>
      </c>
      <c r="AE27" s="274" t="s">
        <v>472</v>
      </c>
    </row>
    <row r="28" spans="2:34" x14ac:dyDescent="0.3">
      <c r="I28" s="458">
        <v>-82.74</v>
      </c>
      <c r="J28" s="458">
        <v>-0.06</v>
      </c>
      <c r="P28" s="458">
        <v>0.01</v>
      </c>
      <c r="Q28" s="458">
        <v>699.75</v>
      </c>
      <c r="W28" s="458">
        <v>700</v>
      </c>
      <c r="X28" s="458">
        <v>7000</v>
      </c>
      <c r="AD28" s="458">
        <v>7001</v>
      </c>
      <c r="AE28" s="458">
        <v>34500</v>
      </c>
    </row>
    <row r="29" spans="2:34" ht="15" thickBot="1" x14ac:dyDescent="0.35">
      <c r="I29" s="459"/>
      <c r="J29" s="459"/>
      <c r="P29" s="459"/>
      <c r="Q29" s="459"/>
      <c r="W29" s="459"/>
      <c r="X29" s="459"/>
      <c r="AD29" s="459"/>
      <c r="AE29" s="459"/>
    </row>
  </sheetData>
  <mergeCells count="52">
    <mergeCell ref="W4:AD4"/>
    <mergeCell ref="AF14:AH14"/>
    <mergeCell ref="AD26:AE26"/>
    <mergeCell ref="AD28:AD29"/>
    <mergeCell ref="AE28:AE29"/>
    <mergeCell ref="K14:M14"/>
    <mergeCell ref="R14:T14"/>
    <mergeCell ref="Y14:AA14"/>
    <mergeCell ref="W26:X26"/>
    <mergeCell ref="W28:W29"/>
    <mergeCell ref="X28:X29"/>
    <mergeCell ref="I28:I29"/>
    <mergeCell ref="J28:J29"/>
    <mergeCell ref="I26:J26"/>
    <mergeCell ref="P26:Q26"/>
    <mergeCell ref="P28:P29"/>
    <mergeCell ref="Q28:Q29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B14:C14"/>
    <mergeCell ref="D15:G15"/>
    <mergeCell ref="B16:B17"/>
    <mergeCell ref="C16:C17"/>
    <mergeCell ref="D16:E16"/>
    <mergeCell ref="F16:G16"/>
    <mergeCell ref="D17:E17"/>
    <mergeCell ref="F17:G17"/>
    <mergeCell ref="D21:E21"/>
    <mergeCell ref="B19:C19"/>
    <mergeCell ref="D20:G20"/>
    <mergeCell ref="B21:B22"/>
    <mergeCell ref="C21:C22"/>
    <mergeCell ref="F21:G21"/>
    <mergeCell ref="D22:E22"/>
    <mergeCell ref="F22:G22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1"/>
  <dimension ref="A5:X18"/>
  <sheetViews>
    <sheetView view="pageLayout" topLeftCell="A4" zoomScaleNormal="40" zoomScaleSheetLayoutView="100" workbookViewId="0">
      <selection activeCell="Q24" sqref="Q24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466" t="s">
        <v>398</v>
      </c>
      <c r="B5" s="466"/>
      <c r="C5" s="466"/>
      <c r="D5" s="466"/>
      <c r="E5" s="466"/>
      <c r="F5" s="466"/>
      <c r="G5" s="466"/>
      <c r="H5" s="466"/>
      <c r="I5" s="466"/>
      <c r="J5" s="466"/>
      <c r="K5" s="466"/>
      <c r="L5" s="466"/>
      <c r="M5" s="466"/>
      <c r="N5" s="466"/>
      <c r="O5" s="466"/>
      <c r="P5" s="466"/>
      <c r="Q5" s="466"/>
      <c r="R5" s="466"/>
      <c r="S5" s="466"/>
      <c r="T5" s="466"/>
      <c r="U5" s="466"/>
      <c r="V5" s="466"/>
      <c r="W5" s="466"/>
      <c r="X5" s="466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6" t="s">
        <v>383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436" t="s">
        <v>98</v>
      </c>
      <c r="B8" s="437"/>
      <c r="C8" s="437"/>
      <c r="D8" s="437"/>
      <c r="E8" s="437"/>
      <c r="F8" s="438"/>
      <c r="G8" s="436" t="s">
        <v>4</v>
      </c>
      <c r="H8" s="437"/>
      <c r="I8" s="438"/>
      <c r="J8" s="439" t="s">
        <v>101</v>
      </c>
      <c r="K8" s="440"/>
      <c r="L8" s="440"/>
      <c r="M8" s="440"/>
      <c r="N8" s="441"/>
      <c r="O8" s="436" t="s">
        <v>384</v>
      </c>
      <c r="P8" s="437"/>
      <c r="Q8" s="437"/>
      <c r="R8" s="437"/>
      <c r="S8" s="437"/>
      <c r="T8" s="438"/>
      <c r="U8" s="439" t="s">
        <v>385</v>
      </c>
      <c r="V8" s="440"/>
      <c r="W8" s="440"/>
      <c r="X8" s="441"/>
    </row>
    <row r="9" spans="1:24" x14ac:dyDescent="0.3">
      <c r="A9" s="444" t="s">
        <v>393</v>
      </c>
      <c r="B9" s="445" t="s">
        <v>393</v>
      </c>
      <c r="C9" s="445" t="s">
        <v>393</v>
      </c>
      <c r="D9" s="445" t="s">
        <v>393</v>
      </c>
      <c r="E9" s="445" t="s">
        <v>393</v>
      </c>
      <c r="F9" s="446" t="s">
        <v>393</v>
      </c>
      <c r="G9" s="444" t="s">
        <v>247</v>
      </c>
      <c r="H9" s="445" t="s">
        <v>247</v>
      </c>
      <c r="I9" s="446" t="s">
        <v>247</v>
      </c>
      <c r="J9" s="447" t="str">
        <f>'BD Patron'!W15</f>
        <v>SCM-00039462</v>
      </c>
      <c r="K9" s="448" t="s">
        <v>395</v>
      </c>
      <c r="L9" s="448">
        <v>43368</v>
      </c>
      <c r="M9" s="448" t="s">
        <v>394</v>
      </c>
      <c r="N9" s="449" t="s">
        <v>395</v>
      </c>
      <c r="O9" s="444" t="s">
        <v>395</v>
      </c>
      <c r="P9" s="445" t="s">
        <v>395</v>
      </c>
      <c r="Q9" s="445" t="s">
        <v>395</v>
      </c>
      <c r="R9" s="445" t="s">
        <v>395</v>
      </c>
      <c r="S9" s="445" t="s">
        <v>395</v>
      </c>
      <c r="T9" s="446" t="s">
        <v>395</v>
      </c>
      <c r="U9" s="447">
        <f>'BD Patron'!U15+1096</f>
        <v>45926</v>
      </c>
      <c r="V9" s="448" t="s">
        <v>394</v>
      </c>
      <c r="W9" s="448" t="s">
        <v>395</v>
      </c>
      <c r="X9" s="449">
        <v>43368</v>
      </c>
    </row>
    <row r="10" spans="1:24" ht="15" customHeight="1" x14ac:dyDescent="0.3">
      <c r="A10" s="444" t="s">
        <v>393</v>
      </c>
      <c r="B10" s="445" t="s">
        <v>393</v>
      </c>
      <c r="C10" s="445" t="s">
        <v>393</v>
      </c>
      <c r="D10" s="445" t="s">
        <v>393</v>
      </c>
      <c r="E10" s="445" t="s">
        <v>393</v>
      </c>
      <c r="F10" s="446" t="s">
        <v>393</v>
      </c>
      <c r="G10" s="444" t="s">
        <v>254</v>
      </c>
      <c r="H10" s="445" t="s">
        <v>254</v>
      </c>
      <c r="I10" s="446" t="s">
        <v>254</v>
      </c>
      <c r="J10" s="447" t="str">
        <f>'BD Patron'!W16</f>
        <v>SCM-00039463</v>
      </c>
      <c r="K10" s="448" t="s">
        <v>395</v>
      </c>
      <c r="L10" s="448">
        <v>43369</v>
      </c>
      <c r="M10" s="448" t="s">
        <v>499</v>
      </c>
      <c r="N10" s="449" t="s">
        <v>395</v>
      </c>
      <c r="O10" s="444" t="s">
        <v>395</v>
      </c>
      <c r="P10" s="445" t="s">
        <v>395</v>
      </c>
      <c r="Q10" s="445" t="s">
        <v>395</v>
      </c>
      <c r="R10" s="445" t="s">
        <v>395</v>
      </c>
      <c r="S10" s="445" t="s">
        <v>395</v>
      </c>
      <c r="T10" s="446" t="s">
        <v>395</v>
      </c>
      <c r="U10" s="447">
        <f>'BD Patron'!U16+365</f>
        <v>45195</v>
      </c>
      <c r="V10" s="448" t="s">
        <v>499</v>
      </c>
      <c r="W10" s="448" t="s">
        <v>395</v>
      </c>
      <c r="X10" s="449">
        <v>43369</v>
      </c>
    </row>
    <row r="11" spans="1:24" ht="15" hidden="1" customHeight="1" x14ac:dyDescent="0.3">
      <c r="A11" s="444" t="s">
        <v>262</v>
      </c>
      <c r="B11" s="445" t="s">
        <v>393</v>
      </c>
      <c r="C11" s="445" t="s">
        <v>393</v>
      </c>
      <c r="D11" s="445" t="s">
        <v>393</v>
      </c>
      <c r="E11" s="445" t="s">
        <v>393</v>
      </c>
      <c r="F11" s="446" t="s">
        <v>393</v>
      </c>
      <c r="G11" s="444" t="s">
        <v>255</v>
      </c>
      <c r="H11" s="445" t="s">
        <v>255</v>
      </c>
      <c r="I11" s="446" t="s">
        <v>255</v>
      </c>
      <c r="J11" s="447" t="s">
        <v>419</v>
      </c>
      <c r="K11" s="448" t="s">
        <v>397</v>
      </c>
      <c r="L11" s="448">
        <v>43392</v>
      </c>
      <c r="M11" s="448" t="s">
        <v>396</v>
      </c>
      <c r="N11" s="449" t="s">
        <v>397</v>
      </c>
      <c r="O11" s="444" t="s">
        <v>397</v>
      </c>
      <c r="P11" s="445" t="s">
        <v>397</v>
      </c>
      <c r="Q11" s="445" t="s">
        <v>397</v>
      </c>
      <c r="R11" s="445" t="s">
        <v>397</v>
      </c>
      <c r="S11" s="445" t="s">
        <v>397</v>
      </c>
      <c r="T11" s="446" t="s">
        <v>397</v>
      </c>
      <c r="U11" s="447">
        <v>44083</v>
      </c>
      <c r="V11" s="448" t="s">
        <v>396</v>
      </c>
      <c r="W11" s="448" t="s">
        <v>397</v>
      </c>
      <c r="X11" s="449">
        <v>43392</v>
      </c>
    </row>
    <row r="12" spans="1:24" ht="15" hidden="1" customHeight="1" x14ac:dyDescent="0.3">
      <c r="A12" s="444" t="s">
        <v>402</v>
      </c>
      <c r="B12" s="445" t="s">
        <v>393</v>
      </c>
      <c r="C12" s="445" t="s">
        <v>393</v>
      </c>
      <c r="D12" s="445" t="s">
        <v>393</v>
      </c>
      <c r="E12" s="445" t="s">
        <v>393</v>
      </c>
      <c r="F12" s="446" t="s">
        <v>393</v>
      </c>
      <c r="G12" s="444" t="s">
        <v>403</v>
      </c>
      <c r="H12" s="445" t="s">
        <v>255</v>
      </c>
      <c r="I12" s="446" t="s">
        <v>255</v>
      </c>
      <c r="J12" s="447" t="s">
        <v>506</v>
      </c>
      <c r="K12" s="448" t="s">
        <v>397</v>
      </c>
      <c r="L12" s="448">
        <v>43393</v>
      </c>
      <c r="M12" s="448" t="s">
        <v>404</v>
      </c>
      <c r="N12" s="449" t="s">
        <v>397</v>
      </c>
      <c r="O12" s="444" t="s">
        <v>397</v>
      </c>
      <c r="P12" s="445" t="s">
        <v>397</v>
      </c>
      <c r="Q12" s="445" t="s">
        <v>397</v>
      </c>
      <c r="R12" s="445" t="s">
        <v>397</v>
      </c>
      <c r="S12" s="445" t="s">
        <v>397</v>
      </c>
      <c r="T12" s="446" t="s">
        <v>397</v>
      </c>
      <c r="U12" s="447">
        <v>44542</v>
      </c>
      <c r="V12" s="448" t="s">
        <v>404</v>
      </c>
      <c r="W12" s="448" t="s">
        <v>397</v>
      </c>
      <c r="X12" s="449">
        <v>43393</v>
      </c>
    </row>
    <row r="13" spans="1:24" hidden="1" x14ac:dyDescent="0.3">
      <c r="A13" s="444" t="s">
        <v>500</v>
      </c>
      <c r="B13" s="445"/>
      <c r="C13" s="445"/>
      <c r="D13" s="445"/>
      <c r="E13" s="445"/>
      <c r="F13" s="446"/>
      <c r="G13" s="444" t="s">
        <v>107</v>
      </c>
      <c r="H13" s="445" t="s">
        <v>255</v>
      </c>
      <c r="I13" s="446" t="s">
        <v>255</v>
      </c>
      <c r="J13" s="447" t="s">
        <v>501</v>
      </c>
      <c r="K13" s="448" t="s">
        <v>397</v>
      </c>
      <c r="L13" s="448">
        <v>43394</v>
      </c>
      <c r="M13" s="448" t="s">
        <v>407</v>
      </c>
      <c r="N13" s="449" t="s">
        <v>397</v>
      </c>
      <c r="O13" s="444" t="s">
        <v>397</v>
      </c>
      <c r="P13" s="445" t="s">
        <v>397</v>
      </c>
      <c r="Q13" s="445" t="s">
        <v>397</v>
      </c>
      <c r="R13" s="445" t="s">
        <v>397</v>
      </c>
      <c r="S13" s="445" t="s">
        <v>397</v>
      </c>
      <c r="T13" s="446" t="s">
        <v>397</v>
      </c>
      <c r="U13" s="447">
        <v>44158</v>
      </c>
      <c r="V13" s="448" t="s">
        <v>407</v>
      </c>
      <c r="W13" s="448" t="s">
        <v>397</v>
      </c>
      <c r="X13" s="449">
        <v>43394</v>
      </c>
    </row>
    <row r="14" spans="1:24" x14ac:dyDescent="0.3">
      <c r="A14" s="444" t="s">
        <v>500</v>
      </c>
      <c r="B14" s="445"/>
      <c r="C14" s="445"/>
      <c r="D14" s="445"/>
      <c r="E14" s="445"/>
      <c r="F14" s="446"/>
      <c r="G14" s="444" t="s">
        <v>109</v>
      </c>
      <c r="H14" s="445" t="s">
        <v>255</v>
      </c>
      <c r="I14" s="446" t="s">
        <v>255</v>
      </c>
      <c r="J14" s="447" t="s">
        <v>1178</v>
      </c>
      <c r="K14" s="448" t="s">
        <v>397</v>
      </c>
      <c r="L14" s="448">
        <v>43394</v>
      </c>
      <c r="M14" s="448" t="s">
        <v>407</v>
      </c>
      <c r="N14" s="449" t="s">
        <v>397</v>
      </c>
      <c r="O14" s="444" t="s">
        <v>397</v>
      </c>
      <c r="P14" s="445" t="s">
        <v>397</v>
      </c>
      <c r="Q14" s="445" t="s">
        <v>397</v>
      </c>
      <c r="R14" s="445" t="s">
        <v>397</v>
      </c>
      <c r="S14" s="445" t="s">
        <v>397</v>
      </c>
      <c r="T14" s="446" t="s">
        <v>397</v>
      </c>
      <c r="U14" s="447">
        <f>'BD Patron'!L7+365</f>
        <v>45204</v>
      </c>
      <c r="V14" s="448" t="s">
        <v>407</v>
      </c>
      <c r="W14" s="448" t="s">
        <v>397</v>
      </c>
      <c r="X14" s="449">
        <v>43394</v>
      </c>
    </row>
    <row r="15" spans="1:24" hidden="1" x14ac:dyDescent="0.3">
      <c r="A15" s="444" t="s">
        <v>500</v>
      </c>
      <c r="B15" s="445"/>
      <c r="C15" s="445"/>
      <c r="D15" s="445"/>
      <c r="E15" s="445"/>
      <c r="F15" s="446"/>
      <c r="G15" s="444" t="s">
        <v>111</v>
      </c>
      <c r="H15" s="445" t="s">
        <v>255</v>
      </c>
      <c r="I15" s="446" t="s">
        <v>255</v>
      </c>
      <c r="J15" s="447" t="s">
        <v>502</v>
      </c>
      <c r="K15" s="448" t="s">
        <v>397</v>
      </c>
      <c r="L15" s="448">
        <v>43394</v>
      </c>
      <c r="M15" s="448" t="s">
        <v>407</v>
      </c>
      <c r="N15" s="449" t="s">
        <v>397</v>
      </c>
      <c r="O15" s="444" t="s">
        <v>397</v>
      </c>
      <c r="P15" s="445" t="s">
        <v>397</v>
      </c>
      <c r="Q15" s="445" t="s">
        <v>397</v>
      </c>
      <c r="R15" s="445" t="s">
        <v>397</v>
      </c>
      <c r="S15" s="445" t="s">
        <v>397</v>
      </c>
      <c r="T15" s="446" t="s">
        <v>397</v>
      </c>
      <c r="U15" s="447">
        <v>44331</v>
      </c>
      <c r="V15" s="448" t="s">
        <v>407</v>
      </c>
      <c r="W15" s="448" t="s">
        <v>397</v>
      </c>
      <c r="X15" s="449">
        <v>43394</v>
      </c>
    </row>
    <row r="16" spans="1:24" x14ac:dyDescent="0.3">
      <c r="A16" s="444" t="s">
        <v>500</v>
      </c>
      <c r="B16" s="445"/>
      <c r="C16" s="445"/>
      <c r="D16" s="445"/>
      <c r="E16" s="445"/>
      <c r="F16" s="446"/>
      <c r="G16" s="444" t="s">
        <v>274</v>
      </c>
      <c r="H16" s="445" t="s">
        <v>255</v>
      </c>
      <c r="I16" s="446" t="s">
        <v>255</v>
      </c>
      <c r="J16" s="447" t="s">
        <v>1179</v>
      </c>
      <c r="K16" s="448" t="s">
        <v>397</v>
      </c>
      <c r="L16" s="448">
        <v>43394</v>
      </c>
      <c r="M16" s="448" t="s">
        <v>407</v>
      </c>
      <c r="N16" s="449" t="s">
        <v>397</v>
      </c>
      <c r="O16" s="444" t="s">
        <v>397</v>
      </c>
      <c r="P16" s="445" t="s">
        <v>397</v>
      </c>
      <c r="Q16" s="445" t="s">
        <v>397</v>
      </c>
      <c r="R16" s="445" t="s">
        <v>397</v>
      </c>
      <c r="S16" s="445" t="s">
        <v>397</v>
      </c>
      <c r="T16" s="446" t="s">
        <v>397</v>
      </c>
      <c r="U16" s="447">
        <f>'BD Patron'!L9+365</f>
        <v>45204</v>
      </c>
      <c r="V16" s="448" t="s">
        <v>407</v>
      </c>
      <c r="W16" s="448" t="s">
        <v>397</v>
      </c>
      <c r="X16" s="449">
        <v>43394</v>
      </c>
    </row>
    <row r="17" spans="1:24" hidden="1" x14ac:dyDescent="0.3">
      <c r="A17" s="444" t="s">
        <v>405</v>
      </c>
      <c r="B17" s="445" t="s">
        <v>393</v>
      </c>
      <c r="C17" s="445" t="s">
        <v>393</v>
      </c>
      <c r="D17" s="445" t="s">
        <v>393</v>
      </c>
      <c r="E17" s="445" t="s">
        <v>393</v>
      </c>
      <c r="F17" s="446" t="s">
        <v>393</v>
      </c>
      <c r="G17" s="444" t="s">
        <v>406</v>
      </c>
      <c r="H17" s="445" t="s">
        <v>255</v>
      </c>
      <c r="I17" s="446" t="s">
        <v>255</v>
      </c>
      <c r="J17" s="447" t="s">
        <v>484</v>
      </c>
      <c r="K17" s="448" t="s">
        <v>397</v>
      </c>
      <c r="L17" s="448">
        <v>43394</v>
      </c>
      <c r="M17" s="448" t="s">
        <v>407</v>
      </c>
      <c r="N17" s="449" t="s">
        <v>397</v>
      </c>
      <c r="O17" s="444" t="s">
        <v>397</v>
      </c>
      <c r="P17" s="445" t="s">
        <v>397</v>
      </c>
      <c r="Q17" s="445" t="s">
        <v>397</v>
      </c>
      <c r="R17" s="445" t="s">
        <v>397</v>
      </c>
      <c r="S17" s="445" t="s">
        <v>397</v>
      </c>
      <c r="T17" s="446" t="s">
        <v>397</v>
      </c>
      <c r="U17" s="447">
        <v>44879</v>
      </c>
      <c r="V17" s="448" t="s">
        <v>407</v>
      </c>
      <c r="W17" s="448" t="s">
        <v>397</v>
      </c>
      <c r="X17" s="449">
        <v>43394</v>
      </c>
    </row>
    <row r="18" spans="1:24" hidden="1" x14ac:dyDescent="0.3">
      <c r="A18" s="444" t="s">
        <v>410</v>
      </c>
      <c r="B18" s="445"/>
      <c r="C18" s="445"/>
      <c r="D18" s="445"/>
      <c r="E18" s="445"/>
      <c r="F18" s="446"/>
      <c r="G18" s="444" t="s">
        <v>505</v>
      </c>
      <c r="H18" s="445"/>
      <c r="I18" s="446"/>
      <c r="J18" s="447" t="s">
        <v>507</v>
      </c>
      <c r="K18" s="448"/>
      <c r="L18" s="448"/>
      <c r="M18" s="448"/>
      <c r="N18" s="449"/>
      <c r="O18" s="444" t="s">
        <v>395</v>
      </c>
      <c r="P18" s="445" t="s">
        <v>395</v>
      </c>
      <c r="Q18" s="445" t="s">
        <v>395</v>
      </c>
      <c r="R18" s="445" t="s">
        <v>395</v>
      </c>
      <c r="S18" s="445" t="s">
        <v>395</v>
      </c>
      <c r="T18" s="446" t="s">
        <v>395</v>
      </c>
      <c r="U18" s="447">
        <v>44738</v>
      </c>
      <c r="V18" s="448"/>
      <c r="W18" s="448"/>
      <c r="X18" s="449"/>
    </row>
  </sheetData>
  <mergeCells count="56">
    <mergeCell ref="A18:F18"/>
    <mergeCell ref="G18:I18"/>
    <mergeCell ref="J18:N18"/>
    <mergeCell ref="O18:T18"/>
    <mergeCell ref="U18:X18"/>
    <mergeCell ref="A13:F13"/>
    <mergeCell ref="G13:I13"/>
    <mergeCell ref="J13:N13"/>
    <mergeCell ref="O13:T13"/>
    <mergeCell ref="U13:X13"/>
    <mergeCell ref="A12:F12"/>
    <mergeCell ref="G12:I12"/>
    <mergeCell ref="J12:N12"/>
    <mergeCell ref="O12:T12"/>
    <mergeCell ref="U12:X12"/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honeticPr fontId="51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W113"/>
  <sheetViews>
    <sheetView zoomScale="70" zoomScaleNormal="70" workbookViewId="0">
      <selection activeCell="M22" sqref="M22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99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472" t="s">
        <v>100</v>
      </c>
      <c r="I4" s="473"/>
      <c r="J4" s="472" t="s">
        <v>101</v>
      </c>
      <c r="K4" s="473"/>
      <c r="L4" s="474" t="s">
        <v>221</v>
      </c>
      <c r="M4" s="476" t="s">
        <v>116</v>
      </c>
      <c r="N4" s="477"/>
      <c r="O4" s="477"/>
      <c r="P4" s="478"/>
    </row>
    <row r="5" spans="2:23" ht="30.6" x14ac:dyDescent="0.3">
      <c r="B5" s="49" t="s">
        <v>102</v>
      </c>
      <c r="C5" s="49" t="s">
        <v>4</v>
      </c>
      <c r="D5" s="49" t="s">
        <v>103</v>
      </c>
      <c r="E5" s="49" t="s">
        <v>1396</v>
      </c>
      <c r="F5" s="49" t="s">
        <v>1397</v>
      </c>
      <c r="G5" s="49" t="s">
        <v>104</v>
      </c>
      <c r="H5" s="49" t="s">
        <v>1398</v>
      </c>
      <c r="I5" s="49" t="s">
        <v>105</v>
      </c>
      <c r="J5" s="49" t="s">
        <v>1399</v>
      </c>
      <c r="K5" s="49" t="s">
        <v>106</v>
      </c>
      <c r="L5" s="475"/>
      <c r="M5" s="479"/>
      <c r="N5" s="480"/>
      <c r="O5" s="480"/>
      <c r="P5" s="481"/>
    </row>
    <row r="6" spans="2:23" x14ac:dyDescent="0.3">
      <c r="B6" s="17">
        <v>1</v>
      </c>
      <c r="C6" s="17" t="s">
        <v>107</v>
      </c>
      <c r="D6" s="17" t="s">
        <v>108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2">
        <v>0.3</v>
      </c>
      <c r="K6" s="132">
        <v>1.3</v>
      </c>
      <c r="L6" s="133">
        <v>43427</v>
      </c>
      <c r="M6" s="134" t="s">
        <v>418</v>
      </c>
      <c r="N6" s="135"/>
      <c r="O6" s="136"/>
      <c r="P6" s="140"/>
    </row>
    <row r="7" spans="2:23" x14ac:dyDescent="0.3">
      <c r="B7" s="17">
        <v>2</v>
      </c>
      <c r="C7" s="17" t="s">
        <v>109</v>
      </c>
      <c r="D7" s="17" t="s">
        <v>110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2">
        <v>0.4</v>
      </c>
      <c r="K7" s="132">
        <v>1.3</v>
      </c>
      <c r="L7" s="133">
        <v>44839</v>
      </c>
      <c r="M7" s="131" t="s">
        <v>1177</v>
      </c>
      <c r="N7" s="135"/>
      <c r="O7" s="136"/>
      <c r="P7" s="140"/>
    </row>
    <row r="8" spans="2:23" x14ac:dyDescent="0.3">
      <c r="B8" s="17">
        <v>3</v>
      </c>
      <c r="C8" s="17" t="s">
        <v>111</v>
      </c>
      <c r="D8" s="17" t="s">
        <v>108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2">
        <v>0.27</v>
      </c>
      <c r="K8" s="132">
        <v>1.3</v>
      </c>
      <c r="L8" s="133">
        <v>43600</v>
      </c>
      <c r="M8" s="131" t="s">
        <v>485</v>
      </c>
      <c r="N8" s="138"/>
      <c r="O8" s="139"/>
      <c r="P8" s="140"/>
    </row>
    <row r="9" spans="2:23" x14ac:dyDescent="0.3">
      <c r="B9" s="17">
        <v>4</v>
      </c>
      <c r="C9" s="17" t="s">
        <v>274</v>
      </c>
      <c r="D9" s="17" t="s">
        <v>108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2">
        <v>0.4</v>
      </c>
      <c r="K9" s="132">
        <v>2.2000000000000002</v>
      </c>
      <c r="L9" s="133">
        <v>44839</v>
      </c>
      <c r="M9" s="131" t="s">
        <v>1176</v>
      </c>
      <c r="N9" s="135"/>
      <c r="O9" s="136"/>
      <c r="P9" s="140"/>
    </row>
    <row r="10" spans="2:23" x14ac:dyDescent="0.3">
      <c r="B10" s="17">
        <v>5</v>
      </c>
      <c r="C10" s="17" t="s">
        <v>406</v>
      </c>
      <c r="D10" s="17" t="s">
        <v>417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2">
        <v>0.42</v>
      </c>
      <c r="K10" s="132">
        <v>1.3</v>
      </c>
      <c r="L10" s="137">
        <v>43600</v>
      </c>
      <c r="M10" s="131" t="s">
        <v>486</v>
      </c>
      <c r="N10" s="28"/>
      <c r="O10" s="28"/>
      <c r="P10" s="140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112</v>
      </c>
      <c r="D12" s="38" t="s">
        <v>1400</v>
      </c>
      <c r="E12"/>
      <c r="F12" t="s">
        <v>259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470" t="s">
        <v>115</v>
      </c>
      <c r="I13" s="471"/>
      <c r="J13" s="470" t="s">
        <v>253</v>
      </c>
      <c r="K13" s="471"/>
      <c r="L13" s="470" t="s">
        <v>133</v>
      </c>
      <c r="M13" s="471"/>
      <c r="N13" s="470" t="s">
        <v>43</v>
      </c>
      <c r="O13" s="471"/>
      <c r="P13" s="470" t="s">
        <v>1401</v>
      </c>
      <c r="Q13" s="471"/>
      <c r="T13" s="183" t="s">
        <v>290</v>
      </c>
      <c r="U13" s="178"/>
    </row>
    <row r="14" spans="2:23" ht="57.6" x14ac:dyDescent="0.3">
      <c r="B14" s="22" t="s">
        <v>102</v>
      </c>
      <c r="C14" s="23" t="s">
        <v>113</v>
      </c>
      <c r="D14" s="23" t="s">
        <v>91</v>
      </c>
      <c r="E14" s="23" t="s">
        <v>103</v>
      </c>
      <c r="F14" s="23" t="s">
        <v>28</v>
      </c>
      <c r="G14" s="23" t="s">
        <v>252</v>
      </c>
      <c r="H14" s="23" t="s">
        <v>291</v>
      </c>
      <c r="I14" s="23" t="s">
        <v>292</v>
      </c>
      <c r="J14" s="23" t="s">
        <v>250</v>
      </c>
      <c r="K14" s="23" t="s">
        <v>251</v>
      </c>
      <c r="L14" s="23" t="s">
        <v>131</v>
      </c>
      <c r="M14" s="23" t="s">
        <v>132</v>
      </c>
      <c r="N14" s="23" t="s">
        <v>289</v>
      </c>
      <c r="O14" s="23" t="s">
        <v>288</v>
      </c>
      <c r="P14" s="23" t="s">
        <v>261</v>
      </c>
      <c r="Q14" s="23" t="s">
        <v>260</v>
      </c>
      <c r="R14" s="23" t="s">
        <v>1402</v>
      </c>
      <c r="S14" s="23" t="s">
        <v>293</v>
      </c>
      <c r="T14" s="23" t="s">
        <v>294</v>
      </c>
      <c r="U14" s="23" t="s">
        <v>126</v>
      </c>
      <c r="V14" s="23" t="s">
        <v>125</v>
      </c>
      <c r="W14" s="23" t="s">
        <v>101</v>
      </c>
    </row>
    <row r="15" spans="2:23" ht="28.8" x14ac:dyDescent="0.3">
      <c r="B15" s="31">
        <v>1</v>
      </c>
      <c r="C15" s="18" t="s">
        <v>247</v>
      </c>
      <c r="D15" s="18" t="s">
        <v>248</v>
      </c>
      <c r="E15" s="20" t="s">
        <v>114</v>
      </c>
      <c r="F15" s="20" t="s">
        <v>249</v>
      </c>
      <c r="G15" s="19" t="s">
        <v>258</v>
      </c>
      <c r="H15" s="21">
        <v>-10</v>
      </c>
      <c r="I15" s="21">
        <v>50</v>
      </c>
      <c r="J15" s="21">
        <v>-15</v>
      </c>
      <c r="K15" s="21">
        <v>200</v>
      </c>
      <c r="L15" s="146">
        <v>-12</v>
      </c>
      <c r="M15" s="146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3">
        <v>44830</v>
      </c>
      <c r="V15" s="160" t="s">
        <v>130</v>
      </c>
      <c r="W15" s="144" t="s">
        <v>1174</v>
      </c>
    </row>
    <row r="16" spans="2:23" ht="28.8" x14ac:dyDescent="0.3">
      <c r="B16" s="31">
        <v>2</v>
      </c>
      <c r="C16" s="19" t="s">
        <v>254</v>
      </c>
      <c r="D16" s="18" t="s">
        <v>256</v>
      </c>
      <c r="E16" s="20" t="s">
        <v>114</v>
      </c>
      <c r="F16" s="20" t="s">
        <v>257</v>
      </c>
      <c r="G16" s="19" t="s">
        <v>258</v>
      </c>
      <c r="H16" s="21">
        <v>-10</v>
      </c>
      <c r="I16" s="21">
        <v>50</v>
      </c>
      <c r="J16" s="21">
        <v>0</v>
      </c>
      <c r="K16" s="21">
        <v>10000</v>
      </c>
      <c r="L16" s="146">
        <v>0</v>
      </c>
      <c r="M16" s="146">
        <v>5000</v>
      </c>
      <c r="N16" s="33">
        <v>7</v>
      </c>
      <c r="O16" s="33">
        <v>1</v>
      </c>
      <c r="P16" s="168" t="s">
        <v>193</v>
      </c>
      <c r="Q16" s="21">
        <v>0.05</v>
      </c>
      <c r="R16" s="33">
        <v>5.0000000000000001E-3</v>
      </c>
      <c r="S16" s="33">
        <v>15</v>
      </c>
      <c r="T16" s="33">
        <v>35</v>
      </c>
      <c r="U16" s="145">
        <v>44830</v>
      </c>
      <c r="V16" s="160" t="s">
        <v>130</v>
      </c>
      <c r="W16" s="144" t="s">
        <v>1175</v>
      </c>
    </row>
    <row r="17" spans="1:23" ht="28.8" x14ac:dyDescent="0.3">
      <c r="B17" s="31">
        <v>3</v>
      </c>
      <c r="C17" s="19" t="s">
        <v>1316</v>
      </c>
      <c r="D17" s="19" t="s">
        <v>1317</v>
      </c>
      <c r="E17" s="20" t="s">
        <v>1315</v>
      </c>
      <c r="F17" s="20" t="s">
        <v>1318</v>
      </c>
      <c r="G17" s="19" t="s">
        <v>258</v>
      </c>
      <c r="H17" s="21">
        <v>-10</v>
      </c>
      <c r="I17" s="21">
        <v>50</v>
      </c>
      <c r="J17" s="21">
        <v>-15</v>
      </c>
      <c r="K17" s="21">
        <v>300</v>
      </c>
      <c r="L17" s="144">
        <v>-12</v>
      </c>
      <c r="M17" s="144">
        <v>300</v>
      </c>
      <c r="N17" s="182">
        <v>0.1</v>
      </c>
      <c r="O17" s="21">
        <v>0.01</v>
      </c>
      <c r="P17" s="323">
        <v>0.1</v>
      </c>
      <c r="Q17" s="21">
        <v>0.02</v>
      </c>
      <c r="R17" s="33">
        <v>5.0000000000000001E-3</v>
      </c>
      <c r="S17" s="33">
        <v>-10</v>
      </c>
      <c r="T17" s="33">
        <v>50</v>
      </c>
      <c r="U17" s="145">
        <v>44830</v>
      </c>
      <c r="V17" s="160" t="s">
        <v>130</v>
      </c>
      <c r="W17" s="144" t="s">
        <v>1319</v>
      </c>
    </row>
    <row r="18" spans="1:23" ht="28.8" x14ac:dyDescent="0.3">
      <c r="B18" s="31">
        <v>4</v>
      </c>
      <c r="C18" s="19" t="s">
        <v>263</v>
      </c>
      <c r="D18" s="19" t="s">
        <v>264</v>
      </c>
      <c r="E18" s="20" t="s">
        <v>114</v>
      </c>
      <c r="F18" s="20">
        <v>744</v>
      </c>
      <c r="G18" s="19" t="s">
        <v>265</v>
      </c>
      <c r="H18" s="21">
        <v>-10</v>
      </c>
      <c r="I18" s="21">
        <v>50</v>
      </c>
      <c r="J18" s="212">
        <v>0</v>
      </c>
      <c r="K18" s="21">
        <v>10000</v>
      </c>
      <c r="L18" s="211">
        <v>0</v>
      </c>
      <c r="M18" s="21">
        <v>10000</v>
      </c>
      <c r="N18" s="20"/>
      <c r="O18" s="21"/>
      <c r="P18" s="323">
        <v>2.5000000000000001E-2</v>
      </c>
      <c r="Q18" s="323">
        <v>2.5000000000000001E-2</v>
      </c>
      <c r="R18" s="33">
        <v>0</v>
      </c>
      <c r="S18" s="33">
        <v>0</v>
      </c>
      <c r="T18" s="33">
        <v>50</v>
      </c>
      <c r="U18" s="145">
        <v>43081</v>
      </c>
      <c r="V18" s="161" t="s">
        <v>272</v>
      </c>
      <c r="W18" s="144" t="s">
        <v>273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275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276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128</v>
      </c>
      <c r="D24" s="16"/>
      <c r="E24" s="37" t="s">
        <v>129</v>
      </c>
      <c r="F24" s="37"/>
      <c r="G24"/>
      <c r="H24" s="37" t="s">
        <v>134</v>
      </c>
      <c r="I24" s="37"/>
      <c r="J24" s="38" t="s">
        <v>271</v>
      </c>
      <c r="K24"/>
      <c r="L24"/>
      <c r="S24" t="s">
        <v>277</v>
      </c>
    </row>
    <row r="25" spans="1:23" ht="15.6" customHeight="1" x14ac:dyDescent="0.3">
      <c r="B25" s="22" t="s">
        <v>102</v>
      </c>
      <c r="C25" s="23" t="s">
        <v>113</v>
      </c>
      <c r="D25" s="23" t="s">
        <v>91</v>
      </c>
      <c r="E25" s="23" t="s">
        <v>269</v>
      </c>
      <c r="F25" s="23" t="s">
        <v>159</v>
      </c>
      <c r="G25" s="23" t="s">
        <v>1403</v>
      </c>
      <c r="H25" s="23" t="s">
        <v>270</v>
      </c>
      <c r="I25" s="23" t="s">
        <v>160</v>
      </c>
      <c r="J25" s="63" t="s">
        <v>1404</v>
      </c>
      <c r="K25" s="23" t="s">
        <v>157</v>
      </c>
      <c r="L25"/>
    </row>
    <row r="26" spans="1:23" x14ac:dyDescent="0.3">
      <c r="A26" s="36">
        <v>1</v>
      </c>
      <c r="B26" s="31">
        <v>1</v>
      </c>
      <c r="C26" s="64" t="str">
        <f>C15</f>
        <v>NI-MCPP-01</v>
      </c>
      <c r="D26" s="39" t="s">
        <v>248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1">
        <v>2.1000000000000001E-2</v>
      </c>
      <c r="K26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8">
        <v>2</v>
      </c>
      <c r="C27" s="172" t="str">
        <f>$C$26</f>
        <v>NI-MCPP-01</v>
      </c>
      <c r="D27" s="40"/>
      <c r="E27" s="259">
        <v>3.0000000000000001E-3</v>
      </c>
      <c r="F27" s="259">
        <v>3.0000000000000001E-3</v>
      </c>
      <c r="G27" s="259">
        <v>1.4E-2</v>
      </c>
      <c r="H27" s="21">
        <v>2E-3</v>
      </c>
      <c r="I27" s="34">
        <v>2E-3</v>
      </c>
      <c r="J27" s="61">
        <v>2.1000000000000001E-2</v>
      </c>
      <c r="K27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8">
        <v>3</v>
      </c>
      <c r="C28" s="172" t="str">
        <f t="shared" ref="C28:C42" si="0">$C$26</f>
        <v>NI-MCPP-01</v>
      </c>
      <c r="D28" s="40"/>
      <c r="E28" s="259">
        <v>20.015999999999998</v>
      </c>
      <c r="F28" s="259">
        <v>6.0000000000000001E-3</v>
      </c>
      <c r="G28" s="259">
        <v>1.7999999999999999E-2</v>
      </c>
      <c r="H28" s="21">
        <v>19.998999999999999</v>
      </c>
      <c r="I28" s="34">
        <v>-1E-3</v>
      </c>
      <c r="J28" s="61">
        <v>2.1000000000000001E-2</v>
      </c>
      <c r="K2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8">
        <v>4</v>
      </c>
      <c r="C29" s="172" t="str">
        <f t="shared" si="0"/>
        <v>NI-MCPP-01</v>
      </c>
      <c r="D29" s="40"/>
      <c r="E29" s="259">
        <v>50.015999999999998</v>
      </c>
      <c r="F29" s="259">
        <v>1.0999999999999999E-2</v>
      </c>
      <c r="G29" s="259">
        <v>1.6E-2</v>
      </c>
      <c r="H29" s="21">
        <v>49.997999999999998</v>
      </c>
      <c r="I29" s="34">
        <v>-2E-3</v>
      </c>
      <c r="J29" s="61">
        <v>2.1000000000000001E-2</v>
      </c>
      <c r="K29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6">
        <v>5</v>
      </c>
      <c r="C30" s="172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1">
        <v>2.1000000000000001E-2</v>
      </c>
      <c r="K3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6">
        <v>6</v>
      </c>
      <c r="C31" s="172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1">
        <v>2.1999999999999999E-2</v>
      </c>
      <c r="K3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6">
        <v>7</v>
      </c>
      <c r="C32" s="172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1">
        <v>2.1999999999999999E-2</v>
      </c>
      <c r="K3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6">
        <v>8</v>
      </c>
      <c r="C33" s="172" t="str">
        <f t="shared" si="0"/>
        <v>NI-MCPP-01</v>
      </c>
      <c r="D33" s="40"/>
      <c r="E33" s="259">
        <v>199.98699999999999</v>
      </c>
      <c r="F33" s="259">
        <v>-1.2999999999999999E-2</v>
      </c>
      <c r="G33" s="259">
        <v>1.4E-2</v>
      </c>
      <c r="H33" s="21">
        <v>199.983</v>
      </c>
      <c r="I33" s="34">
        <v>-1.7000000000000001E-2</v>
      </c>
      <c r="J33" s="61">
        <v>2.1999999999999999E-2</v>
      </c>
      <c r="K3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6">
        <v>9</v>
      </c>
      <c r="C34" s="172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1">
        <v>2.1000000000000001E-2</v>
      </c>
      <c r="K3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6">
        <v>10</v>
      </c>
      <c r="C35" s="172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1">
        <v>2.1000000000000001E-2</v>
      </c>
      <c r="K3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6">
        <v>11</v>
      </c>
      <c r="C36" s="172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1">
        <v>2.1999999999999999E-2</v>
      </c>
      <c r="K3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6">
        <v>12</v>
      </c>
      <c r="C37" s="172" t="str">
        <f t="shared" si="0"/>
        <v>NI-MCPP-01</v>
      </c>
      <c r="D37" s="40"/>
      <c r="E37" s="34">
        <v>20.001999999999999</v>
      </c>
      <c r="F37" s="34">
        <v>2E-3</v>
      </c>
      <c r="G37" s="260">
        <v>1.2999999999999999E-2</v>
      </c>
      <c r="H37" s="21">
        <v>19.997</v>
      </c>
      <c r="I37" s="34">
        <v>-3.0000000000000001E-3</v>
      </c>
      <c r="J37" s="21">
        <v>2.1999999999999999E-2</v>
      </c>
      <c r="K37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6">
        <v>13</v>
      </c>
      <c r="C38" s="172" t="str">
        <f t="shared" si="0"/>
        <v>NI-MCPP-01</v>
      </c>
      <c r="D38" s="40"/>
      <c r="E38" s="34">
        <v>2E-3</v>
      </c>
      <c r="F38" s="34">
        <v>2E-3</v>
      </c>
      <c r="G38" s="260">
        <v>1.2999999999999999E-2</v>
      </c>
      <c r="H38" s="21">
        <v>2E-3</v>
      </c>
      <c r="I38" s="34">
        <v>-8.0000000000000002E-3</v>
      </c>
      <c r="J38" s="21">
        <v>2.1999999999999999E-2</v>
      </c>
      <c r="K38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6">
        <v>14</v>
      </c>
      <c r="C39" s="172" t="str">
        <f t="shared" si="0"/>
        <v>NI-MCPP-01</v>
      </c>
      <c r="D39" s="40"/>
      <c r="E39" s="34">
        <v>-12.004</v>
      </c>
      <c r="F39" s="34">
        <v>4.0000000000000001E-3</v>
      </c>
      <c r="G39" s="260">
        <v>1.2999999999999999E-2</v>
      </c>
      <c r="H39" s="21">
        <v>-11.999000000000001</v>
      </c>
      <c r="I39" s="34">
        <v>1E-3</v>
      </c>
      <c r="J39" s="21">
        <v>2.1000000000000001E-2</v>
      </c>
      <c r="K39" s="2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6">
        <v>15</v>
      </c>
      <c r="C40" s="172" t="str">
        <f t="shared" si="0"/>
        <v>NI-MCPP-01</v>
      </c>
      <c r="D40" s="40"/>
      <c r="E40" s="34"/>
      <c r="F40" s="34"/>
      <c r="G40" s="34"/>
      <c r="H40" s="33"/>
      <c r="I40" s="33"/>
      <c r="J40" s="262"/>
      <c r="K40" s="171"/>
      <c r="L40"/>
    </row>
    <row r="41" spans="1:12" x14ac:dyDescent="0.3">
      <c r="B41" s="58">
        <v>16</v>
      </c>
      <c r="C41" s="172" t="str">
        <f t="shared" si="0"/>
        <v>NI-MCPP-01</v>
      </c>
      <c r="D41" s="40"/>
      <c r="E41" s="34"/>
      <c r="F41" s="34"/>
      <c r="G41" s="34"/>
      <c r="H41" s="21"/>
      <c r="I41" s="32"/>
      <c r="J41" s="61"/>
      <c r="K41" s="171"/>
      <c r="L41"/>
    </row>
    <row r="42" spans="1:12" x14ac:dyDescent="0.3">
      <c r="B42" s="58">
        <v>17</v>
      </c>
      <c r="C42" s="172" t="str">
        <f t="shared" si="0"/>
        <v>NI-MCPP-01</v>
      </c>
      <c r="D42" s="40"/>
      <c r="E42" s="34"/>
      <c r="F42" s="34"/>
      <c r="G42" s="34"/>
      <c r="H42" s="21"/>
      <c r="I42" s="21"/>
      <c r="J42" s="61"/>
      <c r="K42" s="171"/>
      <c r="L42"/>
    </row>
    <row r="43" spans="1:12" ht="15" thickBot="1" x14ac:dyDescent="0.35">
      <c r="B43" s="59">
        <v>18</v>
      </c>
      <c r="C43" s="173" t="str">
        <f>$C$26</f>
        <v>NI-MCPP-01</v>
      </c>
      <c r="D43" s="41"/>
      <c r="E43" s="162"/>
      <c r="F43" s="163"/>
      <c r="G43" s="162"/>
      <c r="H43" s="42"/>
      <c r="I43" s="42"/>
      <c r="J43" s="62"/>
      <c r="K43" s="164"/>
      <c r="L43"/>
    </row>
    <row r="44" spans="1:12" x14ac:dyDescent="0.3">
      <c r="A44" s="36">
        <v>2</v>
      </c>
      <c r="B44" s="60">
        <v>1</v>
      </c>
      <c r="C44" s="65" t="str">
        <f>C16</f>
        <v>NI-MCPP-02</v>
      </c>
      <c r="D44" s="40" t="s">
        <v>266</v>
      </c>
      <c r="E44" s="32">
        <v>-0.12</v>
      </c>
      <c r="F44" s="306">
        <v>-0.12</v>
      </c>
      <c r="G44" s="32">
        <v>0.59</v>
      </c>
      <c r="H44" s="32">
        <v>0</v>
      </c>
      <c r="I44" s="306">
        <v>0</v>
      </c>
      <c r="J44" s="32">
        <v>0.68</v>
      </c>
      <c r="K4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8">
        <v>2</v>
      </c>
      <c r="C45" s="172" t="str">
        <f>$C$44</f>
        <v>NI-MCPP-02</v>
      </c>
      <c r="D45" s="40" t="s">
        <v>267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8">
        <v>3</v>
      </c>
      <c r="C46" s="172" t="str">
        <f t="shared" ref="C46:C59" si="1">$C$44</f>
        <v>NI-MCPP-02</v>
      </c>
      <c r="D46" s="167"/>
      <c r="E46" s="307">
        <v>999.91</v>
      </c>
      <c r="F46" s="307">
        <v>-0.09</v>
      </c>
      <c r="G46" s="307">
        <v>0.83</v>
      </c>
      <c r="H46" s="307">
        <v>999.36</v>
      </c>
      <c r="I46" s="307">
        <v>-0.64</v>
      </c>
      <c r="J46" s="307">
        <v>0.72</v>
      </c>
      <c r="K4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8">
        <v>4</v>
      </c>
      <c r="C47" s="172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8">
        <v>5</v>
      </c>
      <c r="C48" s="172" t="str">
        <f t="shared" si="1"/>
        <v>NI-MCPP-02</v>
      </c>
      <c r="D48" s="167"/>
      <c r="E48" s="307">
        <v>2998.52</v>
      </c>
      <c r="F48" s="307">
        <v>-1.48</v>
      </c>
      <c r="G48" s="307">
        <v>0.69</v>
      </c>
      <c r="H48" s="307">
        <v>2999.48</v>
      </c>
      <c r="I48" s="307">
        <v>-0.52</v>
      </c>
      <c r="J48" s="307">
        <v>0.7</v>
      </c>
      <c r="K4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8">
        <v>6</v>
      </c>
      <c r="C49" s="172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8">
        <v>7</v>
      </c>
      <c r="C50" s="172" t="str">
        <f t="shared" si="1"/>
        <v>NI-MCPP-02</v>
      </c>
      <c r="D50" s="167"/>
      <c r="E50" s="307">
        <v>4999.43</v>
      </c>
      <c r="F50" s="307">
        <v>-0.56999999999999995</v>
      </c>
      <c r="G50" s="307">
        <v>0.68</v>
      </c>
      <c r="H50" s="307">
        <v>4999.74</v>
      </c>
      <c r="I50" s="307">
        <v>-0.26</v>
      </c>
      <c r="J50" s="307">
        <v>0.68</v>
      </c>
      <c r="K50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8">
        <v>8</v>
      </c>
      <c r="C51" s="172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8">
        <v>9</v>
      </c>
      <c r="C52" s="172" t="str">
        <f t="shared" si="1"/>
        <v>NI-MCPP-02</v>
      </c>
      <c r="D52" s="167"/>
      <c r="E52" s="307">
        <v>3998.51</v>
      </c>
      <c r="F52" s="307">
        <v>-1.49</v>
      </c>
      <c r="G52" s="307">
        <v>0.69</v>
      </c>
      <c r="H52" s="307">
        <v>3999.1</v>
      </c>
      <c r="I52" s="307">
        <v>-0.9</v>
      </c>
      <c r="J52" s="307">
        <v>0.68</v>
      </c>
      <c r="K52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8">
        <v>10</v>
      </c>
      <c r="C53" s="172" t="str">
        <f t="shared" si="1"/>
        <v>NI-MCPP-02</v>
      </c>
      <c r="D53" s="167"/>
      <c r="E53" s="307">
        <v>2998.85</v>
      </c>
      <c r="F53" s="307">
        <v>-1.1499999999999999</v>
      </c>
      <c r="G53" s="307">
        <v>0.68</v>
      </c>
      <c r="H53" s="307">
        <v>2999.5</v>
      </c>
      <c r="I53" s="307">
        <v>-0.5</v>
      </c>
      <c r="J53" s="307">
        <v>0.69</v>
      </c>
      <c r="K5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8">
        <v>11</v>
      </c>
      <c r="C54" s="172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8">
        <v>12</v>
      </c>
      <c r="C55" s="172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8">
        <v>13</v>
      </c>
      <c r="C56" s="172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8">
        <v>14</v>
      </c>
      <c r="C57" s="172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8">
        <v>15</v>
      </c>
      <c r="C58" s="172" t="str">
        <f>$C$44</f>
        <v>NI-MCPP-02</v>
      </c>
      <c r="D58" s="40"/>
      <c r="E58" s="46"/>
      <c r="F58" s="46"/>
      <c r="G58" s="21"/>
      <c r="H58" s="21"/>
      <c r="I58" s="21"/>
      <c r="J58" s="61"/>
      <c r="K58" s="171"/>
      <c r="L58"/>
    </row>
    <row r="59" spans="1:12" x14ac:dyDescent="0.3">
      <c r="B59" s="58">
        <v>16</v>
      </c>
      <c r="C59" s="172" t="str">
        <f t="shared" si="1"/>
        <v>NI-MCPP-02</v>
      </c>
      <c r="D59" s="40"/>
      <c r="E59" s="21"/>
      <c r="F59" s="46"/>
      <c r="G59" s="21"/>
      <c r="H59" s="21"/>
      <c r="I59" s="21"/>
      <c r="J59" s="61"/>
      <c r="K59" s="171"/>
      <c r="L59"/>
    </row>
    <row r="60" spans="1:12" ht="15" thickBot="1" x14ac:dyDescent="0.35">
      <c r="B60" s="59">
        <v>17</v>
      </c>
      <c r="C60" s="173" t="str">
        <f>$C$44</f>
        <v>NI-MCPP-02</v>
      </c>
      <c r="D60" s="41"/>
      <c r="E60" s="42"/>
      <c r="F60" s="165"/>
      <c r="G60" s="42"/>
      <c r="H60" s="42"/>
      <c r="I60" s="42"/>
      <c r="J60" s="62"/>
      <c r="K60" s="164"/>
      <c r="L60"/>
    </row>
    <row r="61" spans="1:12" x14ac:dyDescent="0.3">
      <c r="A61" s="36">
        <v>3</v>
      </c>
      <c r="B61" s="60">
        <v>1</v>
      </c>
      <c r="C61" s="65" t="str">
        <f>C17</f>
        <v>NI-MCPP-05</v>
      </c>
      <c r="D61" s="40" t="s">
        <v>268</v>
      </c>
      <c r="E61" s="263">
        <v>0</v>
      </c>
      <c r="F61" s="34">
        <v>0</v>
      </c>
      <c r="G61" s="263">
        <v>5.2999999999999999E-2</v>
      </c>
      <c r="H61" s="43">
        <v>0</v>
      </c>
      <c r="I61" s="32">
        <v>0</v>
      </c>
      <c r="J61" s="43">
        <v>0.28000000000000003</v>
      </c>
      <c r="K6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8">
        <v>2</v>
      </c>
      <c r="C62" s="174" t="str">
        <f>$C$61</f>
        <v>NI-MCPP-05</v>
      </c>
      <c r="D62" s="40" t="s">
        <v>127</v>
      </c>
      <c r="E62" s="34">
        <v>59.9</v>
      </c>
      <c r="F62" s="34">
        <v>0</v>
      </c>
      <c r="G62" s="263">
        <v>5.2999999999999999E-2</v>
      </c>
      <c r="H62" s="21">
        <v>60.05</v>
      </c>
      <c r="I62" s="21">
        <v>0.05</v>
      </c>
      <c r="J62" s="43">
        <v>0.28000000000000003</v>
      </c>
      <c r="K6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0.05</v>
      </c>
      <c r="L62"/>
    </row>
    <row r="63" spans="1:12" x14ac:dyDescent="0.3">
      <c r="B63" s="58">
        <v>3</v>
      </c>
      <c r="C63" s="174" t="str">
        <f t="shared" ref="C63:C86" si="2">$C$61</f>
        <v>NI-MCPP-05</v>
      </c>
      <c r="D63" s="40"/>
      <c r="E63" s="34">
        <v>79.91</v>
      </c>
      <c r="F63" s="34">
        <v>0</v>
      </c>
      <c r="G63" s="263">
        <v>6.9599999999999995E-2</v>
      </c>
      <c r="H63" s="21">
        <v>80.010000000000005</v>
      </c>
      <c r="I63" s="21">
        <v>0.01</v>
      </c>
      <c r="J63" s="43">
        <v>0.28999999999999998</v>
      </c>
      <c r="K6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63"/>
    </row>
    <row r="64" spans="1:12" x14ac:dyDescent="0.3">
      <c r="B64" s="58">
        <v>4</v>
      </c>
      <c r="C64" s="174" t="str">
        <f t="shared" si="2"/>
        <v>NI-MCPP-05</v>
      </c>
      <c r="D64" s="40"/>
      <c r="E64" s="34">
        <v>100.06</v>
      </c>
      <c r="F64" s="34">
        <v>-8.6999999999999994E-3</v>
      </c>
      <c r="G64" s="263">
        <v>7.5399999999999995E-2</v>
      </c>
      <c r="H64" s="21">
        <v>99.09</v>
      </c>
      <c r="I64" s="21">
        <v>0.01</v>
      </c>
      <c r="J64" s="43">
        <v>0.28000000000000003</v>
      </c>
      <c r="K6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1.8700000000000001E-2</v>
      </c>
      <c r="L64"/>
    </row>
    <row r="65" spans="2:12" x14ac:dyDescent="0.3">
      <c r="B65" s="58">
        <v>5</v>
      </c>
      <c r="C65" s="174" t="str">
        <f t="shared" si="2"/>
        <v>NI-MCPP-05</v>
      </c>
      <c r="D65" s="40"/>
      <c r="E65" s="34">
        <v>159.97</v>
      </c>
      <c r="F65" s="34">
        <v>-4.4000000000000003E-3</v>
      </c>
      <c r="G65" s="263">
        <v>7.5399999999999995E-2</v>
      </c>
      <c r="H65" s="21">
        <v>160.04</v>
      </c>
      <c r="I65" s="21">
        <v>0.04</v>
      </c>
      <c r="J65" s="43">
        <v>0.28000000000000003</v>
      </c>
      <c r="K6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4.4400000000000002E-2</v>
      </c>
      <c r="L65"/>
    </row>
    <row r="66" spans="2:12" x14ac:dyDescent="0.3">
      <c r="B66" s="58">
        <v>6</v>
      </c>
      <c r="C66" s="174" t="str">
        <f t="shared" si="2"/>
        <v>NI-MCPP-05</v>
      </c>
      <c r="D66" s="40"/>
      <c r="E66" s="34">
        <v>199.99</v>
      </c>
      <c r="F66" s="34">
        <v>-1.1599999999999999E-2</v>
      </c>
      <c r="G66" s="263">
        <v>0.13200000000000001</v>
      </c>
      <c r="H66" s="32">
        <v>200.1</v>
      </c>
      <c r="I66" s="21">
        <v>0.09</v>
      </c>
      <c r="J66" s="43">
        <v>0.28000000000000003</v>
      </c>
      <c r="K6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0.1016</v>
      </c>
      <c r="L66"/>
    </row>
    <row r="67" spans="2:12" x14ac:dyDescent="0.3">
      <c r="B67" s="58">
        <v>7</v>
      </c>
      <c r="C67" s="174" t="str">
        <f t="shared" si="2"/>
        <v>NI-MCPP-05</v>
      </c>
      <c r="D67" s="40"/>
      <c r="E67" s="34">
        <v>299.91000000000003</v>
      </c>
      <c r="F67" s="34">
        <v>-2.47E-2</v>
      </c>
      <c r="G67" s="263">
        <v>0.10879999999999999</v>
      </c>
      <c r="H67" s="21">
        <v>300.07</v>
      </c>
      <c r="I67" s="21">
        <v>7.0000000000000007E-2</v>
      </c>
      <c r="J67" s="32">
        <v>0.3</v>
      </c>
      <c r="K6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9.4700000000000006E-2</v>
      </c>
      <c r="L67"/>
    </row>
    <row r="68" spans="2:12" x14ac:dyDescent="0.3">
      <c r="B68" s="58">
        <v>8</v>
      </c>
      <c r="C68" s="174" t="str">
        <f t="shared" si="2"/>
        <v>NI-MCPP-05</v>
      </c>
      <c r="D68" s="40"/>
      <c r="E68" s="34">
        <v>399.95</v>
      </c>
      <c r="F68" s="34">
        <v>-5.8000000000000003E-2</v>
      </c>
      <c r="G68" s="34">
        <v>0.21759999999999999</v>
      </c>
      <c r="H68" s="21">
        <v>400.08</v>
      </c>
      <c r="I68" s="21">
        <v>0.08</v>
      </c>
      <c r="J68" s="43">
        <v>0.28000000000000003</v>
      </c>
      <c r="K6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0.13800000000000001</v>
      </c>
      <c r="L68"/>
    </row>
    <row r="69" spans="2:12" x14ac:dyDescent="0.3">
      <c r="B69" s="58">
        <v>9</v>
      </c>
      <c r="C69" s="174" t="str">
        <f t="shared" si="2"/>
        <v>NI-MCPP-05</v>
      </c>
      <c r="D69" s="40"/>
      <c r="E69" s="34">
        <v>499.87</v>
      </c>
      <c r="F69" s="34">
        <v>-7.2499999999999995E-2</v>
      </c>
      <c r="G69" s="263">
        <v>0.2321</v>
      </c>
      <c r="H69" s="21">
        <v>500.05</v>
      </c>
      <c r="I69" s="21">
        <v>0.05</v>
      </c>
      <c r="J69" s="43">
        <v>0.28000000000000003</v>
      </c>
      <c r="K6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0.1225</v>
      </c>
      <c r="L69"/>
    </row>
    <row r="70" spans="2:12" x14ac:dyDescent="0.3">
      <c r="B70" s="58">
        <v>10</v>
      </c>
      <c r="C70" s="174" t="str">
        <f t="shared" si="2"/>
        <v>NI-MCPP-05</v>
      </c>
      <c r="D70" s="40"/>
      <c r="E70" s="34">
        <v>599.77</v>
      </c>
      <c r="F70" s="34">
        <v>-0.10150000000000001</v>
      </c>
      <c r="G70" s="263">
        <v>0.29010000000000002</v>
      </c>
      <c r="H70" s="21">
        <v>600.05999999999995</v>
      </c>
      <c r="I70" s="21">
        <v>7.0000000000000007E-2</v>
      </c>
      <c r="J70" s="43">
        <v>0.28000000000000003</v>
      </c>
      <c r="K7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0.17150000000000001</v>
      </c>
      <c r="L70"/>
    </row>
    <row r="71" spans="2:12" x14ac:dyDescent="0.3">
      <c r="B71" s="58">
        <v>11</v>
      </c>
      <c r="C71" s="174" t="str">
        <f t="shared" si="2"/>
        <v>NI-MCPP-05</v>
      </c>
      <c r="D71" s="40"/>
      <c r="E71" s="34">
        <v>699.79</v>
      </c>
      <c r="F71" s="34">
        <v>-0.1595</v>
      </c>
      <c r="G71" s="263">
        <v>0.21759999999999999</v>
      </c>
      <c r="H71" s="21">
        <v>700.08</v>
      </c>
      <c r="I71" s="21">
        <v>0.03</v>
      </c>
      <c r="J71" s="43">
        <v>0.28000000000000003</v>
      </c>
      <c r="K7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0.1895</v>
      </c>
      <c r="L71"/>
    </row>
    <row r="72" spans="2:12" x14ac:dyDescent="0.3">
      <c r="B72" s="58">
        <v>12</v>
      </c>
      <c r="C72" s="174" t="str">
        <f t="shared" si="2"/>
        <v>NI-MCPP-05</v>
      </c>
      <c r="D72" s="40"/>
      <c r="E72" s="34">
        <v>799.68</v>
      </c>
      <c r="F72" s="34">
        <v>-0.2031</v>
      </c>
      <c r="G72" s="263">
        <v>0.2611</v>
      </c>
      <c r="H72" s="21">
        <v>800.07</v>
      </c>
      <c r="I72" s="21">
        <v>7.0000000000000007E-2</v>
      </c>
      <c r="J72" s="43">
        <v>0.3</v>
      </c>
      <c r="K7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0.27310000000000001</v>
      </c>
      <c r="L72"/>
    </row>
    <row r="73" spans="2:12" x14ac:dyDescent="0.3">
      <c r="B73" s="58">
        <v>13</v>
      </c>
      <c r="C73" s="174" t="str">
        <f t="shared" si="2"/>
        <v>NI-MCPP-05</v>
      </c>
      <c r="D73" s="40"/>
      <c r="E73" s="34">
        <v>899.75</v>
      </c>
      <c r="F73" s="34">
        <v>-0.2031</v>
      </c>
      <c r="G73" s="263">
        <v>0.24660000000000001</v>
      </c>
      <c r="H73" s="21">
        <v>900.03</v>
      </c>
      <c r="I73" s="21">
        <v>0.03</v>
      </c>
      <c r="J73" s="43">
        <v>0.28000000000000003</v>
      </c>
      <c r="K7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0.2331</v>
      </c>
      <c r="L73"/>
    </row>
    <row r="74" spans="2:12" x14ac:dyDescent="0.3">
      <c r="B74" s="58">
        <v>14</v>
      </c>
      <c r="C74" s="174" t="str">
        <f t="shared" si="2"/>
        <v>NI-MCPP-05</v>
      </c>
      <c r="D74" s="40"/>
      <c r="E74" s="34">
        <v>899.74</v>
      </c>
      <c r="F74" s="34">
        <v>-0.21759999999999999</v>
      </c>
      <c r="G74" s="263">
        <v>0.24660000000000001</v>
      </c>
      <c r="H74" s="21">
        <v>900.04</v>
      </c>
      <c r="I74" s="21">
        <v>-0.01</v>
      </c>
      <c r="J74" s="32">
        <v>0.28999999999999998</v>
      </c>
      <c r="K7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0.20759999999999998</v>
      </c>
      <c r="L74"/>
    </row>
    <row r="75" spans="2:12" x14ac:dyDescent="0.3">
      <c r="B75" s="58">
        <v>15</v>
      </c>
      <c r="C75" s="174" t="str">
        <f t="shared" si="2"/>
        <v>NI-MCPP-05</v>
      </c>
      <c r="D75" s="40"/>
      <c r="E75" s="34">
        <v>799.66</v>
      </c>
      <c r="F75" s="34">
        <v>-0.21759999999999999</v>
      </c>
      <c r="G75" s="34">
        <v>0.2611</v>
      </c>
      <c r="H75" s="21">
        <v>800.05</v>
      </c>
      <c r="I75" s="21">
        <v>0.05</v>
      </c>
      <c r="J75" s="32">
        <v>0.28999999999999998</v>
      </c>
      <c r="K7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0.2676</v>
      </c>
      <c r="L75"/>
    </row>
    <row r="76" spans="2:12" x14ac:dyDescent="0.3">
      <c r="B76" s="58">
        <v>16</v>
      </c>
      <c r="C76" s="174" t="str">
        <f t="shared" si="2"/>
        <v>NI-MCPP-05</v>
      </c>
      <c r="D76" s="40"/>
      <c r="E76" s="34">
        <v>699.76</v>
      </c>
      <c r="F76" s="34">
        <v>-0.1885</v>
      </c>
      <c r="G76" s="34">
        <v>0.1885</v>
      </c>
      <c r="H76" s="21">
        <v>700.07</v>
      </c>
      <c r="I76" s="21">
        <v>0.02</v>
      </c>
      <c r="J76" s="32">
        <v>0.35</v>
      </c>
      <c r="K7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0.20849999999999999</v>
      </c>
      <c r="L76"/>
    </row>
    <row r="77" spans="2:12" x14ac:dyDescent="0.3">
      <c r="B77" s="58">
        <v>17</v>
      </c>
      <c r="C77" s="174" t="str">
        <f t="shared" si="2"/>
        <v>NI-MCPP-05</v>
      </c>
      <c r="D77" s="40"/>
      <c r="E77" s="34">
        <v>599.75</v>
      </c>
      <c r="F77" s="34">
        <v>-0.1305</v>
      </c>
      <c r="G77" s="34">
        <v>0.24660000000000001</v>
      </c>
      <c r="H77" s="21">
        <v>600.04999999999995</v>
      </c>
      <c r="I77" s="21">
        <v>0.05</v>
      </c>
      <c r="J77" s="43">
        <v>0.28000000000000003</v>
      </c>
      <c r="K7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0.18049999999999999</v>
      </c>
      <c r="L77"/>
    </row>
    <row r="78" spans="2:12" x14ac:dyDescent="0.3">
      <c r="B78" s="58">
        <v>18</v>
      </c>
      <c r="C78" s="174" t="str">
        <f t="shared" si="2"/>
        <v>NI-MCPP-05</v>
      </c>
      <c r="D78" s="40"/>
      <c r="E78" s="34">
        <v>499.84</v>
      </c>
      <c r="F78" s="34">
        <v>-0.10150000000000001</v>
      </c>
      <c r="G78" s="263">
        <v>0.27560000000000001</v>
      </c>
      <c r="H78" s="21">
        <v>500.07</v>
      </c>
      <c r="I78" s="21">
        <v>0.02</v>
      </c>
      <c r="J78" s="43">
        <v>0.28000000000000003</v>
      </c>
      <c r="K7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0.12150000000000001</v>
      </c>
      <c r="L78"/>
    </row>
    <row r="79" spans="2:12" x14ac:dyDescent="0.3">
      <c r="B79" s="58">
        <v>19</v>
      </c>
      <c r="C79" s="174" t="str">
        <f t="shared" si="2"/>
        <v>NI-MCPP-05</v>
      </c>
      <c r="D79" s="40"/>
      <c r="E79" s="34">
        <v>399.95</v>
      </c>
      <c r="F79" s="34">
        <v>-5.8000000000000003E-2</v>
      </c>
      <c r="G79" s="263">
        <v>0.29010000000000002</v>
      </c>
      <c r="H79" s="21">
        <v>400.09</v>
      </c>
      <c r="I79" s="21">
        <v>0.04</v>
      </c>
      <c r="J79" s="32">
        <v>0.28999999999999998</v>
      </c>
      <c r="K7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9.8000000000000004E-2</v>
      </c>
      <c r="L79"/>
    </row>
    <row r="80" spans="2:12" x14ac:dyDescent="0.3">
      <c r="B80" s="58">
        <v>20</v>
      </c>
      <c r="C80" s="174" t="str">
        <f t="shared" si="2"/>
        <v>NI-MCPP-05</v>
      </c>
      <c r="D80" s="40"/>
      <c r="E80" s="34">
        <v>299.91000000000003</v>
      </c>
      <c r="F80" s="34">
        <v>-2.9000000000000001E-2</v>
      </c>
      <c r="G80" s="34">
        <v>0.27560000000000001</v>
      </c>
      <c r="H80" s="32">
        <v>300.10000000000002</v>
      </c>
      <c r="I80" s="21">
        <v>0.05</v>
      </c>
      <c r="J80" s="43">
        <v>0.28000000000000003</v>
      </c>
      <c r="K8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7.9000000000000001E-2</v>
      </c>
      <c r="L80"/>
    </row>
    <row r="81" spans="1:12" x14ac:dyDescent="0.3">
      <c r="B81" s="58">
        <v>21</v>
      </c>
      <c r="C81" s="174" t="str">
        <f t="shared" si="2"/>
        <v>NI-MCPP-05</v>
      </c>
      <c r="D81" s="40"/>
      <c r="E81" s="34">
        <v>199.99</v>
      </c>
      <c r="F81" s="34">
        <v>-1.4500000000000001E-2</v>
      </c>
      <c r="G81" s="263">
        <v>0.2611</v>
      </c>
      <c r="H81" s="21">
        <v>200.09</v>
      </c>
      <c r="I81" s="21">
        <v>0.09</v>
      </c>
      <c r="J81" s="43">
        <v>0.28000000000000003</v>
      </c>
      <c r="K8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0.1045</v>
      </c>
      <c r="L81"/>
    </row>
    <row r="82" spans="1:12" x14ac:dyDescent="0.3">
      <c r="B82" s="58">
        <v>22</v>
      </c>
      <c r="C82" s="174" t="str">
        <f t="shared" si="2"/>
        <v>NI-MCPP-05</v>
      </c>
      <c r="D82" s="40"/>
      <c r="E82" s="34">
        <v>159.97</v>
      </c>
      <c r="F82" s="34">
        <v>0</v>
      </c>
      <c r="G82" s="263">
        <v>0.30459999999999998</v>
      </c>
      <c r="H82" s="21">
        <v>160.07</v>
      </c>
      <c r="I82" s="21">
        <v>7.0000000000000007E-2</v>
      </c>
      <c r="J82" s="43">
        <v>0.28000000000000003</v>
      </c>
      <c r="K8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82"/>
    </row>
    <row r="83" spans="1:12" x14ac:dyDescent="0.3">
      <c r="B83" s="58">
        <v>23</v>
      </c>
      <c r="C83" s="174" t="str">
        <f t="shared" si="2"/>
        <v>NI-MCPP-05</v>
      </c>
      <c r="D83" s="40"/>
      <c r="E83" s="34">
        <v>100.09</v>
      </c>
      <c r="F83" s="34">
        <v>1.4500000000000001E-2</v>
      </c>
      <c r="G83" s="263">
        <v>0.33360000000000001</v>
      </c>
      <c r="H83" s="21">
        <v>100.11</v>
      </c>
      <c r="I83" s="21">
        <v>0.11</v>
      </c>
      <c r="J83" s="43">
        <v>0.28000000000000003</v>
      </c>
      <c r="K8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9.5500000000000002E-2</v>
      </c>
      <c r="L83"/>
    </row>
    <row r="84" spans="1:12" x14ac:dyDescent="0.3">
      <c r="B84" s="58">
        <v>24</v>
      </c>
      <c r="C84" s="174" t="str">
        <f t="shared" si="2"/>
        <v>NI-MCPP-05</v>
      </c>
      <c r="D84" s="40"/>
      <c r="E84" s="34">
        <v>79.930000000000007</v>
      </c>
      <c r="F84" s="34">
        <v>1.4500000000000001E-2</v>
      </c>
      <c r="G84" s="263">
        <v>0.33360000000000001</v>
      </c>
      <c r="H84" s="21">
        <v>80.06</v>
      </c>
      <c r="I84" s="21">
        <v>0.06</v>
      </c>
      <c r="J84" s="43">
        <v>0.28000000000000003</v>
      </c>
      <c r="K8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4.5499999999999999E-2</v>
      </c>
      <c r="L84"/>
    </row>
    <row r="85" spans="1:12" x14ac:dyDescent="0.3">
      <c r="B85" s="58">
        <v>25</v>
      </c>
      <c r="C85" s="174" t="str">
        <f t="shared" si="2"/>
        <v>NI-MCPP-05</v>
      </c>
      <c r="D85" s="40"/>
      <c r="E85" s="34">
        <v>59.92</v>
      </c>
      <c r="F85" s="34">
        <v>2.9000000000000001E-2</v>
      </c>
      <c r="G85" s="263">
        <v>0.34810000000000002</v>
      </c>
      <c r="H85" s="21">
        <v>60.05</v>
      </c>
      <c r="I85" s="21">
        <v>0.05</v>
      </c>
      <c r="J85" s="43">
        <v>0.28000000000000003</v>
      </c>
      <c r="K8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2.1000000000000001E-2</v>
      </c>
      <c r="L85"/>
    </row>
    <row r="86" spans="1:12" ht="15" thickBot="1" x14ac:dyDescent="0.35">
      <c r="B86" s="59">
        <v>26</v>
      </c>
      <c r="C86" s="175" t="str">
        <f t="shared" si="2"/>
        <v>NI-MCPP-05</v>
      </c>
      <c r="D86" s="41"/>
      <c r="E86" s="162">
        <v>0.03</v>
      </c>
      <c r="F86" s="163">
        <v>0.03</v>
      </c>
      <c r="G86" s="162">
        <v>5.2999999999999999E-2</v>
      </c>
      <c r="H86" s="42">
        <v>0.03</v>
      </c>
      <c r="I86" s="35">
        <v>-0.12</v>
      </c>
      <c r="J86" s="44">
        <v>1.4999999999999999E-2</v>
      </c>
      <c r="K86" s="16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</v>
      </c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67" t="s">
        <v>420</v>
      </c>
      <c r="E90" s="468"/>
      <c r="F90" s="468"/>
      <c r="G90" s="469"/>
      <c r="L90"/>
    </row>
    <row r="91" spans="1:12" x14ac:dyDescent="0.3">
      <c r="D91" s="389" t="s">
        <v>421</v>
      </c>
      <c r="E91" s="390"/>
      <c r="F91" s="390"/>
      <c r="G91" s="391"/>
      <c r="L91"/>
    </row>
    <row r="92" spans="1:12" x14ac:dyDescent="0.3">
      <c r="D92" s="389" t="s">
        <v>422</v>
      </c>
      <c r="E92" s="390"/>
      <c r="F92" s="390"/>
      <c r="G92" s="391"/>
      <c r="L92"/>
    </row>
    <row r="93" spans="1:12" x14ac:dyDescent="0.3">
      <c r="D93" s="389" t="s">
        <v>423</v>
      </c>
      <c r="E93" s="390"/>
      <c r="F93" s="390"/>
      <c r="G93" s="391"/>
      <c r="L93"/>
    </row>
    <row r="94" spans="1:12" x14ac:dyDescent="0.3">
      <c r="D94" s="389" t="s">
        <v>424</v>
      </c>
      <c r="E94" s="390"/>
      <c r="F94" s="390"/>
      <c r="G94" s="391"/>
      <c r="L94"/>
    </row>
    <row r="95" spans="1:12" x14ac:dyDescent="0.3">
      <c r="D95" s="389" t="s">
        <v>425</v>
      </c>
      <c r="E95" s="390"/>
      <c r="F95" s="390"/>
      <c r="G95" s="391"/>
      <c r="L95"/>
    </row>
    <row r="96" spans="1:12" x14ac:dyDescent="0.3">
      <c r="D96" s="389" t="s">
        <v>426</v>
      </c>
      <c r="E96" s="390"/>
      <c r="F96" s="390"/>
      <c r="G96" s="391"/>
    </row>
    <row r="97" spans="4:7" x14ac:dyDescent="0.3">
      <c r="D97" s="389" t="s">
        <v>427</v>
      </c>
      <c r="E97" s="390"/>
      <c r="F97" s="390"/>
      <c r="G97" s="391"/>
    </row>
    <row r="98" spans="4:7" x14ac:dyDescent="0.3">
      <c r="D98" s="389" t="s">
        <v>411</v>
      </c>
      <c r="E98" s="390"/>
      <c r="F98" s="390"/>
      <c r="G98" s="391"/>
    </row>
    <row r="99" spans="4:7" x14ac:dyDescent="0.3">
      <c r="D99" s="389" t="s">
        <v>428</v>
      </c>
      <c r="E99" s="390"/>
      <c r="F99" s="390"/>
      <c r="G99" s="391"/>
    </row>
    <row r="100" spans="4:7" x14ac:dyDescent="0.3">
      <c r="D100" s="389" t="s">
        <v>429</v>
      </c>
      <c r="E100" s="390"/>
      <c r="F100" s="390"/>
      <c r="G100" s="391"/>
    </row>
    <row r="101" spans="4:7" x14ac:dyDescent="0.3">
      <c r="D101" s="389" t="s">
        <v>430</v>
      </c>
      <c r="E101" s="390"/>
      <c r="F101" s="390"/>
      <c r="G101" s="391"/>
    </row>
    <row r="102" spans="4:7" x14ac:dyDescent="0.3">
      <c r="D102" s="389" t="s">
        <v>431</v>
      </c>
      <c r="E102" s="390"/>
      <c r="F102" s="390"/>
      <c r="G102" s="391"/>
    </row>
    <row r="103" spans="4:7" x14ac:dyDescent="0.3">
      <c r="D103" s="389" t="s">
        <v>432</v>
      </c>
      <c r="E103" s="390"/>
      <c r="F103" s="390"/>
      <c r="G103" s="391"/>
    </row>
    <row r="104" spans="4:7" x14ac:dyDescent="0.3">
      <c r="D104" s="389" t="s">
        <v>433</v>
      </c>
      <c r="E104" s="390"/>
      <c r="F104" s="390"/>
      <c r="G104" s="391"/>
    </row>
    <row r="105" spans="4:7" x14ac:dyDescent="0.3">
      <c r="D105" s="389" t="s">
        <v>434</v>
      </c>
      <c r="E105" s="390"/>
      <c r="F105" s="390"/>
      <c r="G105" s="391"/>
    </row>
    <row r="106" spans="4:7" x14ac:dyDescent="0.3">
      <c r="D106" s="389" t="s">
        <v>435</v>
      </c>
      <c r="E106" s="390"/>
      <c r="F106" s="390"/>
      <c r="G106" s="391"/>
    </row>
    <row r="107" spans="4:7" x14ac:dyDescent="0.3">
      <c r="D107" s="389" t="s">
        <v>436</v>
      </c>
      <c r="E107" s="390"/>
      <c r="F107" s="390"/>
      <c r="G107" s="391"/>
    </row>
    <row r="108" spans="4:7" x14ac:dyDescent="0.3">
      <c r="D108" s="389" t="s">
        <v>437</v>
      </c>
      <c r="E108" s="390"/>
      <c r="F108" s="390"/>
      <c r="G108" s="391"/>
    </row>
    <row r="109" spans="4:7" x14ac:dyDescent="0.3">
      <c r="D109" s="389" t="s">
        <v>438</v>
      </c>
      <c r="E109" s="390"/>
      <c r="F109" s="390"/>
      <c r="G109" s="391"/>
    </row>
    <row r="110" spans="4:7" x14ac:dyDescent="0.3">
      <c r="D110" s="389" t="s">
        <v>439</v>
      </c>
      <c r="E110" s="390"/>
      <c r="F110" s="390"/>
      <c r="G110" s="391"/>
    </row>
    <row r="111" spans="4:7" x14ac:dyDescent="0.3">
      <c r="D111" s="389" t="s">
        <v>440</v>
      </c>
      <c r="E111" s="390"/>
      <c r="F111" s="390"/>
      <c r="G111" s="391"/>
    </row>
    <row r="112" spans="4:7" x14ac:dyDescent="0.3">
      <c r="D112" s="389" t="s">
        <v>441</v>
      </c>
      <c r="E112" s="390"/>
      <c r="F112" s="390"/>
      <c r="G112" s="391"/>
    </row>
    <row r="113" spans="4:7" ht="15" thickBot="1" x14ac:dyDescent="0.35">
      <c r="D113" s="392" t="s">
        <v>442</v>
      </c>
      <c r="E113" s="393"/>
      <c r="F113" s="393"/>
      <c r="G113" s="394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3"/>
  <dimension ref="A2:H502"/>
  <sheetViews>
    <sheetView zoomScale="88" zoomScaleNormal="88" workbookViewId="0">
      <selection activeCell="E22" sqref="E22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82" t="s">
        <v>94</v>
      </c>
      <c r="B2" s="482"/>
      <c r="C2" s="482"/>
    </row>
    <row r="3" spans="1:7" x14ac:dyDescent="0.3">
      <c r="A3" s="12"/>
      <c r="B3" s="483" t="s">
        <v>93</v>
      </c>
      <c r="C3" s="483"/>
    </row>
    <row r="4" spans="1:7" ht="6" customHeight="1" x14ac:dyDescent="0.3">
      <c r="A4" s="12"/>
      <c r="B4" s="13"/>
      <c r="C4" s="13"/>
    </row>
    <row r="5" spans="1:7" x14ac:dyDescent="0.3">
      <c r="A5" s="11" t="s">
        <v>92</v>
      </c>
      <c r="B5" s="294" t="s">
        <v>3</v>
      </c>
      <c r="C5" s="294" t="s">
        <v>658</v>
      </c>
    </row>
    <row r="6" spans="1:7" x14ac:dyDescent="0.3">
      <c r="A6" s="295">
        <v>1</v>
      </c>
      <c r="B6" s="296" t="s">
        <v>659</v>
      </c>
      <c r="C6" s="296" t="s">
        <v>90</v>
      </c>
      <c r="D6" s="9"/>
      <c r="E6" s="9"/>
      <c r="F6" s="9"/>
      <c r="G6" s="9"/>
    </row>
    <row r="7" spans="1:7" x14ac:dyDescent="0.3">
      <c r="A7" s="295">
        <v>2</v>
      </c>
      <c r="B7" s="297" t="s">
        <v>660</v>
      </c>
      <c r="C7" s="296" t="s">
        <v>661</v>
      </c>
      <c r="D7" s="9"/>
      <c r="E7" s="9"/>
      <c r="F7" s="9"/>
      <c r="G7" s="9"/>
    </row>
    <row r="8" spans="1:7" x14ac:dyDescent="0.3">
      <c r="A8" s="295">
        <v>3</v>
      </c>
      <c r="B8" s="296" t="s">
        <v>516</v>
      </c>
      <c r="C8" s="296" t="s">
        <v>517</v>
      </c>
      <c r="D8" s="9"/>
      <c r="E8" s="9"/>
      <c r="F8" s="9"/>
      <c r="G8" s="9"/>
    </row>
    <row r="9" spans="1:7" x14ac:dyDescent="0.3">
      <c r="A9" s="295">
        <v>4</v>
      </c>
      <c r="B9" s="296" t="s">
        <v>662</v>
      </c>
      <c r="C9" s="296" t="s">
        <v>663</v>
      </c>
      <c r="D9" s="9"/>
      <c r="E9" s="9"/>
      <c r="F9" s="9"/>
      <c r="G9" s="9"/>
    </row>
    <row r="10" spans="1:7" x14ac:dyDescent="0.3">
      <c r="A10" s="295">
        <v>5</v>
      </c>
      <c r="B10" s="296" t="s">
        <v>89</v>
      </c>
      <c r="C10" s="296" t="s">
        <v>88</v>
      </c>
      <c r="D10" s="9"/>
      <c r="E10" s="9"/>
      <c r="F10" s="9"/>
      <c r="G10" s="9"/>
    </row>
    <row r="11" spans="1:7" x14ac:dyDescent="0.3">
      <c r="A11" s="295">
        <v>6</v>
      </c>
      <c r="B11" s="298" t="s">
        <v>664</v>
      </c>
      <c r="C11" s="298" t="s">
        <v>665</v>
      </c>
      <c r="D11" s="9"/>
      <c r="E11" s="9"/>
      <c r="F11" s="9"/>
      <c r="G11" s="9"/>
    </row>
    <row r="12" spans="1:7" x14ac:dyDescent="0.3">
      <c r="A12" s="295">
        <v>7</v>
      </c>
      <c r="B12" s="296" t="s">
        <v>666</v>
      </c>
      <c r="C12" s="296" t="s">
        <v>667</v>
      </c>
      <c r="D12" s="9"/>
      <c r="E12" s="9"/>
      <c r="F12" s="9"/>
      <c r="G12" s="9"/>
    </row>
    <row r="13" spans="1:7" x14ac:dyDescent="0.3">
      <c r="A13" s="295">
        <v>8</v>
      </c>
      <c r="B13" s="296" t="s">
        <v>518</v>
      </c>
      <c r="C13" s="296" t="s">
        <v>519</v>
      </c>
      <c r="D13" s="9"/>
      <c r="E13" s="9"/>
      <c r="F13" s="9"/>
      <c r="G13" s="9"/>
    </row>
    <row r="14" spans="1:7" x14ac:dyDescent="0.3">
      <c r="A14" s="295">
        <v>9</v>
      </c>
      <c r="B14" s="296" t="s">
        <v>508</v>
      </c>
      <c r="C14" s="296" t="s">
        <v>509</v>
      </c>
      <c r="D14" s="9"/>
      <c r="E14" s="9"/>
      <c r="F14" s="9"/>
      <c r="G14" s="9"/>
    </row>
    <row r="15" spans="1:7" x14ac:dyDescent="0.3">
      <c r="A15" s="295">
        <v>10</v>
      </c>
      <c r="B15" s="296" t="s">
        <v>513</v>
      </c>
      <c r="C15" s="296" t="s">
        <v>514</v>
      </c>
      <c r="D15" s="9"/>
      <c r="E15" s="9"/>
      <c r="F15" s="9"/>
      <c r="G15" s="9"/>
    </row>
    <row r="16" spans="1:7" x14ac:dyDescent="0.3">
      <c r="A16" s="295">
        <v>11</v>
      </c>
      <c r="B16" s="9" t="s">
        <v>668</v>
      </c>
      <c r="C16" s="298" t="s">
        <v>669</v>
      </c>
      <c r="D16" s="9"/>
      <c r="E16" s="9"/>
      <c r="F16" s="9"/>
      <c r="G16" s="9"/>
    </row>
    <row r="17" spans="1:7" x14ac:dyDescent="0.3">
      <c r="A17" s="295">
        <v>12</v>
      </c>
      <c r="B17" s="296" t="s">
        <v>670</v>
      </c>
      <c r="C17" s="296" t="s">
        <v>671</v>
      </c>
      <c r="D17" s="9"/>
      <c r="E17" s="9"/>
      <c r="F17" s="9"/>
      <c r="G17" s="9"/>
    </row>
    <row r="18" spans="1:7" x14ac:dyDescent="0.3">
      <c r="A18" s="295">
        <v>13</v>
      </c>
      <c r="B18" s="296" t="s">
        <v>511</v>
      </c>
      <c r="C18" s="296" t="s">
        <v>512</v>
      </c>
      <c r="D18" s="9"/>
      <c r="E18" s="9"/>
      <c r="F18" s="9"/>
      <c r="G18" s="9"/>
    </row>
    <row r="19" spans="1:7" x14ac:dyDescent="0.3">
      <c r="A19" s="295">
        <v>14</v>
      </c>
      <c r="B19" s="296" t="s">
        <v>672</v>
      </c>
      <c r="C19" s="296" t="s">
        <v>561</v>
      </c>
      <c r="D19" s="9"/>
      <c r="E19" s="9"/>
      <c r="F19" s="9"/>
      <c r="G19" s="9"/>
    </row>
    <row r="20" spans="1:7" x14ac:dyDescent="0.3">
      <c r="A20" s="295">
        <v>15</v>
      </c>
      <c r="B20" s="296" t="s">
        <v>673</v>
      </c>
      <c r="C20" s="296" t="s">
        <v>674</v>
      </c>
      <c r="D20" s="9"/>
      <c r="E20" s="9"/>
      <c r="F20" s="9"/>
      <c r="G20" s="9"/>
    </row>
    <row r="21" spans="1:7" x14ac:dyDescent="0.3">
      <c r="A21" s="295">
        <v>16</v>
      </c>
      <c r="B21" s="296" t="s">
        <v>675</v>
      </c>
      <c r="C21" s="296" t="s">
        <v>520</v>
      </c>
      <c r="D21" s="9"/>
      <c r="E21" s="9"/>
      <c r="F21" s="9"/>
      <c r="G21" s="9"/>
    </row>
    <row r="22" spans="1:7" ht="26.4" x14ac:dyDescent="0.3">
      <c r="A22" s="295">
        <v>17</v>
      </c>
      <c r="B22" s="296" t="s">
        <v>1233</v>
      </c>
      <c r="C22" s="296" t="s">
        <v>1272</v>
      </c>
      <c r="D22" s="9"/>
      <c r="E22" s="9"/>
      <c r="F22" s="9"/>
      <c r="G22" s="9"/>
    </row>
    <row r="23" spans="1:7" x14ac:dyDescent="0.3">
      <c r="A23" s="295">
        <v>18</v>
      </c>
      <c r="B23" s="296" t="s">
        <v>676</v>
      </c>
      <c r="C23" s="296" t="s">
        <v>677</v>
      </c>
      <c r="D23" s="9"/>
      <c r="E23" s="9"/>
      <c r="F23" s="9"/>
      <c r="G23" s="9"/>
    </row>
    <row r="24" spans="1:7" x14ac:dyDescent="0.3">
      <c r="A24" s="295">
        <v>19</v>
      </c>
      <c r="B24" s="296" t="s">
        <v>678</v>
      </c>
      <c r="C24" s="296" t="s">
        <v>679</v>
      </c>
      <c r="D24" s="9"/>
      <c r="E24" s="9"/>
      <c r="F24" s="9"/>
      <c r="G24" s="9"/>
    </row>
    <row r="25" spans="1:7" x14ac:dyDescent="0.3">
      <c r="A25" s="295">
        <v>20</v>
      </c>
      <c r="B25" s="296" t="s">
        <v>680</v>
      </c>
      <c r="C25" s="296" t="s">
        <v>681</v>
      </c>
      <c r="D25" s="9"/>
      <c r="E25" s="9"/>
      <c r="F25" s="9"/>
      <c r="G25" s="9"/>
    </row>
    <row r="26" spans="1:7" x14ac:dyDescent="0.3">
      <c r="A26" s="295">
        <v>21</v>
      </c>
      <c r="B26" s="296" t="s">
        <v>1234</v>
      </c>
      <c r="C26" s="296" t="s">
        <v>1273</v>
      </c>
      <c r="D26" s="9"/>
      <c r="E26" s="9"/>
      <c r="F26" s="9"/>
      <c r="G26" s="9"/>
    </row>
    <row r="27" spans="1:7" x14ac:dyDescent="0.3">
      <c r="A27" s="295">
        <v>22</v>
      </c>
      <c r="B27" s="296" t="s">
        <v>682</v>
      </c>
      <c r="C27" s="296" t="s">
        <v>683</v>
      </c>
      <c r="D27" s="9"/>
      <c r="E27" s="9"/>
      <c r="F27" s="9"/>
      <c r="G27" s="9"/>
    </row>
    <row r="28" spans="1:7" x14ac:dyDescent="0.3">
      <c r="A28" s="295">
        <v>23</v>
      </c>
      <c r="B28" s="296" t="s">
        <v>684</v>
      </c>
      <c r="C28" s="296" t="s">
        <v>685</v>
      </c>
      <c r="D28" s="9"/>
      <c r="E28" s="9"/>
      <c r="F28" s="9"/>
      <c r="G28" s="9"/>
    </row>
    <row r="29" spans="1:7" x14ac:dyDescent="0.3">
      <c r="A29" s="295">
        <v>24</v>
      </c>
      <c r="B29" s="296" t="s">
        <v>686</v>
      </c>
      <c r="C29" s="296" t="s">
        <v>687</v>
      </c>
      <c r="D29" s="9"/>
      <c r="E29" s="9"/>
      <c r="F29" s="9"/>
      <c r="G29" s="9"/>
    </row>
    <row r="30" spans="1:7" x14ac:dyDescent="0.3">
      <c r="A30" s="295">
        <v>25</v>
      </c>
      <c r="B30" s="296" t="s">
        <v>688</v>
      </c>
      <c r="C30" s="296" t="s">
        <v>87</v>
      </c>
      <c r="D30" s="9"/>
      <c r="E30" s="9"/>
      <c r="F30" s="9"/>
      <c r="G30" s="9"/>
    </row>
    <row r="31" spans="1:7" x14ac:dyDescent="0.3">
      <c r="A31" s="295">
        <v>26</v>
      </c>
      <c r="B31" s="296" t="s">
        <v>689</v>
      </c>
      <c r="C31" s="296" t="s">
        <v>55</v>
      </c>
      <c r="D31" s="9"/>
      <c r="E31" s="9"/>
      <c r="F31" s="9"/>
      <c r="G31" s="9"/>
    </row>
    <row r="32" spans="1:7" x14ac:dyDescent="0.3">
      <c r="A32" s="295">
        <v>27</v>
      </c>
      <c r="B32" s="296" t="s">
        <v>690</v>
      </c>
      <c r="C32" s="296" t="s">
        <v>691</v>
      </c>
      <c r="D32" s="9"/>
      <c r="E32" s="9"/>
      <c r="F32" s="9"/>
      <c r="G32" s="9"/>
    </row>
    <row r="33" spans="1:7" x14ac:dyDescent="0.3">
      <c r="A33" s="295">
        <v>28</v>
      </c>
      <c r="B33" s="296" t="s">
        <v>1235</v>
      </c>
      <c r="C33" s="297" t="s">
        <v>1274</v>
      </c>
      <c r="D33" s="9"/>
      <c r="E33" s="9"/>
      <c r="F33" s="9"/>
      <c r="G33" s="9"/>
    </row>
    <row r="34" spans="1:7" x14ac:dyDescent="0.3">
      <c r="A34" s="295">
        <v>29</v>
      </c>
      <c r="B34" s="296" t="s">
        <v>692</v>
      </c>
      <c r="C34" s="296" t="s">
        <v>693</v>
      </c>
      <c r="D34" s="9"/>
      <c r="E34" s="9"/>
      <c r="F34" s="9"/>
      <c r="G34" s="9"/>
    </row>
    <row r="35" spans="1:7" ht="26.4" x14ac:dyDescent="0.3">
      <c r="A35" s="295">
        <v>30</v>
      </c>
      <c r="B35" s="296" t="s">
        <v>515</v>
      </c>
      <c r="C35" s="296" t="s">
        <v>694</v>
      </c>
      <c r="D35" s="9"/>
      <c r="E35" s="9"/>
      <c r="F35" s="9"/>
      <c r="G35" s="9"/>
    </row>
    <row r="36" spans="1:7" x14ac:dyDescent="0.3">
      <c r="A36" s="295">
        <v>31</v>
      </c>
      <c r="B36" s="296" t="s">
        <v>695</v>
      </c>
      <c r="C36" s="296" t="s">
        <v>1275</v>
      </c>
      <c r="D36" s="9"/>
      <c r="E36" s="9"/>
      <c r="F36" s="9"/>
      <c r="G36" s="9"/>
    </row>
    <row r="37" spans="1:7" x14ac:dyDescent="0.3">
      <c r="A37" s="295">
        <v>32</v>
      </c>
      <c r="B37" s="296" t="s">
        <v>696</v>
      </c>
      <c r="C37" s="296" t="s">
        <v>697</v>
      </c>
      <c r="D37" s="9"/>
      <c r="E37" s="9"/>
      <c r="F37" s="9"/>
      <c r="G37" s="9"/>
    </row>
    <row r="38" spans="1:7" x14ac:dyDescent="0.3">
      <c r="A38" s="295">
        <v>33</v>
      </c>
      <c r="B38" s="296" t="s">
        <v>698</v>
      </c>
      <c r="C38" s="296" t="s">
        <v>699</v>
      </c>
      <c r="D38" s="9"/>
      <c r="E38" s="9"/>
      <c r="F38" s="9"/>
      <c r="G38" s="9"/>
    </row>
    <row r="39" spans="1:7" x14ac:dyDescent="0.3">
      <c r="A39" s="295">
        <v>34</v>
      </c>
      <c r="B39" s="296" t="s">
        <v>521</v>
      </c>
      <c r="C39" s="296" t="s">
        <v>522</v>
      </c>
      <c r="D39" s="9"/>
      <c r="E39" s="9"/>
      <c r="F39" s="9"/>
      <c r="G39" s="9"/>
    </row>
    <row r="40" spans="1:7" x14ac:dyDescent="0.3">
      <c r="A40" s="295">
        <v>35</v>
      </c>
      <c r="B40" s="9" t="s">
        <v>700</v>
      </c>
      <c r="C40" s="296" t="s">
        <v>701</v>
      </c>
      <c r="D40" s="9"/>
      <c r="E40" s="9"/>
      <c r="F40" s="9"/>
      <c r="G40" s="9"/>
    </row>
    <row r="41" spans="1:7" x14ac:dyDescent="0.3">
      <c r="A41" s="295">
        <v>36</v>
      </c>
      <c r="B41" s="296" t="s">
        <v>702</v>
      </c>
      <c r="C41" s="296" t="s">
        <v>703</v>
      </c>
      <c r="D41" s="9"/>
      <c r="E41" s="9"/>
      <c r="F41" s="9"/>
      <c r="G41" s="9"/>
    </row>
    <row r="42" spans="1:7" x14ac:dyDescent="0.3">
      <c r="A42" s="295">
        <v>37</v>
      </c>
      <c r="B42" s="299" t="s">
        <v>704</v>
      </c>
      <c r="C42" s="296" t="s">
        <v>705</v>
      </c>
      <c r="D42" s="9"/>
      <c r="E42" s="9"/>
      <c r="F42" s="9"/>
      <c r="G42" s="9"/>
    </row>
    <row r="43" spans="1:7" x14ac:dyDescent="0.3">
      <c r="A43" s="295">
        <v>38</v>
      </c>
      <c r="B43" s="296" t="s">
        <v>523</v>
      </c>
      <c r="C43" s="296" t="s">
        <v>524</v>
      </c>
      <c r="D43" s="9"/>
      <c r="E43" s="9"/>
      <c r="F43" s="9"/>
      <c r="G43" s="9"/>
    </row>
    <row r="44" spans="1:7" x14ac:dyDescent="0.3">
      <c r="A44" s="295">
        <v>39</v>
      </c>
      <c r="B44" s="296" t="s">
        <v>706</v>
      </c>
      <c r="C44" s="296" t="s">
        <v>707</v>
      </c>
      <c r="D44" s="9"/>
      <c r="E44" s="9"/>
      <c r="F44" s="9"/>
      <c r="G44" s="9"/>
    </row>
    <row r="45" spans="1:7" x14ac:dyDescent="0.3">
      <c r="A45" s="295">
        <v>40</v>
      </c>
      <c r="B45" s="296" t="s">
        <v>708</v>
      </c>
      <c r="C45" s="296" t="s">
        <v>709</v>
      </c>
      <c r="D45" s="9"/>
      <c r="E45" s="9"/>
      <c r="F45" s="9"/>
      <c r="G45" s="9"/>
    </row>
    <row r="46" spans="1:7" x14ac:dyDescent="0.3">
      <c r="A46" s="295">
        <v>41</v>
      </c>
      <c r="B46" s="296" t="s">
        <v>710</v>
      </c>
      <c r="C46" s="296" t="s">
        <v>711</v>
      </c>
      <c r="D46" s="9"/>
      <c r="E46" s="9"/>
      <c r="F46" s="9"/>
      <c r="G46" s="9"/>
    </row>
    <row r="47" spans="1:7" x14ac:dyDescent="0.3">
      <c r="A47" s="295">
        <v>42</v>
      </c>
      <c r="B47" s="296" t="s">
        <v>712</v>
      </c>
      <c r="C47" s="296" t="s">
        <v>713</v>
      </c>
      <c r="D47" s="9"/>
      <c r="E47" s="9"/>
      <c r="F47" s="9"/>
      <c r="G47" s="9"/>
    </row>
    <row r="48" spans="1:7" x14ac:dyDescent="0.3">
      <c r="A48" s="295">
        <v>43</v>
      </c>
      <c r="B48" s="296" t="s">
        <v>714</v>
      </c>
      <c r="C48" s="296" t="s">
        <v>527</v>
      </c>
      <c r="D48" s="9"/>
      <c r="E48" s="9"/>
      <c r="F48" s="9"/>
      <c r="G48" s="9"/>
    </row>
    <row r="49" spans="1:7" x14ac:dyDescent="0.3">
      <c r="A49" s="295">
        <v>44</v>
      </c>
      <c r="B49" s="296" t="s">
        <v>715</v>
      </c>
      <c r="C49" s="296" t="s">
        <v>86</v>
      </c>
      <c r="D49" s="9"/>
      <c r="E49" s="9"/>
      <c r="F49" s="9"/>
      <c r="G49" s="9"/>
    </row>
    <row r="50" spans="1:7" x14ac:dyDescent="0.3">
      <c r="A50" s="295">
        <v>45</v>
      </c>
      <c r="B50" s="296" t="s">
        <v>716</v>
      </c>
      <c r="C50" s="296" t="s">
        <v>525</v>
      </c>
      <c r="D50" s="9"/>
      <c r="E50" s="9"/>
      <c r="F50" s="9"/>
      <c r="G50" s="9"/>
    </row>
    <row r="51" spans="1:7" x14ac:dyDescent="0.3">
      <c r="A51" s="295">
        <v>46</v>
      </c>
      <c r="B51" s="296" t="s">
        <v>528</v>
      </c>
      <c r="C51" s="296" t="s">
        <v>529</v>
      </c>
      <c r="D51" s="9"/>
      <c r="E51" s="9"/>
      <c r="F51" s="9"/>
      <c r="G51" s="9"/>
    </row>
    <row r="52" spans="1:7" x14ac:dyDescent="0.3">
      <c r="A52" s="295">
        <v>47</v>
      </c>
      <c r="B52" s="296" t="s">
        <v>717</v>
      </c>
      <c r="C52" s="296" t="s">
        <v>718</v>
      </c>
      <c r="D52" s="9"/>
      <c r="E52" s="9"/>
      <c r="F52" s="9"/>
      <c r="G52" s="9"/>
    </row>
    <row r="53" spans="1:7" x14ac:dyDescent="0.3">
      <c r="A53" s="295">
        <v>48</v>
      </c>
      <c r="B53" s="296" t="s">
        <v>719</v>
      </c>
      <c r="C53" s="296" t="s">
        <v>720</v>
      </c>
      <c r="D53" s="9"/>
      <c r="E53" s="9"/>
      <c r="F53" s="9"/>
      <c r="G53" s="9"/>
    </row>
    <row r="54" spans="1:7" x14ac:dyDescent="0.3">
      <c r="A54" s="295">
        <v>49</v>
      </c>
      <c r="B54" s="296" t="s">
        <v>721</v>
      </c>
      <c r="C54" s="296" t="s">
        <v>722</v>
      </c>
      <c r="D54" s="9"/>
      <c r="E54" s="9"/>
      <c r="F54" s="9"/>
      <c r="G54" s="9"/>
    </row>
    <row r="55" spans="1:7" x14ac:dyDescent="0.3">
      <c r="A55" s="295">
        <v>50</v>
      </c>
      <c r="B55" s="296" t="s">
        <v>723</v>
      </c>
      <c r="C55" s="296" t="s">
        <v>531</v>
      </c>
      <c r="D55" s="9"/>
      <c r="E55" s="9"/>
      <c r="F55" s="9"/>
      <c r="G55" s="9"/>
    </row>
    <row r="56" spans="1:7" x14ac:dyDescent="0.3">
      <c r="A56" s="295">
        <v>51</v>
      </c>
      <c r="B56" s="296" t="s">
        <v>1236</v>
      </c>
      <c r="C56" s="296"/>
      <c r="D56" s="9"/>
      <c r="E56" s="9"/>
      <c r="F56" s="9"/>
      <c r="G56" s="9"/>
    </row>
    <row r="57" spans="1:7" x14ac:dyDescent="0.3">
      <c r="A57" s="295">
        <v>52</v>
      </c>
      <c r="B57" s="296" t="s">
        <v>1237</v>
      </c>
      <c r="C57" s="296" t="s">
        <v>1276</v>
      </c>
      <c r="D57" s="9"/>
      <c r="E57" s="9"/>
      <c r="F57" s="9"/>
      <c r="G57" s="9"/>
    </row>
    <row r="58" spans="1:7" x14ac:dyDescent="0.3">
      <c r="A58" s="295">
        <v>53</v>
      </c>
      <c r="B58" s="296" t="s">
        <v>724</v>
      </c>
      <c r="C58" s="296" t="s">
        <v>725</v>
      </c>
      <c r="D58" s="9"/>
      <c r="E58" s="9"/>
      <c r="F58" s="9"/>
      <c r="G58" s="9"/>
    </row>
    <row r="59" spans="1:7" x14ac:dyDescent="0.3">
      <c r="A59" s="295">
        <v>54</v>
      </c>
      <c r="B59" s="296" t="s">
        <v>726</v>
      </c>
      <c r="C59" s="296" t="s">
        <v>530</v>
      </c>
      <c r="D59" s="9"/>
      <c r="E59" s="9"/>
      <c r="F59" s="9"/>
      <c r="G59" s="9"/>
    </row>
    <row r="60" spans="1:7" x14ac:dyDescent="0.3">
      <c r="A60" s="295">
        <v>55</v>
      </c>
      <c r="B60" s="296" t="s">
        <v>727</v>
      </c>
      <c r="C60" s="296" t="s">
        <v>85</v>
      </c>
      <c r="D60" s="9"/>
      <c r="E60" s="9"/>
      <c r="F60" s="9"/>
      <c r="G60" s="9"/>
    </row>
    <row r="61" spans="1:7" x14ac:dyDescent="0.3">
      <c r="A61" s="295">
        <v>56</v>
      </c>
      <c r="B61" s="296" t="s">
        <v>728</v>
      </c>
      <c r="C61" s="296" t="s">
        <v>84</v>
      </c>
      <c r="D61" s="9"/>
      <c r="E61" s="9"/>
      <c r="F61" s="9"/>
      <c r="G61" s="9"/>
    </row>
    <row r="62" spans="1:7" x14ac:dyDescent="0.3">
      <c r="A62" s="295">
        <v>57</v>
      </c>
      <c r="B62" s="296" t="s">
        <v>729</v>
      </c>
      <c r="C62" s="296" t="s">
        <v>84</v>
      </c>
      <c r="D62" s="9"/>
      <c r="E62" s="9"/>
      <c r="F62" s="9"/>
      <c r="G62" s="9"/>
    </row>
    <row r="63" spans="1:7" x14ac:dyDescent="0.3">
      <c r="A63" s="295">
        <v>58</v>
      </c>
      <c r="B63" s="296" t="s">
        <v>730</v>
      </c>
      <c r="C63" s="296" t="s">
        <v>84</v>
      </c>
      <c r="D63" s="9"/>
      <c r="E63" s="9"/>
      <c r="F63" s="9"/>
      <c r="G63" s="9"/>
    </row>
    <row r="64" spans="1:7" x14ac:dyDescent="0.3">
      <c r="A64" s="295">
        <v>59</v>
      </c>
      <c r="B64" s="296" t="s">
        <v>731</v>
      </c>
      <c r="C64" s="296" t="s">
        <v>732</v>
      </c>
      <c r="D64" s="9"/>
      <c r="E64" s="9"/>
      <c r="F64" s="9"/>
      <c r="G64" s="9"/>
    </row>
    <row r="65" spans="1:7" x14ac:dyDescent="0.3">
      <c r="A65" s="295">
        <v>60</v>
      </c>
      <c r="B65" s="296" t="s">
        <v>733</v>
      </c>
      <c r="C65" s="300" t="s">
        <v>535</v>
      </c>
      <c r="D65" s="9"/>
      <c r="E65" s="9"/>
      <c r="F65" s="9"/>
      <c r="G65" s="9"/>
    </row>
    <row r="66" spans="1:7" x14ac:dyDescent="0.3">
      <c r="A66" s="295">
        <v>61</v>
      </c>
      <c r="B66" s="296" t="s">
        <v>734</v>
      </c>
      <c r="C66" s="300" t="s">
        <v>735</v>
      </c>
      <c r="D66" s="9"/>
      <c r="E66" s="9"/>
      <c r="F66" s="9"/>
      <c r="G66" s="9"/>
    </row>
    <row r="67" spans="1:7" x14ac:dyDescent="0.3">
      <c r="A67" s="295">
        <v>62</v>
      </c>
      <c r="B67" s="301" t="s">
        <v>736</v>
      </c>
      <c r="C67" s="301" t="s">
        <v>83</v>
      </c>
      <c r="D67" s="9"/>
      <c r="E67" s="9"/>
      <c r="F67" s="9"/>
      <c r="G67" s="9"/>
    </row>
    <row r="68" spans="1:7" x14ac:dyDescent="0.3">
      <c r="A68" s="295">
        <v>63</v>
      </c>
      <c r="B68" s="296" t="s">
        <v>737</v>
      </c>
      <c r="C68" s="296" t="s">
        <v>738</v>
      </c>
      <c r="D68" s="9"/>
      <c r="E68" s="9"/>
      <c r="F68" s="9"/>
      <c r="G68" s="9"/>
    </row>
    <row r="69" spans="1:7" x14ac:dyDescent="0.3">
      <c r="A69" s="295">
        <v>64</v>
      </c>
      <c r="B69" s="296" t="s">
        <v>739</v>
      </c>
      <c r="C69" s="296" t="s">
        <v>740</v>
      </c>
      <c r="D69" s="9"/>
      <c r="E69" s="9"/>
      <c r="F69" s="9"/>
      <c r="G69" s="9"/>
    </row>
    <row r="70" spans="1:7" x14ac:dyDescent="0.3">
      <c r="A70" s="295">
        <v>65</v>
      </c>
      <c r="B70" s="296" t="s">
        <v>741</v>
      </c>
      <c r="C70" s="296" t="s">
        <v>534</v>
      </c>
      <c r="D70" s="9"/>
      <c r="E70" s="9"/>
      <c r="F70" s="9"/>
      <c r="G70" s="9"/>
    </row>
    <row r="71" spans="1:7" x14ac:dyDescent="0.3">
      <c r="A71" s="295">
        <v>66</v>
      </c>
      <c r="B71" s="296" t="s">
        <v>742</v>
      </c>
      <c r="C71" s="296" t="s">
        <v>743</v>
      </c>
      <c r="D71" s="9"/>
      <c r="E71" s="9"/>
      <c r="F71" s="9"/>
      <c r="G71" s="9"/>
    </row>
    <row r="72" spans="1:7" x14ac:dyDescent="0.3">
      <c r="A72" s="295">
        <v>67</v>
      </c>
      <c r="B72" s="296" t="s">
        <v>744</v>
      </c>
      <c r="C72" s="296" t="s">
        <v>705</v>
      </c>
      <c r="D72" s="9"/>
      <c r="E72" s="9"/>
      <c r="F72" s="9"/>
      <c r="G72" s="9"/>
    </row>
    <row r="73" spans="1:7" x14ac:dyDescent="0.3">
      <c r="A73" s="295">
        <v>68</v>
      </c>
      <c r="B73" s="296" t="s">
        <v>745</v>
      </c>
      <c r="C73" s="296" t="s">
        <v>82</v>
      </c>
      <c r="D73" s="9"/>
      <c r="E73" s="9"/>
      <c r="F73" s="9"/>
      <c r="G73" s="9"/>
    </row>
    <row r="74" spans="1:7" x14ac:dyDescent="0.3">
      <c r="A74" s="295">
        <v>69</v>
      </c>
      <c r="B74" s="296" t="s">
        <v>746</v>
      </c>
      <c r="C74" s="296" t="s">
        <v>747</v>
      </c>
      <c r="D74" s="9"/>
      <c r="E74" s="9"/>
      <c r="F74" s="9"/>
      <c r="G74" s="9"/>
    </row>
    <row r="75" spans="1:7" x14ac:dyDescent="0.3">
      <c r="A75" s="295">
        <v>70</v>
      </c>
      <c r="B75" s="296" t="s">
        <v>81</v>
      </c>
      <c r="C75" s="296" t="s">
        <v>681</v>
      </c>
      <c r="D75" s="9"/>
      <c r="E75" s="9"/>
      <c r="F75" s="9"/>
      <c r="G75" s="9"/>
    </row>
    <row r="76" spans="1:7" x14ac:dyDescent="0.3">
      <c r="A76" s="295">
        <v>71</v>
      </c>
      <c r="B76" s="296" t="s">
        <v>748</v>
      </c>
      <c r="C76" s="296" t="s">
        <v>749</v>
      </c>
      <c r="D76" s="9"/>
      <c r="E76" s="9"/>
      <c r="F76" s="9"/>
      <c r="G76" s="9"/>
    </row>
    <row r="77" spans="1:7" x14ac:dyDescent="0.3">
      <c r="A77" s="295">
        <v>72</v>
      </c>
      <c r="B77" s="296" t="s">
        <v>750</v>
      </c>
      <c r="C77" s="296" t="s">
        <v>80</v>
      </c>
      <c r="D77" s="9"/>
      <c r="E77" s="9"/>
      <c r="F77" s="9"/>
      <c r="G77" s="9"/>
    </row>
    <row r="78" spans="1:7" x14ac:dyDescent="0.3">
      <c r="A78" s="295">
        <v>73</v>
      </c>
      <c r="B78" s="296" t="s">
        <v>751</v>
      </c>
      <c r="C78" s="296" t="s">
        <v>752</v>
      </c>
      <c r="D78" s="9"/>
      <c r="E78" s="9"/>
      <c r="F78" s="9"/>
      <c r="G78" s="9"/>
    </row>
    <row r="79" spans="1:7" x14ac:dyDescent="0.3">
      <c r="A79" s="295">
        <v>74</v>
      </c>
      <c r="B79" s="296" t="s">
        <v>753</v>
      </c>
      <c r="C79" s="296" t="s">
        <v>754</v>
      </c>
      <c r="D79" s="9"/>
      <c r="E79" s="9"/>
      <c r="F79" s="9"/>
      <c r="G79" s="9"/>
    </row>
    <row r="80" spans="1:7" x14ac:dyDescent="0.3">
      <c r="A80" s="295">
        <v>75</v>
      </c>
      <c r="B80" s="296" t="s">
        <v>755</v>
      </c>
      <c r="C80" s="296" t="s">
        <v>756</v>
      </c>
      <c r="D80" s="9"/>
      <c r="E80" s="9"/>
      <c r="F80" s="9"/>
      <c r="G80" s="9"/>
    </row>
    <row r="81" spans="1:7" x14ac:dyDescent="0.3">
      <c r="A81" s="295">
        <v>76</v>
      </c>
      <c r="B81" s="296" t="s">
        <v>757</v>
      </c>
      <c r="C81" s="296" t="s">
        <v>681</v>
      </c>
      <c r="D81" s="9"/>
      <c r="E81" s="9"/>
      <c r="F81" s="9"/>
      <c r="G81" s="9"/>
    </row>
    <row r="82" spans="1:7" x14ac:dyDescent="0.3">
      <c r="A82" s="295">
        <v>77</v>
      </c>
      <c r="B82" s="296" t="s">
        <v>758</v>
      </c>
      <c r="C82" s="296" t="s">
        <v>759</v>
      </c>
      <c r="D82" s="9"/>
      <c r="E82" s="9"/>
      <c r="F82" s="9"/>
      <c r="G82" s="9"/>
    </row>
    <row r="83" spans="1:7" x14ac:dyDescent="0.3">
      <c r="A83" s="295">
        <v>78</v>
      </c>
      <c r="B83" s="296" t="s">
        <v>760</v>
      </c>
      <c r="C83" s="296" t="s">
        <v>761</v>
      </c>
      <c r="D83" s="9"/>
      <c r="E83" s="9"/>
      <c r="F83" s="9"/>
      <c r="G83" s="9"/>
    </row>
    <row r="84" spans="1:7" x14ac:dyDescent="0.3">
      <c r="A84" s="295">
        <v>79</v>
      </c>
      <c r="B84" s="296" t="s">
        <v>536</v>
      </c>
      <c r="C84" s="296" t="s">
        <v>762</v>
      </c>
      <c r="D84" s="9"/>
      <c r="E84" s="9"/>
      <c r="F84" s="9"/>
      <c r="G84" s="9"/>
    </row>
    <row r="85" spans="1:7" x14ac:dyDescent="0.3">
      <c r="A85" s="295">
        <v>80</v>
      </c>
      <c r="B85" s="296" t="s">
        <v>538</v>
      </c>
      <c r="C85" s="296" t="s">
        <v>763</v>
      </c>
      <c r="D85" s="9"/>
      <c r="E85" s="9"/>
      <c r="F85" s="9"/>
      <c r="G85" s="9"/>
    </row>
    <row r="86" spans="1:7" x14ac:dyDescent="0.3">
      <c r="A86" s="295">
        <v>81</v>
      </c>
      <c r="B86" s="296" t="s">
        <v>764</v>
      </c>
      <c r="C86" s="9" t="s">
        <v>765</v>
      </c>
      <c r="D86" s="9"/>
      <c r="E86" s="9"/>
      <c r="F86" s="9"/>
      <c r="G86" s="9"/>
    </row>
    <row r="87" spans="1:7" x14ac:dyDescent="0.3">
      <c r="A87" s="295">
        <v>82</v>
      </c>
      <c r="B87" s="296" t="s">
        <v>766</v>
      </c>
      <c r="C87" s="296" t="s">
        <v>767</v>
      </c>
      <c r="D87" s="9"/>
      <c r="E87" s="9"/>
      <c r="F87" s="9"/>
      <c r="G87" s="9"/>
    </row>
    <row r="88" spans="1:7" x14ac:dyDescent="0.3">
      <c r="A88" s="295">
        <v>83</v>
      </c>
      <c r="B88" s="296" t="s">
        <v>768</v>
      </c>
      <c r="C88" s="296" t="s">
        <v>769</v>
      </c>
      <c r="D88" s="9"/>
      <c r="E88" s="9"/>
      <c r="F88" s="9"/>
      <c r="G88" s="9"/>
    </row>
    <row r="89" spans="1:7" x14ac:dyDescent="0.3">
      <c r="A89" s="295">
        <v>84</v>
      </c>
      <c r="B89" s="296" t="s">
        <v>770</v>
      </c>
      <c r="C89" s="296" t="s">
        <v>771</v>
      </c>
      <c r="D89" s="9"/>
      <c r="E89" s="9"/>
      <c r="F89" s="9"/>
      <c r="G89" s="9"/>
    </row>
    <row r="90" spans="1:7" x14ac:dyDescent="0.3">
      <c r="A90" s="295">
        <v>85</v>
      </c>
      <c r="B90" s="296" t="s">
        <v>772</v>
      </c>
      <c r="C90" s="296" t="s">
        <v>773</v>
      </c>
      <c r="D90" s="9"/>
      <c r="E90" s="9"/>
      <c r="F90" s="9"/>
      <c r="G90" s="9"/>
    </row>
    <row r="91" spans="1:7" x14ac:dyDescent="0.3">
      <c r="A91" s="295">
        <v>86</v>
      </c>
      <c r="B91" s="296" t="s">
        <v>774</v>
      </c>
      <c r="C91" s="296" t="s">
        <v>79</v>
      </c>
      <c r="D91" s="9"/>
      <c r="E91" s="9"/>
      <c r="F91" s="9"/>
      <c r="G91" s="9"/>
    </row>
    <row r="92" spans="1:7" x14ac:dyDescent="0.3">
      <c r="A92" s="295">
        <v>87</v>
      </c>
      <c r="B92" s="296" t="s">
        <v>775</v>
      </c>
      <c r="C92" s="296" t="s">
        <v>776</v>
      </c>
      <c r="D92" s="9"/>
      <c r="E92" s="9"/>
      <c r="F92" s="9"/>
      <c r="G92" s="9"/>
    </row>
    <row r="93" spans="1:7" x14ac:dyDescent="0.3">
      <c r="A93" s="295">
        <v>88</v>
      </c>
      <c r="B93" s="296" t="s">
        <v>777</v>
      </c>
      <c r="C93" s="296" t="s">
        <v>778</v>
      </c>
      <c r="D93" s="9"/>
      <c r="E93" s="9"/>
      <c r="F93" s="9"/>
      <c r="G93" s="9"/>
    </row>
    <row r="94" spans="1:7" x14ac:dyDescent="0.3">
      <c r="A94" s="295">
        <v>89</v>
      </c>
      <c r="B94" s="296" t="s">
        <v>779</v>
      </c>
      <c r="C94" s="296" t="s">
        <v>78</v>
      </c>
      <c r="D94" s="9"/>
      <c r="E94" s="9"/>
      <c r="F94" s="9"/>
      <c r="G94" s="9"/>
    </row>
    <row r="95" spans="1:7" x14ac:dyDescent="0.3">
      <c r="A95" s="295">
        <v>90</v>
      </c>
      <c r="B95" s="296" t="s">
        <v>540</v>
      </c>
      <c r="C95" s="296" t="s">
        <v>541</v>
      </c>
      <c r="D95" s="9"/>
      <c r="E95" s="9"/>
      <c r="F95" s="9"/>
      <c r="G95" s="9"/>
    </row>
    <row r="96" spans="1:7" x14ac:dyDescent="0.3">
      <c r="A96" s="295">
        <v>91</v>
      </c>
      <c r="B96" s="296" t="s">
        <v>780</v>
      </c>
      <c r="C96" s="296" t="s">
        <v>781</v>
      </c>
      <c r="D96" s="9"/>
      <c r="E96" s="9"/>
      <c r="F96" s="9"/>
      <c r="G96" s="9"/>
    </row>
    <row r="97" spans="1:7" x14ac:dyDescent="0.3">
      <c r="A97" s="295">
        <v>92</v>
      </c>
      <c r="B97" s="296" t="s">
        <v>782</v>
      </c>
      <c r="C97" s="296" t="s">
        <v>537</v>
      </c>
      <c r="D97" s="9"/>
      <c r="E97" s="9"/>
      <c r="F97" s="9"/>
      <c r="G97" s="9"/>
    </row>
    <row r="98" spans="1:7" x14ac:dyDescent="0.3">
      <c r="A98" s="295">
        <v>93</v>
      </c>
      <c r="B98" s="296" t="s">
        <v>783</v>
      </c>
      <c r="C98" s="296" t="s">
        <v>784</v>
      </c>
      <c r="D98" s="9"/>
      <c r="E98" s="9"/>
      <c r="F98" s="9"/>
      <c r="G98" s="9"/>
    </row>
    <row r="99" spans="1:7" x14ac:dyDescent="0.3">
      <c r="A99" s="295">
        <v>94</v>
      </c>
      <c r="B99" s="296" t="s">
        <v>785</v>
      </c>
      <c r="C99" s="296" t="s">
        <v>786</v>
      </c>
      <c r="D99" s="9"/>
      <c r="E99" s="9"/>
      <c r="F99" s="9"/>
      <c r="G99" s="9"/>
    </row>
    <row r="100" spans="1:7" x14ac:dyDescent="0.3">
      <c r="A100" s="295">
        <v>95</v>
      </c>
      <c r="B100" s="296" t="s">
        <v>787</v>
      </c>
      <c r="C100" s="296" t="s">
        <v>788</v>
      </c>
      <c r="D100" s="9"/>
      <c r="E100" s="9"/>
      <c r="F100" s="9"/>
      <c r="G100" s="9"/>
    </row>
    <row r="101" spans="1:7" x14ac:dyDescent="0.3">
      <c r="A101" s="295">
        <v>96</v>
      </c>
      <c r="B101" s="296" t="s">
        <v>789</v>
      </c>
      <c r="C101" s="296" t="s">
        <v>790</v>
      </c>
      <c r="D101" s="9"/>
      <c r="E101" s="9"/>
      <c r="F101" s="9"/>
      <c r="G101" s="9"/>
    </row>
    <row r="102" spans="1:7" x14ac:dyDescent="0.3">
      <c r="A102" s="295">
        <v>97</v>
      </c>
      <c r="B102" s="296" t="s">
        <v>1238</v>
      </c>
      <c r="C102" s="296" t="s">
        <v>1277</v>
      </c>
      <c r="D102" s="9"/>
      <c r="E102" s="9"/>
      <c r="F102" s="9"/>
      <c r="G102" s="9"/>
    </row>
    <row r="103" spans="1:7" x14ac:dyDescent="0.3">
      <c r="A103" s="295">
        <v>98</v>
      </c>
      <c r="B103" s="296" t="s">
        <v>791</v>
      </c>
      <c r="C103" s="296" t="s">
        <v>792</v>
      </c>
      <c r="D103" s="9"/>
      <c r="E103" s="9"/>
      <c r="F103" s="9"/>
      <c r="G103" s="9"/>
    </row>
    <row r="104" spans="1:7" x14ac:dyDescent="0.3">
      <c r="A104" s="295">
        <v>99</v>
      </c>
      <c r="B104" s="296" t="s">
        <v>793</v>
      </c>
      <c r="C104" s="296" t="s">
        <v>1278</v>
      </c>
      <c r="D104" s="9"/>
      <c r="E104" s="9"/>
      <c r="F104" s="9"/>
      <c r="G104" s="9"/>
    </row>
    <row r="105" spans="1:7" x14ac:dyDescent="0.3">
      <c r="A105" s="295">
        <v>100</v>
      </c>
      <c r="B105" s="296" t="s">
        <v>794</v>
      </c>
      <c r="C105" s="296" t="s">
        <v>539</v>
      </c>
      <c r="D105" s="9"/>
      <c r="E105" s="9"/>
      <c r="F105" s="9"/>
      <c r="G105" s="9"/>
    </row>
    <row r="106" spans="1:7" x14ac:dyDescent="0.3">
      <c r="A106" s="295">
        <v>101</v>
      </c>
      <c r="B106" s="296" t="s">
        <v>795</v>
      </c>
      <c r="C106" s="296" t="s">
        <v>796</v>
      </c>
      <c r="D106" s="9"/>
      <c r="E106" s="9"/>
      <c r="F106" s="9"/>
      <c r="G106" s="9"/>
    </row>
    <row r="107" spans="1:7" x14ac:dyDescent="0.3">
      <c r="A107" s="295">
        <v>102</v>
      </c>
      <c r="B107" s="296" t="s">
        <v>797</v>
      </c>
      <c r="C107" s="296" t="s">
        <v>798</v>
      </c>
      <c r="D107" s="9"/>
      <c r="E107" s="9"/>
      <c r="F107" s="9"/>
      <c r="G107" s="9"/>
    </row>
    <row r="108" spans="1:7" x14ac:dyDescent="0.3">
      <c r="A108" s="295">
        <v>103</v>
      </c>
      <c r="B108" s="296" t="s">
        <v>799</v>
      </c>
      <c r="C108" s="296" t="s">
        <v>800</v>
      </c>
      <c r="D108" s="9"/>
      <c r="E108" s="9"/>
      <c r="F108" s="9"/>
      <c r="G108" s="9"/>
    </row>
    <row r="109" spans="1:7" x14ac:dyDescent="0.3">
      <c r="A109" s="295">
        <v>104</v>
      </c>
      <c r="B109" s="296" t="s">
        <v>801</v>
      </c>
      <c r="C109" s="296" t="s">
        <v>802</v>
      </c>
      <c r="D109" s="9"/>
      <c r="E109" s="9"/>
      <c r="F109" s="9"/>
      <c r="G109" s="9"/>
    </row>
    <row r="110" spans="1:7" x14ac:dyDescent="0.3">
      <c r="A110" s="295">
        <v>105</v>
      </c>
      <c r="B110" s="296" t="s">
        <v>803</v>
      </c>
      <c r="C110" s="296" t="s">
        <v>77</v>
      </c>
      <c r="D110" s="9"/>
      <c r="E110" s="9"/>
      <c r="F110" s="9"/>
      <c r="G110" s="9"/>
    </row>
    <row r="111" spans="1:7" x14ac:dyDescent="0.3">
      <c r="A111" s="295">
        <v>106</v>
      </c>
      <c r="B111" s="296" t="s">
        <v>804</v>
      </c>
      <c r="C111" s="296" t="s">
        <v>805</v>
      </c>
      <c r="D111" s="9"/>
      <c r="E111" s="9"/>
      <c r="F111" s="9"/>
      <c r="G111" s="9"/>
    </row>
    <row r="112" spans="1:7" x14ac:dyDescent="0.3">
      <c r="A112" s="295">
        <v>107</v>
      </c>
      <c r="B112" s="296" t="s">
        <v>806</v>
      </c>
      <c r="C112" s="296"/>
      <c r="D112" s="9"/>
      <c r="E112" s="9"/>
      <c r="F112" s="9"/>
      <c r="G112" s="9"/>
    </row>
    <row r="113" spans="1:7" x14ac:dyDescent="0.3">
      <c r="A113" s="295">
        <v>108</v>
      </c>
      <c r="B113" s="296" t="s">
        <v>807</v>
      </c>
      <c r="C113" s="296" t="s">
        <v>808</v>
      </c>
      <c r="D113" s="9"/>
      <c r="E113" s="9"/>
      <c r="F113" s="9"/>
      <c r="G113" s="9"/>
    </row>
    <row r="114" spans="1:7" x14ac:dyDescent="0.3">
      <c r="A114" s="295">
        <v>109</v>
      </c>
      <c r="B114" s="296" t="s">
        <v>809</v>
      </c>
      <c r="C114" s="296" t="s">
        <v>810</v>
      </c>
      <c r="D114" s="9"/>
      <c r="E114" s="9"/>
      <c r="F114" s="9"/>
      <c r="G114" s="9"/>
    </row>
    <row r="115" spans="1:7" x14ac:dyDescent="0.3">
      <c r="A115" s="295">
        <v>110</v>
      </c>
      <c r="B115" s="296" t="s">
        <v>811</v>
      </c>
      <c r="C115" s="296" t="s">
        <v>812</v>
      </c>
      <c r="D115" s="9"/>
      <c r="E115" s="9"/>
      <c r="F115" s="9"/>
      <c r="G115" s="9"/>
    </row>
    <row r="116" spans="1:7" x14ac:dyDescent="0.3">
      <c r="A116" s="295">
        <v>111</v>
      </c>
      <c r="B116" s="296" t="s">
        <v>543</v>
      </c>
      <c r="C116" s="296" t="s">
        <v>544</v>
      </c>
      <c r="D116" s="9"/>
      <c r="E116" s="9"/>
      <c r="F116" s="9"/>
      <c r="G116" s="9"/>
    </row>
    <row r="117" spans="1:7" x14ac:dyDescent="0.3">
      <c r="A117" s="295">
        <v>112</v>
      </c>
      <c r="B117" s="296" t="s">
        <v>813</v>
      </c>
      <c r="C117" s="296" t="s">
        <v>814</v>
      </c>
      <c r="D117" s="9"/>
      <c r="E117" s="9"/>
      <c r="F117" s="9"/>
      <c r="G117" s="9"/>
    </row>
    <row r="118" spans="1:7" x14ac:dyDescent="0.3">
      <c r="A118" s="295">
        <v>113</v>
      </c>
      <c r="B118" s="296" t="s">
        <v>815</v>
      </c>
      <c r="C118" s="296" t="s">
        <v>816</v>
      </c>
      <c r="D118" s="9"/>
      <c r="E118" s="9"/>
      <c r="F118" s="9"/>
      <c r="G118" s="9"/>
    </row>
    <row r="119" spans="1:7" x14ac:dyDescent="0.3">
      <c r="A119" s="295">
        <v>114</v>
      </c>
      <c r="B119" s="296" t="s">
        <v>1239</v>
      </c>
      <c r="C119" s="296" t="s">
        <v>1279</v>
      </c>
      <c r="D119" s="9"/>
      <c r="E119" s="9"/>
      <c r="F119" s="9"/>
      <c r="G119" s="9"/>
    </row>
    <row r="120" spans="1:7" x14ac:dyDescent="0.3">
      <c r="A120" s="295">
        <v>115</v>
      </c>
      <c r="B120" s="296" t="s">
        <v>817</v>
      </c>
      <c r="C120" s="296" t="s">
        <v>818</v>
      </c>
      <c r="D120" s="9"/>
      <c r="E120" s="9"/>
      <c r="F120" s="9"/>
      <c r="G120" s="9"/>
    </row>
    <row r="121" spans="1:7" x14ac:dyDescent="0.3">
      <c r="A121" s="295">
        <v>116</v>
      </c>
      <c r="B121" s="296" t="s">
        <v>819</v>
      </c>
      <c r="C121" s="296" t="s">
        <v>820</v>
      </c>
      <c r="D121" s="9"/>
      <c r="E121" s="9"/>
      <c r="F121" s="9"/>
      <c r="G121" s="9"/>
    </row>
    <row r="122" spans="1:7" x14ac:dyDescent="0.3">
      <c r="A122" s="295">
        <v>117</v>
      </c>
      <c r="B122" s="296" t="s">
        <v>821</v>
      </c>
      <c r="C122" s="296" t="s">
        <v>822</v>
      </c>
      <c r="D122" s="9"/>
      <c r="E122" s="9"/>
      <c r="F122" s="9"/>
      <c r="G122" s="9"/>
    </row>
    <row r="123" spans="1:7" x14ac:dyDescent="0.3">
      <c r="A123" s="295">
        <v>118</v>
      </c>
      <c r="B123" s="296" t="s">
        <v>823</v>
      </c>
      <c r="C123" s="296" t="s">
        <v>545</v>
      </c>
      <c r="D123" s="9"/>
      <c r="E123" s="9"/>
      <c r="F123" s="9"/>
      <c r="G123" s="9"/>
    </row>
    <row r="124" spans="1:7" x14ac:dyDescent="0.3">
      <c r="A124" s="295">
        <v>119</v>
      </c>
      <c r="B124" s="296" t="s">
        <v>547</v>
      </c>
      <c r="C124" s="296" t="s">
        <v>548</v>
      </c>
      <c r="D124" s="9"/>
      <c r="E124" s="9"/>
      <c r="F124" s="9"/>
      <c r="G124" s="9"/>
    </row>
    <row r="125" spans="1:7" x14ac:dyDescent="0.3">
      <c r="A125" s="295">
        <v>120</v>
      </c>
      <c r="B125" s="296" t="s">
        <v>824</v>
      </c>
      <c r="C125" s="296" t="s">
        <v>546</v>
      </c>
      <c r="D125" s="9"/>
      <c r="E125" s="9"/>
      <c r="F125" s="9"/>
      <c r="G125" s="9"/>
    </row>
    <row r="126" spans="1:7" x14ac:dyDescent="0.3">
      <c r="A126" s="295">
        <v>121</v>
      </c>
      <c r="B126" s="296" t="s">
        <v>825</v>
      </c>
      <c r="C126" s="296" t="s">
        <v>826</v>
      </c>
      <c r="D126" s="9"/>
      <c r="E126" s="9"/>
      <c r="F126" s="9"/>
      <c r="G126" s="9"/>
    </row>
    <row r="127" spans="1:7" x14ac:dyDescent="0.3">
      <c r="A127" s="295">
        <v>122</v>
      </c>
      <c r="B127" s="296" t="s">
        <v>827</v>
      </c>
      <c r="C127" s="296" t="s">
        <v>550</v>
      </c>
      <c r="D127" s="9"/>
      <c r="E127" s="9"/>
      <c r="F127" s="9"/>
      <c r="G127" s="9"/>
    </row>
    <row r="128" spans="1:7" x14ac:dyDescent="0.3">
      <c r="A128" s="295">
        <v>123</v>
      </c>
      <c r="B128" s="296" t="s">
        <v>828</v>
      </c>
      <c r="C128" s="296" t="s">
        <v>829</v>
      </c>
      <c r="D128" s="9"/>
      <c r="E128" s="9"/>
      <c r="F128" s="9"/>
      <c r="G128" s="9"/>
    </row>
    <row r="129" spans="1:7" x14ac:dyDescent="0.3">
      <c r="A129" s="295">
        <v>124</v>
      </c>
      <c r="B129" s="296" t="s">
        <v>830</v>
      </c>
      <c r="C129" s="296" t="s">
        <v>831</v>
      </c>
      <c r="D129" s="9"/>
      <c r="E129" s="9"/>
      <c r="F129" s="9"/>
      <c r="G129" s="9"/>
    </row>
    <row r="130" spans="1:7" x14ac:dyDescent="0.3">
      <c r="A130" s="295">
        <v>125</v>
      </c>
      <c r="B130" s="296" t="s">
        <v>832</v>
      </c>
      <c r="C130" s="296" t="s">
        <v>833</v>
      </c>
      <c r="D130" s="9"/>
      <c r="E130" s="9"/>
      <c r="F130" s="9"/>
      <c r="G130" s="9"/>
    </row>
    <row r="131" spans="1:7" x14ac:dyDescent="0.3">
      <c r="A131" s="295">
        <v>126</v>
      </c>
      <c r="B131" s="296" t="s">
        <v>272</v>
      </c>
      <c r="C131" s="296" t="s">
        <v>551</v>
      </c>
      <c r="D131" s="9"/>
      <c r="E131" s="9"/>
      <c r="F131" s="9"/>
      <c r="G131" s="9"/>
    </row>
    <row r="132" spans="1:7" x14ac:dyDescent="0.3">
      <c r="A132" s="295">
        <v>127</v>
      </c>
      <c r="B132" s="296" t="s">
        <v>834</v>
      </c>
      <c r="C132" s="296" t="s">
        <v>835</v>
      </c>
      <c r="D132" s="9"/>
      <c r="E132" s="9"/>
      <c r="F132" s="9"/>
      <c r="G132" s="9"/>
    </row>
    <row r="133" spans="1:7" x14ac:dyDescent="0.3">
      <c r="A133" s="295">
        <v>128</v>
      </c>
      <c r="B133" s="296" t="s">
        <v>836</v>
      </c>
      <c r="C133" s="296" t="s">
        <v>837</v>
      </c>
      <c r="D133" s="9"/>
      <c r="E133" s="9"/>
      <c r="F133" s="9"/>
      <c r="G133" s="9"/>
    </row>
    <row r="134" spans="1:7" x14ac:dyDescent="0.3">
      <c r="A134" s="295">
        <v>129</v>
      </c>
      <c r="B134" s="296" t="s">
        <v>838</v>
      </c>
      <c r="C134" s="296" t="s">
        <v>1280</v>
      </c>
      <c r="D134" s="9"/>
      <c r="E134" s="9"/>
      <c r="F134" s="9"/>
      <c r="G134" s="9"/>
    </row>
    <row r="135" spans="1:7" x14ac:dyDescent="0.3">
      <c r="A135" s="295">
        <v>130</v>
      </c>
      <c r="B135" s="296" t="s">
        <v>839</v>
      </c>
      <c r="C135" s="296" t="s">
        <v>840</v>
      </c>
      <c r="D135" s="9"/>
      <c r="E135" s="9"/>
      <c r="F135" s="9"/>
      <c r="G135" s="9"/>
    </row>
    <row r="136" spans="1:7" x14ac:dyDescent="0.3">
      <c r="A136" s="295">
        <v>131</v>
      </c>
      <c r="B136" s="296" t="s">
        <v>549</v>
      </c>
      <c r="C136" s="296" t="s">
        <v>841</v>
      </c>
      <c r="D136" s="9"/>
      <c r="E136" s="9"/>
      <c r="F136" s="9"/>
      <c r="G136" s="9"/>
    </row>
    <row r="137" spans="1:7" x14ac:dyDescent="0.3">
      <c r="A137" s="295">
        <v>132</v>
      </c>
      <c r="B137" s="296" t="s">
        <v>842</v>
      </c>
      <c r="C137" s="296" t="s">
        <v>843</v>
      </c>
      <c r="D137" s="9"/>
      <c r="E137" s="9"/>
      <c r="F137" s="9"/>
      <c r="G137" s="9"/>
    </row>
    <row r="138" spans="1:7" x14ac:dyDescent="0.3">
      <c r="A138" s="295">
        <v>133</v>
      </c>
      <c r="B138" s="296" t="s">
        <v>844</v>
      </c>
      <c r="C138" s="296" t="s">
        <v>552</v>
      </c>
      <c r="D138" s="9"/>
      <c r="E138" s="9"/>
      <c r="F138" s="9"/>
      <c r="G138" s="9"/>
    </row>
    <row r="139" spans="1:7" x14ac:dyDescent="0.3">
      <c r="A139" s="295">
        <v>134</v>
      </c>
      <c r="B139" s="296" t="s">
        <v>845</v>
      </c>
      <c r="C139" s="296" t="s">
        <v>846</v>
      </c>
      <c r="D139" s="9"/>
      <c r="E139" s="9"/>
      <c r="F139" s="9"/>
      <c r="G139" s="9"/>
    </row>
    <row r="140" spans="1:7" x14ac:dyDescent="0.3">
      <c r="A140" s="295">
        <v>135</v>
      </c>
      <c r="B140" s="296" t="s">
        <v>847</v>
      </c>
      <c r="C140" s="296" t="s">
        <v>848</v>
      </c>
      <c r="D140" s="9"/>
      <c r="E140" s="9"/>
      <c r="F140" s="9"/>
      <c r="G140" s="9"/>
    </row>
    <row r="141" spans="1:7" x14ac:dyDescent="0.3">
      <c r="A141" s="295">
        <v>136</v>
      </c>
      <c r="B141" s="296" t="s">
        <v>849</v>
      </c>
      <c r="C141" s="296" t="s">
        <v>587</v>
      </c>
      <c r="D141" s="9"/>
      <c r="E141" s="9"/>
      <c r="F141" s="9"/>
      <c r="G141" s="9"/>
    </row>
    <row r="142" spans="1:7" x14ac:dyDescent="0.3">
      <c r="A142" s="295">
        <v>137</v>
      </c>
      <c r="B142" s="296" t="s">
        <v>850</v>
      </c>
      <c r="C142" s="296" t="s">
        <v>553</v>
      </c>
      <c r="D142" s="9"/>
      <c r="E142" s="9"/>
      <c r="F142" s="9"/>
      <c r="G142" s="9"/>
    </row>
    <row r="143" spans="1:7" x14ac:dyDescent="0.3">
      <c r="A143" s="295">
        <v>138</v>
      </c>
      <c r="B143" s="296" t="s">
        <v>851</v>
      </c>
      <c r="C143" s="296" t="s">
        <v>852</v>
      </c>
      <c r="D143" s="9"/>
      <c r="E143" s="9"/>
      <c r="F143" s="9"/>
      <c r="G143" s="9"/>
    </row>
    <row r="144" spans="1:7" x14ac:dyDescent="0.3">
      <c r="A144" s="295">
        <v>139</v>
      </c>
      <c r="B144" s="296" t="s">
        <v>853</v>
      </c>
      <c r="C144" s="296" t="s">
        <v>76</v>
      </c>
      <c r="D144" s="9"/>
      <c r="E144" s="9"/>
      <c r="F144" s="9"/>
      <c r="G144" s="9"/>
    </row>
    <row r="145" spans="1:7" ht="26.4" x14ac:dyDescent="0.3">
      <c r="A145" s="295">
        <v>140</v>
      </c>
      <c r="B145" s="296" t="s">
        <v>854</v>
      </c>
      <c r="C145" s="296" t="s">
        <v>855</v>
      </c>
      <c r="D145" s="9"/>
      <c r="E145" s="9"/>
      <c r="F145" s="9"/>
      <c r="G145" s="9"/>
    </row>
    <row r="146" spans="1:7" x14ac:dyDescent="0.3">
      <c r="A146" s="295">
        <v>141</v>
      </c>
      <c r="B146" s="296" t="s">
        <v>856</v>
      </c>
      <c r="C146" s="296" t="s">
        <v>857</v>
      </c>
      <c r="D146" s="9"/>
      <c r="E146" s="9"/>
      <c r="F146" s="9"/>
      <c r="G146" s="9"/>
    </row>
    <row r="147" spans="1:7" ht="26.4" x14ac:dyDescent="0.3">
      <c r="A147" s="295">
        <v>142</v>
      </c>
      <c r="B147" s="296" t="s">
        <v>858</v>
      </c>
      <c r="C147" s="296" t="s">
        <v>859</v>
      </c>
      <c r="D147" s="9"/>
      <c r="E147" s="9"/>
      <c r="F147" s="9"/>
      <c r="G147" s="9"/>
    </row>
    <row r="148" spans="1:7" x14ac:dyDescent="0.3">
      <c r="A148" s="295">
        <v>143</v>
      </c>
      <c r="B148" s="296" t="s">
        <v>860</v>
      </c>
      <c r="C148" s="296" t="s">
        <v>861</v>
      </c>
      <c r="D148" s="9"/>
      <c r="E148" s="9"/>
      <c r="F148" s="9"/>
      <c r="G148" s="9"/>
    </row>
    <row r="149" spans="1:7" x14ac:dyDescent="0.3">
      <c r="A149" s="295">
        <v>144</v>
      </c>
      <c r="B149" s="296" t="s">
        <v>862</v>
      </c>
      <c r="C149" s="296" t="s">
        <v>863</v>
      </c>
      <c r="D149" s="9"/>
      <c r="E149" s="9"/>
      <c r="F149" s="9"/>
      <c r="G149" s="9"/>
    </row>
    <row r="150" spans="1:7" x14ac:dyDescent="0.3">
      <c r="A150" s="295">
        <v>145</v>
      </c>
      <c r="B150" s="296" t="s">
        <v>1240</v>
      </c>
      <c r="C150" s="296" t="s">
        <v>1281</v>
      </c>
      <c r="D150" s="9"/>
      <c r="E150" s="9"/>
      <c r="F150" s="9"/>
      <c r="G150" s="9"/>
    </row>
    <row r="151" spans="1:7" x14ac:dyDescent="0.3">
      <c r="A151" s="295">
        <v>146</v>
      </c>
      <c r="B151" s="296" t="s">
        <v>864</v>
      </c>
      <c r="C151" s="296" t="s">
        <v>865</v>
      </c>
      <c r="D151" s="9"/>
      <c r="E151" s="9"/>
      <c r="F151" s="9"/>
      <c r="G151" s="9"/>
    </row>
    <row r="152" spans="1:7" x14ac:dyDescent="0.3">
      <c r="A152" s="295">
        <v>147</v>
      </c>
      <c r="B152" s="296" t="s">
        <v>866</v>
      </c>
      <c r="C152" s="296" t="s">
        <v>555</v>
      </c>
      <c r="D152" s="9"/>
      <c r="E152" s="9"/>
      <c r="F152" s="9"/>
      <c r="G152" s="9"/>
    </row>
    <row r="153" spans="1:7" x14ac:dyDescent="0.3">
      <c r="A153" s="295">
        <v>148</v>
      </c>
      <c r="B153" s="296" t="s">
        <v>867</v>
      </c>
      <c r="C153" s="296" t="s">
        <v>558</v>
      </c>
      <c r="D153" s="9"/>
      <c r="E153" s="9"/>
      <c r="F153" s="9"/>
      <c r="G153" s="9"/>
    </row>
    <row r="154" spans="1:7" x14ac:dyDescent="0.3">
      <c r="A154" s="295">
        <v>149</v>
      </c>
      <c r="B154" s="296" t="s">
        <v>868</v>
      </c>
      <c r="C154" s="296" t="s">
        <v>869</v>
      </c>
      <c r="D154" s="9"/>
      <c r="E154" s="9"/>
      <c r="F154" s="9"/>
      <c r="G154" s="9"/>
    </row>
    <row r="155" spans="1:7" x14ac:dyDescent="0.3">
      <c r="A155" s="295">
        <v>150</v>
      </c>
      <c r="B155" s="296" t="s">
        <v>870</v>
      </c>
      <c r="C155" s="296" t="s">
        <v>681</v>
      </c>
      <c r="D155" s="9"/>
      <c r="E155" s="9"/>
      <c r="F155" s="9"/>
      <c r="G155" s="9"/>
    </row>
    <row r="156" spans="1:7" x14ac:dyDescent="0.3">
      <c r="A156" s="295">
        <v>151</v>
      </c>
      <c r="B156" s="296" t="s">
        <v>871</v>
      </c>
      <c r="C156" s="296" t="s">
        <v>75</v>
      </c>
      <c r="D156" s="9"/>
      <c r="E156" s="9"/>
      <c r="F156" s="9"/>
      <c r="G156" s="9"/>
    </row>
    <row r="157" spans="1:7" x14ac:dyDescent="0.3">
      <c r="A157" s="295">
        <v>152</v>
      </c>
      <c r="B157" s="296" t="s">
        <v>872</v>
      </c>
      <c r="C157" s="296" t="s">
        <v>873</v>
      </c>
      <c r="D157" s="9"/>
      <c r="E157" s="9"/>
      <c r="F157" s="9"/>
      <c r="G157" s="9"/>
    </row>
    <row r="158" spans="1:7" x14ac:dyDescent="0.3">
      <c r="A158" s="295">
        <v>153</v>
      </c>
      <c r="B158" s="296" t="s">
        <v>1241</v>
      </c>
      <c r="C158" s="296" t="s">
        <v>1282</v>
      </c>
      <c r="D158" s="9"/>
      <c r="E158" s="9"/>
      <c r="F158" s="9"/>
      <c r="G158" s="9"/>
    </row>
    <row r="159" spans="1:7" x14ac:dyDescent="0.3">
      <c r="A159" s="295">
        <v>154</v>
      </c>
      <c r="B159" s="296" t="s">
        <v>874</v>
      </c>
      <c r="C159" s="296" t="s">
        <v>554</v>
      </c>
      <c r="D159" s="9"/>
      <c r="E159" s="9"/>
      <c r="F159" s="9"/>
      <c r="G159" s="9"/>
    </row>
    <row r="160" spans="1:7" x14ac:dyDescent="0.3">
      <c r="A160" s="295">
        <v>155</v>
      </c>
      <c r="B160" s="296" t="s">
        <v>875</v>
      </c>
      <c r="C160" s="296" t="s">
        <v>876</v>
      </c>
      <c r="D160" s="9"/>
      <c r="E160" s="9"/>
      <c r="F160" s="9"/>
      <c r="G160" s="9"/>
    </row>
    <row r="161" spans="1:7" x14ac:dyDescent="0.3">
      <c r="A161" s="295">
        <v>156</v>
      </c>
      <c r="B161" s="296" t="s">
        <v>877</v>
      </c>
      <c r="C161" s="296" t="s">
        <v>542</v>
      </c>
      <c r="D161" s="9"/>
      <c r="E161" s="9"/>
      <c r="F161" s="9"/>
      <c r="G161" s="9"/>
    </row>
    <row r="162" spans="1:7" x14ac:dyDescent="0.3">
      <c r="A162" s="295">
        <v>157</v>
      </c>
      <c r="B162" s="296" t="s">
        <v>1242</v>
      </c>
      <c r="C162" s="296" t="s">
        <v>1283</v>
      </c>
      <c r="D162" s="9"/>
      <c r="E162" s="9"/>
      <c r="F162" s="9"/>
      <c r="G162" s="9"/>
    </row>
    <row r="163" spans="1:7" x14ac:dyDescent="0.3">
      <c r="A163" s="295">
        <v>158</v>
      </c>
      <c r="B163" s="296" t="s">
        <v>878</v>
      </c>
      <c r="C163" s="296" t="s">
        <v>879</v>
      </c>
      <c r="D163" s="9"/>
      <c r="E163" s="9"/>
      <c r="F163" s="9"/>
      <c r="G163" s="9"/>
    </row>
    <row r="164" spans="1:7" x14ac:dyDescent="0.3">
      <c r="A164" s="295">
        <v>159</v>
      </c>
      <c r="B164" s="296" t="s">
        <v>880</v>
      </c>
      <c r="C164" s="296" t="s">
        <v>881</v>
      </c>
      <c r="D164" s="9"/>
      <c r="E164" s="9"/>
      <c r="F164" s="9"/>
      <c r="G164" s="9"/>
    </row>
    <row r="165" spans="1:7" x14ac:dyDescent="0.3">
      <c r="A165" s="295">
        <v>160</v>
      </c>
      <c r="B165" s="296" t="s">
        <v>882</v>
      </c>
      <c r="C165" s="296" t="s">
        <v>883</v>
      </c>
      <c r="D165" s="9"/>
      <c r="E165" s="9"/>
      <c r="F165" s="9"/>
      <c r="G165" s="9"/>
    </row>
    <row r="166" spans="1:7" x14ac:dyDescent="0.3">
      <c r="A166" s="295">
        <v>161</v>
      </c>
      <c r="B166" s="296" t="s">
        <v>556</v>
      </c>
      <c r="C166" s="296" t="s">
        <v>557</v>
      </c>
      <c r="D166" s="9"/>
      <c r="E166" s="9"/>
      <c r="F166" s="9"/>
      <c r="G166" s="9"/>
    </row>
    <row r="167" spans="1:7" x14ac:dyDescent="0.3">
      <c r="A167" s="295">
        <v>162</v>
      </c>
      <c r="B167" s="296" t="s">
        <v>562</v>
      </c>
      <c r="C167" s="296" t="s">
        <v>74</v>
      </c>
      <c r="D167" s="9"/>
      <c r="E167" s="9"/>
      <c r="F167" s="9"/>
      <c r="G167" s="9"/>
    </row>
    <row r="168" spans="1:7" x14ac:dyDescent="0.3">
      <c r="A168" s="295">
        <v>163</v>
      </c>
      <c r="B168" s="302" t="s">
        <v>884</v>
      </c>
      <c r="C168" s="296" t="s">
        <v>559</v>
      </c>
      <c r="D168" s="9"/>
      <c r="E168" s="9"/>
      <c r="F168" s="9"/>
      <c r="G168" s="9"/>
    </row>
    <row r="169" spans="1:7" x14ac:dyDescent="0.3">
      <c r="A169" s="295">
        <v>164</v>
      </c>
      <c r="B169" s="296" t="s">
        <v>885</v>
      </c>
      <c r="C169" s="296" t="s">
        <v>681</v>
      </c>
      <c r="D169" s="9"/>
      <c r="E169" s="9"/>
      <c r="F169" s="9"/>
      <c r="G169" s="9"/>
    </row>
    <row r="170" spans="1:7" x14ac:dyDescent="0.3">
      <c r="A170" s="295">
        <v>165</v>
      </c>
      <c r="B170" s="296" t="s">
        <v>886</v>
      </c>
      <c r="C170" s="296" t="s">
        <v>887</v>
      </c>
      <c r="D170" s="9"/>
      <c r="E170" s="9"/>
      <c r="F170" s="9"/>
      <c r="G170" s="9"/>
    </row>
    <row r="171" spans="1:7" x14ac:dyDescent="0.3">
      <c r="A171" s="295">
        <v>166</v>
      </c>
      <c r="B171" s="296" t="s">
        <v>1243</v>
      </c>
      <c r="C171" s="296" t="s">
        <v>1284</v>
      </c>
      <c r="D171" s="9"/>
      <c r="E171" s="9"/>
      <c r="F171" s="9"/>
      <c r="G171" s="9"/>
    </row>
    <row r="172" spans="1:7" x14ac:dyDescent="0.3">
      <c r="A172" s="295">
        <v>167</v>
      </c>
      <c r="B172" s="296" t="s">
        <v>1244</v>
      </c>
      <c r="C172" s="296" t="s">
        <v>1285</v>
      </c>
      <c r="D172" s="9"/>
      <c r="E172" s="9"/>
      <c r="F172" s="9"/>
      <c r="G172" s="9"/>
    </row>
    <row r="173" spans="1:7" x14ac:dyDescent="0.3">
      <c r="A173" s="295">
        <v>168</v>
      </c>
      <c r="B173" s="296" t="s">
        <v>888</v>
      </c>
      <c r="C173" s="296" t="s">
        <v>560</v>
      </c>
      <c r="D173" s="9"/>
      <c r="E173" s="9"/>
      <c r="F173" s="9"/>
      <c r="G173" s="9"/>
    </row>
    <row r="174" spans="1:7" x14ac:dyDescent="0.3">
      <c r="A174" s="295">
        <v>169</v>
      </c>
      <c r="B174" s="296" t="s">
        <v>889</v>
      </c>
      <c r="C174" s="296" t="s">
        <v>890</v>
      </c>
      <c r="D174" s="9"/>
      <c r="E174" s="9"/>
      <c r="F174" s="9"/>
      <c r="G174" s="9"/>
    </row>
    <row r="175" spans="1:7" x14ac:dyDescent="0.3">
      <c r="A175" s="295">
        <v>170</v>
      </c>
      <c r="B175" s="296" t="s">
        <v>891</v>
      </c>
      <c r="C175" s="296" t="s">
        <v>892</v>
      </c>
      <c r="D175" s="9"/>
      <c r="E175" s="9"/>
      <c r="F175" s="9"/>
      <c r="G175" s="9"/>
    </row>
    <row r="176" spans="1:7" x14ac:dyDescent="0.3">
      <c r="A176" s="295">
        <v>171</v>
      </c>
      <c r="B176" s="296" t="s">
        <v>1245</v>
      </c>
      <c r="C176" s="296" t="s">
        <v>1286</v>
      </c>
      <c r="D176" s="9"/>
      <c r="E176" s="9"/>
      <c r="F176" s="9"/>
      <c r="G176" s="9"/>
    </row>
    <row r="177" spans="1:8" x14ac:dyDescent="0.3">
      <c r="A177" s="295">
        <v>172</v>
      </c>
      <c r="B177" s="296" t="s">
        <v>72</v>
      </c>
      <c r="C177" s="296" t="s">
        <v>71</v>
      </c>
      <c r="D177" s="9"/>
      <c r="E177" s="9"/>
      <c r="F177" s="9"/>
      <c r="G177" s="9"/>
    </row>
    <row r="178" spans="1:8" x14ac:dyDescent="0.3">
      <c r="A178" s="295">
        <v>173</v>
      </c>
      <c r="B178" s="296" t="s">
        <v>893</v>
      </c>
      <c r="C178" s="296" t="s">
        <v>563</v>
      </c>
      <c r="D178" s="9"/>
      <c r="E178" s="9"/>
      <c r="F178" s="9"/>
      <c r="G178" s="9"/>
    </row>
    <row r="179" spans="1:8" x14ac:dyDescent="0.3">
      <c r="A179" s="295">
        <v>174</v>
      </c>
      <c r="B179" s="296" t="s">
        <v>894</v>
      </c>
      <c r="C179" s="299" t="s">
        <v>895</v>
      </c>
      <c r="D179" s="9"/>
      <c r="E179" s="9"/>
      <c r="F179" s="9"/>
      <c r="G179" s="9"/>
    </row>
    <row r="180" spans="1:8" x14ac:dyDescent="0.3">
      <c r="A180" s="295">
        <v>175</v>
      </c>
      <c r="B180" s="296" t="s">
        <v>567</v>
      </c>
      <c r="C180" s="299" t="s">
        <v>568</v>
      </c>
      <c r="D180" s="9"/>
      <c r="E180" s="9"/>
      <c r="F180" s="9"/>
      <c r="G180" s="9"/>
    </row>
    <row r="181" spans="1:8" x14ac:dyDescent="0.3">
      <c r="A181" s="295">
        <v>176</v>
      </c>
      <c r="B181" s="296" t="s">
        <v>896</v>
      </c>
      <c r="C181" s="296" t="s">
        <v>897</v>
      </c>
      <c r="D181" s="9"/>
      <c r="E181" s="9"/>
      <c r="F181" s="9"/>
      <c r="G181" s="9"/>
    </row>
    <row r="182" spans="1:8" x14ac:dyDescent="0.3">
      <c r="A182" s="295">
        <v>177</v>
      </c>
      <c r="B182" s="296" t="s">
        <v>898</v>
      </c>
      <c r="C182" s="296" t="s">
        <v>899</v>
      </c>
      <c r="D182" s="9"/>
      <c r="E182" s="9"/>
      <c r="F182" s="9"/>
      <c r="G182" s="9"/>
    </row>
    <row r="183" spans="1:8" x14ac:dyDescent="0.3">
      <c r="A183" s="295">
        <v>178</v>
      </c>
      <c r="B183" s="296" t="s">
        <v>900</v>
      </c>
      <c r="C183" s="296" t="s">
        <v>667</v>
      </c>
      <c r="D183" s="9"/>
      <c r="E183" s="9"/>
      <c r="F183" s="9"/>
      <c r="G183" s="9"/>
    </row>
    <row r="184" spans="1:8" x14ac:dyDescent="0.3">
      <c r="A184" s="295">
        <v>179</v>
      </c>
      <c r="B184" s="296" t="s">
        <v>901</v>
      </c>
      <c r="C184" s="296" t="s">
        <v>902</v>
      </c>
      <c r="D184" s="9"/>
      <c r="E184" s="9"/>
      <c r="F184" s="9"/>
      <c r="G184" s="9"/>
    </row>
    <row r="185" spans="1:8" x14ac:dyDescent="0.3">
      <c r="A185" s="295">
        <v>180</v>
      </c>
      <c r="B185" s="299" t="s">
        <v>903</v>
      </c>
      <c r="C185" s="296" t="s">
        <v>576</v>
      </c>
      <c r="D185" s="9"/>
      <c r="E185" s="9"/>
      <c r="F185" s="9"/>
      <c r="G185" s="9"/>
    </row>
    <row r="186" spans="1:8" x14ac:dyDescent="0.3">
      <c r="A186" s="295">
        <v>181</v>
      </c>
      <c r="B186" s="296" t="s">
        <v>904</v>
      </c>
      <c r="C186" s="296" t="s">
        <v>905</v>
      </c>
      <c r="D186" s="9"/>
      <c r="E186" s="9"/>
      <c r="F186" s="9"/>
      <c r="G186" s="9"/>
    </row>
    <row r="187" spans="1:8" x14ac:dyDescent="0.3">
      <c r="A187" s="295">
        <v>182</v>
      </c>
      <c r="B187" s="296" t="s">
        <v>906</v>
      </c>
      <c r="C187" s="296" t="s">
        <v>907</v>
      </c>
      <c r="D187" s="9"/>
      <c r="E187" s="9"/>
      <c r="F187" s="9"/>
      <c r="G187" s="9"/>
    </row>
    <row r="188" spans="1:8" x14ac:dyDescent="0.3">
      <c r="A188" s="295">
        <v>183</v>
      </c>
      <c r="B188" s="296" t="s">
        <v>908</v>
      </c>
      <c r="C188" s="296" t="s">
        <v>909</v>
      </c>
      <c r="D188" s="9"/>
      <c r="E188" s="9"/>
      <c r="F188" s="9"/>
      <c r="G188" s="9"/>
    </row>
    <row r="189" spans="1:8" x14ac:dyDescent="0.3">
      <c r="A189" s="295">
        <v>184</v>
      </c>
      <c r="B189" s="296" t="s">
        <v>910</v>
      </c>
      <c r="C189" s="296" t="s">
        <v>911</v>
      </c>
      <c r="D189" s="9"/>
      <c r="E189" s="9"/>
      <c r="F189" s="9"/>
      <c r="G189" s="9"/>
    </row>
    <row r="190" spans="1:8" x14ac:dyDescent="0.3">
      <c r="A190" s="295">
        <v>185</v>
      </c>
      <c r="B190" s="296" t="s">
        <v>912</v>
      </c>
      <c r="C190" s="296" t="s">
        <v>913</v>
      </c>
      <c r="D190" s="9"/>
      <c r="E190" s="9"/>
      <c r="F190" s="9"/>
      <c r="G190" s="9"/>
    </row>
    <row r="191" spans="1:8" x14ac:dyDescent="0.3">
      <c r="A191" s="295">
        <v>186</v>
      </c>
      <c r="B191" s="296" t="s">
        <v>914</v>
      </c>
      <c r="C191" s="296" t="s">
        <v>915</v>
      </c>
      <c r="D191" s="9"/>
      <c r="E191" s="9"/>
      <c r="F191" s="9"/>
      <c r="G191" s="9"/>
      <c r="H191" s="9"/>
    </row>
    <row r="192" spans="1:8" x14ac:dyDescent="0.3">
      <c r="A192" s="295">
        <v>187</v>
      </c>
      <c r="B192" s="296" t="s">
        <v>570</v>
      </c>
      <c r="C192" s="296" t="s">
        <v>571</v>
      </c>
      <c r="D192" s="9"/>
      <c r="E192" s="9"/>
      <c r="F192" s="9"/>
      <c r="G192" s="9"/>
      <c r="H192" s="9"/>
    </row>
    <row r="193" spans="1:8" x14ac:dyDescent="0.3">
      <c r="A193" s="295">
        <v>188</v>
      </c>
      <c r="B193" s="296" t="s">
        <v>916</v>
      </c>
      <c r="C193" s="296" t="s">
        <v>917</v>
      </c>
      <c r="D193" s="9"/>
      <c r="E193" s="9"/>
      <c r="F193" s="9"/>
      <c r="G193" s="9"/>
      <c r="H193" s="9"/>
    </row>
    <row r="194" spans="1:8" x14ac:dyDescent="0.3">
      <c r="A194" s="295">
        <v>189</v>
      </c>
      <c r="B194" s="296" t="s">
        <v>918</v>
      </c>
      <c r="C194" s="296" t="s">
        <v>917</v>
      </c>
      <c r="D194" s="9"/>
      <c r="E194" s="9"/>
      <c r="F194" s="9"/>
      <c r="G194" s="9"/>
      <c r="H194" s="9"/>
    </row>
    <row r="195" spans="1:8" x14ac:dyDescent="0.3">
      <c r="A195" s="295">
        <v>190</v>
      </c>
      <c r="B195" s="296" t="s">
        <v>919</v>
      </c>
      <c r="C195" s="296" t="s">
        <v>920</v>
      </c>
      <c r="D195" s="9"/>
      <c r="E195" s="9"/>
      <c r="F195" s="9"/>
      <c r="G195" s="9"/>
      <c r="H195" s="9"/>
    </row>
    <row r="196" spans="1:8" x14ac:dyDescent="0.3">
      <c r="A196" s="295">
        <v>191</v>
      </c>
      <c r="B196" s="296" t="s">
        <v>1246</v>
      </c>
      <c r="C196" s="296" t="s">
        <v>1287</v>
      </c>
      <c r="D196" s="9"/>
      <c r="E196" s="9"/>
      <c r="F196" s="9"/>
      <c r="G196" s="9"/>
      <c r="H196" s="9"/>
    </row>
    <row r="197" spans="1:8" x14ac:dyDescent="0.3">
      <c r="A197" s="295">
        <v>192</v>
      </c>
      <c r="B197" s="296" t="s">
        <v>1247</v>
      </c>
      <c r="C197" s="296" t="s">
        <v>574</v>
      </c>
      <c r="D197" s="9"/>
      <c r="E197" s="9"/>
      <c r="F197" s="9"/>
      <c r="G197" s="9"/>
      <c r="H197" s="9"/>
    </row>
    <row r="198" spans="1:8" x14ac:dyDescent="0.3">
      <c r="A198" s="295">
        <v>193</v>
      </c>
      <c r="B198" s="296" t="s">
        <v>921</v>
      </c>
      <c r="C198" s="296" t="s">
        <v>922</v>
      </c>
      <c r="D198" s="9"/>
      <c r="E198" s="9"/>
      <c r="F198" s="9"/>
      <c r="G198" s="9"/>
      <c r="H198" s="9"/>
    </row>
    <row r="199" spans="1:8" ht="26.4" x14ac:dyDescent="0.3">
      <c r="A199" s="295">
        <v>194</v>
      </c>
      <c r="B199" s="296" t="s">
        <v>1248</v>
      </c>
      <c r="C199" s="296" t="s">
        <v>1288</v>
      </c>
      <c r="D199" s="9"/>
      <c r="E199" s="9"/>
      <c r="F199" s="9"/>
      <c r="G199" s="9"/>
      <c r="H199" s="9"/>
    </row>
    <row r="200" spans="1:8" x14ac:dyDescent="0.3">
      <c r="A200" s="295">
        <v>195</v>
      </c>
      <c r="B200" s="296" t="s">
        <v>923</v>
      </c>
      <c r="C200" s="296" t="s">
        <v>565</v>
      </c>
      <c r="D200" s="9"/>
      <c r="E200" s="9"/>
      <c r="F200" s="9"/>
      <c r="G200" s="9"/>
      <c r="H200" s="9"/>
    </row>
    <row r="201" spans="1:8" x14ac:dyDescent="0.3">
      <c r="A201" s="295">
        <v>196</v>
      </c>
      <c r="B201" s="296" t="s">
        <v>1249</v>
      </c>
      <c r="C201" s="296" t="s">
        <v>681</v>
      </c>
      <c r="D201" s="9"/>
      <c r="E201" s="9"/>
      <c r="F201" s="9"/>
      <c r="G201" s="9"/>
      <c r="H201" s="9"/>
    </row>
    <row r="202" spans="1:8" x14ac:dyDescent="0.3">
      <c r="A202" s="295">
        <v>197</v>
      </c>
      <c r="B202" s="296" t="s">
        <v>924</v>
      </c>
      <c r="C202" s="296" t="s">
        <v>925</v>
      </c>
      <c r="D202" s="9"/>
      <c r="E202" s="9"/>
      <c r="F202" s="9"/>
      <c r="G202" s="9"/>
      <c r="H202" s="9"/>
    </row>
    <row r="203" spans="1:8" x14ac:dyDescent="0.3">
      <c r="A203" s="295">
        <v>198</v>
      </c>
      <c r="B203" s="296" t="s">
        <v>533</v>
      </c>
      <c r="C203" s="296" t="s">
        <v>1289</v>
      </c>
      <c r="D203" s="9"/>
      <c r="E203" s="9"/>
      <c r="F203" s="9"/>
      <c r="G203" s="9"/>
      <c r="H203" s="9"/>
    </row>
    <row r="204" spans="1:8" x14ac:dyDescent="0.3">
      <c r="A204" s="295">
        <v>199</v>
      </c>
      <c r="B204" s="296" t="s">
        <v>926</v>
      </c>
      <c r="C204" s="296" t="s">
        <v>927</v>
      </c>
      <c r="D204" s="9"/>
      <c r="E204" s="9"/>
      <c r="F204" s="9"/>
      <c r="G204" s="9"/>
      <c r="H204" s="9"/>
    </row>
    <row r="205" spans="1:8" x14ac:dyDescent="0.3">
      <c r="A205" s="295">
        <v>200</v>
      </c>
      <c r="B205" s="296" t="s">
        <v>577</v>
      </c>
      <c r="C205" s="296" t="s">
        <v>69</v>
      </c>
      <c r="D205" s="9"/>
      <c r="E205" s="9"/>
      <c r="F205" s="9"/>
      <c r="G205" s="9"/>
      <c r="H205" s="9"/>
    </row>
    <row r="206" spans="1:8" x14ac:dyDescent="0.3">
      <c r="A206" s="295">
        <v>201</v>
      </c>
      <c r="B206" s="296" t="s">
        <v>564</v>
      </c>
      <c r="C206" s="296" t="s">
        <v>928</v>
      </c>
      <c r="D206" s="9"/>
      <c r="E206" s="9"/>
      <c r="F206" s="9"/>
      <c r="G206" s="9"/>
      <c r="H206" s="9"/>
    </row>
    <row r="207" spans="1:8" x14ac:dyDescent="0.3">
      <c r="A207" s="295">
        <v>202</v>
      </c>
      <c r="B207" s="296" t="s">
        <v>929</v>
      </c>
      <c r="C207" s="296" t="s">
        <v>930</v>
      </c>
      <c r="D207" s="9"/>
      <c r="E207" s="9"/>
      <c r="F207" s="9"/>
      <c r="G207" s="9"/>
      <c r="H207" s="9"/>
    </row>
    <row r="208" spans="1:8" x14ac:dyDescent="0.3">
      <c r="A208" s="295">
        <v>203</v>
      </c>
      <c r="B208" s="299" t="s">
        <v>931</v>
      </c>
      <c r="C208" s="296" t="s">
        <v>932</v>
      </c>
      <c r="D208" s="9"/>
      <c r="E208" s="9"/>
      <c r="F208" s="9"/>
      <c r="G208" s="9"/>
      <c r="H208" s="9"/>
    </row>
    <row r="209" spans="1:8" x14ac:dyDescent="0.3">
      <c r="A209" s="295">
        <v>204</v>
      </c>
      <c r="B209" s="299" t="s">
        <v>933</v>
      </c>
      <c r="C209" s="296" t="s">
        <v>566</v>
      </c>
      <c r="D209" s="9"/>
      <c r="E209" s="9"/>
      <c r="F209" s="9"/>
      <c r="G209" s="9"/>
      <c r="H209" s="9"/>
    </row>
    <row r="210" spans="1:8" x14ac:dyDescent="0.3">
      <c r="A210" s="295">
        <v>205</v>
      </c>
      <c r="B210" s="296" t="s">
        <v>934</v>
      </c>
      <c r="C210" s="296" t="s">
        <v>575</v>
      </c>
      <c r="D210" s="9"/>
      <c r="E210" s="9"/>
      <c r="F210" s="9"/>
      <c r="G210" s="9"/>
      <c r="H210" s="9"/>
    </row>
    <row r="211" spans="1:8" x14ac:dyDescent="0.3">
      <c r="A211" s="295">
        <v>206</v>
      </c>
      <c r="B211" s="296" t="s">
        <v>935</v>
      </c>
      <c r="C211" s="296" t="s">
        <v>936</v>
      </c>
      <c r="D211" s="9"/>
      <c r="E211" s="9"/>
      <c r="F211" s="9"/>
      <c r="G211" s="9"/>
      <c r="H211" s="9"/>
    </row>
    <row r="212" spans="1:8" x14ac:dyDescent="0.3">
      <c r="A212" s="295">
        <v>207</v>
      </c>
      <c r="B212" s="296" t="s">
        <v>937</v>
      </c>
      <c r="C212" s="296" t="s">
        <v>938</v>
      </c>
      <c r="D212" s="9"/>
      <c r="E212" s="9"/>
      <c r="F212" s="9"/>
      <c r="G212" s="9"/>
      <c r="H212" s="9"/>
    </row>
    <row r="213" spans="1:8" x14ac:dyDescent="0.3">
      <c r="A213" s="295">
        <v>208</v>
      </c>
      <c r="B213" s="296" t="s">
        <v>939</v>
      </c>
      <c r="C213" s="296" t="s">
        <v>569</v>
      </c>
      <c r="D213" s="9"/>
      <c r="E213" s="9"/>
      <c r="F213" s="9"/>
      <c r="G213" s="9"/>
      <c r="H213" s="9"/>
    </row>
    <row r="214" spans="1:8" x14ac:dyDescent="0.3">
      <c r="A214" s="295">
        <v>209</v>
      </c>
      <c r="B214" s="296" t="s">
        <v>940</v>
      </c>
      <c r="C214" s="296" t="s">
        <v>941</v>
      </c>
      <c r="D214" s="9"/>
      <c r="E214" s="9"/>
      <c r="F214" s="9"/>
      <c r="G214" s="9"/>
      <c r="H214" s="9"/>
    </row>
    <row r="215" spans="1:8" x14ac:dyDescent="0.3">
      <c r="A215" s="295">
        <v>210</v>
      </c>
      <c r="B215" s="296" t="s">
        <v>942</v>
      </c>
      <c r="C215" s="299" t="s">
        <v>943</v>
      </c>
      <c r="D215" s="9"/>
      <c r="E215" s="9"/>
      <c r="F215" s="9"/>
      <c r="G215" s="9"/>
      <c r="H215" s="9"/>
    </row>
    <row r="216" spans="1:8" x14ac:dyDescent="0.3">
      <c r="A216" s="295">
        <v>211</v>
      </c>
      <c r="B216" s="296" t="s">
        <v>944</v>
      </c>
      <c r="C216" s="296" t="s">
        <v>573</v>
      </c>
      <c r="D216" s="9"/>
      <c r="E216" s="9"/>
      <c r="F216" s="9"/>
      <c r="G216" s="9"/>
      <c r="H216" s="9"/>
    </row>
    <row r="217" spans="1:8" ht="26.4" x14ac:dyDescent="0.3">
      <c r="A217" s="295">
        <v>212</v>
      </c>
      <c r="B217" s="296" t="s">
        <v>945</v>
      </c>
      <c r="C217" s="296" t="s">
        <v>946</v>
      </c>
      <c r="D217" s="9"/>
      <c r="E217" s="9"/>
      <c r="F217" s="9"/>
      <c r="G217" s="9"/>
      <c r="H217" s="9"/>
    </row>
    <row r="218" spans="1:8" ht="26.4" x14ac:dyDescent="0.3">
      <c r="A218" s="295">
        <v>213</v>
      </c>
      <c r="B218" s="296" t="s">
        <v>947</v>
      </c>
      <c r="C218" s="296" t="s">
        <v>948</v>
      </c>
      <c r="D218" s="9"/>
      <c r="E218" s="9"/>
      <c r="F218" s="9"/>
      <c r="G218" s="9"/>
      <c r="H218" s="9"/>
    </row>
    <row r="219" spans="1:8" x14ac:dyDescent="0.3">
      <c r="A219" s="295">
        <v>214</v>
      </c>
      <c r="B219" s="296" t="s">
        <v>949</v>
      </c>
      <c r="C219" s="296" t="s">
        <v>70</v>
      </c>
      <c r="D219" s="9"/>
      <c r="E219" s="9"/>
      <c r="F219" s="9"/>
      <c r="G219" s="9"/>
      <c r="H219" s="9"/>
    </row>
    <row r="220" spans="1:8" x14ac:dyDescent="0.3">
      <c r="A220" s="295">
        <v>215</v>
      </c>
      <c r="B220" s="296" t="s">
        <v>950</v>
      </c>
      <c r="C220" s="296" t="s">
        <v>951</v>
      </c>
      <c r="D220" s="9"/>
      <c r="E220" s="9"/>
      <c r="F220" s="9"/>
      <c r="G220" s="9"/>
      <c r="H220" s="9"/>
    </row>
    <row r="221" spans="1:8" x14ac:dyDescent="0.3">
      <c r="A221" s="295">
        <v>216</v>
      </c>
      <c r="B221" s="296" t="s">
        <v>952</v>
      </c>
      <c r="C221" s="296" t="s">
        <v>953</v>
      </c>
      <c r="D221" s="9"/>
      <c r="E221" s="9"/>
      <c r="F221" s="9"/>
      <c r="G221" s="9"/>
      <c r="H221" s="9"/>
    </row>
    <row r="222" spans="1:8" x14ac:dyDescent="0.3">
      <c r="A222" s="295">
        <v>217</v>
      </c>
      <c r="B222" s="296" t="s">
        <v>1250</v>
      </c>
      <c r="C222" s="296" t="s">
        <v>1290</v>
      </c>
      <c r="D222" s="9"/>
      <c r="E222" s="9"/>
      <c r="F222" s="9"/>
      <c r="G222" s="9"/>
      <c r="H222" s="9"/>
    </row>
    <row r="223" spans="1:8" x14ac:dyDescent="0.3">
      <c r="A223" s="295">
        <v>218</v>
      </c>
      <c r="B223" s="296" t="s">
        <v>954</v>
      </c>
      <c r="C223" s="296" t="s">
        <v>955</v>
      </c>
      <c r="D223" s="9"/>
      <c r="E223" s="9"/>
      <c r="F223" s="9"/>
      <c r="G223" s="9"/>
      <c r="H223" s="9"/>
    </row>
    <row r="224" spans="1:8" x14ac:dyDescent="0.3">
      <c r="A224" s="295">
        <v>219</v>
      </c>
      <c r="B224" s="296" t="s">
        <v>956</v>
      </c>
      <c r="C224" s="296" t="s">
        <v>957</v>
      </c>
      <c r="D224" s="9"/>
      <c r="E224" s="9"/>
      <c r="F224" s="9"/>
      <c r="G224" s="9"/>
      <c r="H224" s="9"/>
    </row>
    <row r="225" spans="1:8" x14ac:dyDescent="0.3">
      <c r="A225" s="295">
        <v>220</v>
      </c>
      <c r="B225" s="296" t="s">
        <v>958</v>
      </c>
      <c r="C225" s="296" t="s">
        <v>959</v>
      </c>
      <c r="D225" s="9"/>
      <c r="E225" s="9"/>
      <c r="F225" s="9"/>
      <c r="G225" s="9"/>
      <c r="H225" s="9"/>
    </row>
    <row r="226" spans="1:8" x14ac:dyDescent="0.3">
      <c r="A226" s="295">
        <v>221</v>
      </c>
      <c r="B226" s="296" t="s">
        <v>960</v>
      </c>
      <c r="C226" s="296" t="s">
        <v>961</v>
      </c>
      <c r="D226" s="9"/>
      <c r="E226" s="9"/>
      <c r="F226" s="9"/>
      <c r="G226" s="9"/>
      <c r="H226" s="9"/>
    </row>
    <row r="227" spans="1:8" x14ac:dyDescent="0.3">
      <c r="A227" s="295">
        <v>222</v>
      </c>
      <c r="B227" s="296" t="s">
        <v>962</v>
      </c>
      <c r="C227" s="296" t="s">
        <v>963</v>
      </c>
      <c r="D227" s="9"/>
      <c r="E227" s="9"/>
      <c r="F227" s="9"/>
      <c r="G227" s="9"/>
      <c r="H227" s="9"/>
    </row>
    <row r="228" spans="1:8" x14ac:dyDescent="0.3">
      <c r="A228" s="295">
        <v>223</v>
      </c>
      <c r="B228" s="296" t="s">
        <v>1251</v>
      </c>
      <c r="C228" s="296" t="s">
        <v>1291</v>
      </c>
      <c r="D228" s="9"/>
      <c r="E228" s="9"/>
      <c r="F228" s="9"/>
      <c r="G228" s="9"/>
      <c r="H228" s="9"/>
    </row>
    <row r="229" spans="1:8" x14ac:dyDescent="0.3">
      <c r="A229" s="295">
        <v>224</v>
      </c>
      <c r="B229" s="296" t="s">
        <v>964</v>
      </c>
      <c r="C229" s="296" t="s">
        <v>965</v>
      </c>
      <c r="D229" s="9"/>
      <c r="E229" s="9"/>
      <c r="F229" s="9"/>
      <c r="G229" s="9"/>
      <c r="H229" s="9"/>
    </row>
    <row r="230" spans="1:8" x14ac:dyDescent="0.3">
      <c r="A230" s="295">
        <v>225</v>
      </c>
      <c r="B230" s="296" t="s">
        <v>966</v>
      </c>
      <c r="C230" s="296" t="s">
        <v>581</v>
      </c>
      <c r="D230" s="9"/>
      <c r="E230" s="9"/>
      <c r="F230" s="9"/>
      <c r="G230" s="9"/>
      <c r="H230" s="9"/>
    </row>
    <row r="231" spans="1:8" x14ac:dyDescent="0.3">
      <c r="A231" s="295">
        <v>226</v>
      </c>
      <c r="B231" s="296" t="s">
        <v>967</v>
      </c>
      <c r="C231" s="296" t="s">
        <v>968</v>
      </c>
      <c r="D231" s="9"/>
      <c r="E231" s="9"/>
      <c r="F231" s="9"/>
      <c r="G231" s="9"/>
      <c r="H231" s="9"/>
    </row>
    <row r="232" spans="1:8" x14ac:dyDescent="0.3">
      <c r="A232" s="295">
        <v>227</v>
      </c>
      <c r="B232" s="296" t="s">
        <v>45</v>
      </c>
      <c r="C232" s="296" t="s">
        <v>969</v>
      </c>
      <c r="D232" s="9"/>
      <c r="E232" s="9"/>
      <c r="F232" s="9"/>
      <c r="G232" s="9"/>
      <c r="H232" s="9"/>
    </row>
    <row r="233" spans="1:8" x14ac:dyDescent="0.3">
      <c r="A233" s="295">
        <v>228</v>
      </c>
      <c r="B233" s="296" t="s">
        <v>970</v>
      </c>
      <c r="C233" s="296" t="s">
        <v>971</v>
      </c>
      <c r="D233" s="9"/>
      <c r="E233" s="9"/>
      <c r="F233" s="9"/>
      <c r="G233" s="9"/>
      <c r="H233" s="9"/>
    </row>
    <row r="234" spans="1:8" x14ac:dyDescent="0.3">
      <c r="A234" s="295">
        <v>229</v>
      </c>
      <c r="B234" s="296" t="s">
        <v>588</v>
      </c>
      <c r="C234" s="296" t="s">
        <v>589</v>
      </c>
      <c r="D234" s="9"/>
      <c r="E234" s="9"/>
      <c r="F234" s="9"/>
      <c r="G234" s="9"/>
      <c r="H234" s="9"/>
    </row>
    <row r="235" spans="1:8" x14ac:dyDescent="0.3">
      <c r="A235" s="295">
        <v>230</v>
      </c>
      <c r="B235" s="296" t="s">
        <v>972</v>
      </c>
      <c r="C235" s="296" t="s">
        <v>973</v>
      </c>
      <c r="D235" s="9"/>
      <c r="E235" s="9"/>
      <c r="F235" s="9"/>
      <c r="G235" s="9"/>
      <c r="H235" s="9"/>
    </row>
    <row r="236" spans="1:8" x14ac:dyDescent="0.3">
      <c r="A236" s="295">
        <v>231</v>
      </c>
      <c r="B236" s="296" t="s">
        <v>974</v>
      </c>
      <c r="C236" s="296" t="s">
        <v>975</v>
      </c>
      <c r="D236" s="9"/>
      <c r="E236" s="9"/>
      <c r="F236" s="9"/>
      <c r="G236" s="9"/>
      <c r="H236" s="9"/>
    </row>
    <row r="237" spans="1:8" x14ac:dyDescent="0.3">
      <c r="A237" s="295">
        <v>232</v>
      </c>
      <c r="B237" s="297" t="s">
        <v>976</v>
      </c>
      <c r="C237" s="297" t="s">
        <v>977</v>
      </c>
      <c r="D237" s="9"/>
      <c r="E237" s="9"/>
      <c r="F237" s="9"/>
      <c r="G237" s="9"/>
      <c r="H237" s="9"/>
    </row>
    <row r="238" spans="1:8" ht="26.4" x14ac:dyDescent="0.3">
      <c r="A238" s="295">
        <v>233</v>
      </c>
      <c r="B238" s="296" t="s">
        <v>582</v>
      </c>
      <c r="C238" s="296" t="s">
        <v>977</v>
      </c>
      <c r="D238" s="9"/>
      <c r="E238" s="9"/>
      <c r="F238" s="9"/>
      <c r="G238" s="9"/>
      <c r="H238" s="9"/>
    </row>
    <row r="239" spans="1:8" x14ac:dyDescent="0.3">
      <c r="A239" s="295">
        <v>234</v>
      </c>
      <c r="B239" s="296" t="s">
        <v>583</v>
      </c>
      <c r="C239" s="296" t="s">
        <v>584</v>
      </c>
      <c r="D239" s="9"/>
      <c r="E239" s="9"/>
      <c r="F239" s="9"/>
      <c r="G239" s="9"/>
      <c r="H239" s="9"/>
    </row>
    <row r="240" spans="1:8" x14ac:dyDescent="0.3">
      <c r="A240" s="295">
        <v>235</v>
      </c>
      <c r="B240" s="296" t="s">
        <v>978</v>
      </c>
      <c r="C240" s="296" t="s">
        <v>979</v>
      </c>
      <c r="D240" s="9"/>
      <c r="E240" s="9"/>
      <c r="F240" s="9"/>
      <c r="G240" s="9"/>
      <c r="H240" s="9"/>
    </row>
    <row r="241" spans="1:8" x14ac:dyDescent="0.3">
      <c r="A241" s="295">
        <v>236</v>
      </c>
      <c r="B241" s="296" t="s">
        <v>579</v>
      </c>
      <c r="C241" s="296" t="s">
        <v>580</v>
      </c>
      <c r="D241" s="9"/>
      <c r="E241" s="9"/>
      <c r="F241" s="9"/>
      <c r="G241" s="9"/>
      <c r="H241" s="9"/>
    </row>
    <row r="242" spans="1:8" x14ac:dyDescent="0.3">
      <c r="A242" s="295">
        <v>237</v>
      </c>
      <c r="B242" s="296" t="s">
        <v>980</v>
      </c>
      <c r="C242" s="296" t="s">
        <v>586</v>
      </c>
      <c r="D242" s="9"/>
      <c r="E242" s="9"/>
      <c r="F242" s="9"/>
      <c r="G242" s="9"/>
      <c r="H242" s="9"/>
    </row>
    <row r="243" spans="1:8" x14ac:dyDescent="0.3">
      <c r="A243" s="295">
        <v>238</v>
      </c>
      <c r="B243" s="296" t="s">
        <v>981</v>
      </c>
      <c r="C243" s="296" t="s">
        <v>578</v>
      </c>
      <c r="D243" s="9"/>
      <c r="E243" s="9"/>
      <c r="F243" s="9"/>
      <c r="G243" s="9"/>
      <c r="H243" s="9"/>
    </row>
    <row r="244" spans="1:8" x14ac:dyDescent="0.3">
      <c r="A244" s="295">
        <v>239</v>
      </c>
      <c r="B244" s="296" t="s">
        <v>982</v>
      </c>
      <c r="C244" s="296" t="s">
        <v>585</v>
      </c>
      <c r="D244" s="9"/>
      <c r="E244" s="9"/>
      <c r="F244" s="9"/>
      <c r="G244" s="9"/>
      <c r="H244" s="9"/>
    </row>
    <row r="245" spans="1:8" x14ac:dyDescent="0.3">
      <c r="A245" s="295">
        <v>240</v>
      </c>
      <c r="B245" s="296" t="s">
        <v>983</v>
      </c>
      <c r="C245" s="296" t="s">
        <v>984</v>
      </c>
      <c r="D245" s="9"/>
      <c r="E245" s="9"/>
      <c r="F245" s="9"/>
      <c r="G245" s="9"/>
      <c r="H245" s="9"/>
    </row>
    <row r="246" spans="1:8" x14ac:dyDescent="0.3">
      <c r="A246" s="295">
        <v>241</v>
      </c>
      <c r="B246" s="296" t="s">
        <v>985</v>
      </c>
      <c r="C246" s="296" t="s">
        <v>986</v>
      </c>
      <c r="D246" s="9"/>
      <c r="E246" s="9"/>
      <c r="F246" s="9"/>
      <c r="G246" s="9"/>
      <c r="H246" s="9"/>
    </row>
    <row r="247" spans="1:8" x14ac:dyDescent="0.3">
      <c r="A247" s="295">
        <v>242</v>
      </c>
      <c r="B247" s="296" t="s">
        <v>987</v>
      </c>
      <c r="C247" s="296" t="s">
        <v>988</v>
      </c>
      <c r="D247" s="9"/>
      <c r="E247" s="9"/>
      <c r="F247" s="9"/>
      <c r="G247" s="9"/>
      <c r="H247" s="9"/>
    </row>
    <row r="248" spans="1:8" x14ac:dyDescent="0.3">
      <c r="A248" s="295">
        <v>243</v>
      </c>
      <c r="B248" s="296" t="s">
        <v>1252</v>
      </c>
      <c r="C248" s="296" t="s">
        <v>1292</v>
      </c>
      <c r="D248" s="9"/>
      <c r="E248" s="9"/>
      <c r="F248" s="9"/>
      <c r="G248" s="9"/>
      <c r="H248" s="9"/>
    </row>
    <row r="249" spans="1:8" x14ac:dyDescent="0.3">
      <c r="A249" s="295">
        <v>244</v>
      </c>
      <c r="B249" s="296" t="s">
        <v>989</v>
      </c>
      <c r="C249" s="296" t="s">
        <v>990</v>
      </c>
      <c r="D249" s="9"/>
      <c r="E249" s="9"/>
      <c r="F249" s="9"/>
      <c r="G249" s="9"/>
      <c r="H249" s="9"/>
    </row>
    <row r="250" spans="1:8" x14ac:dyDescent="0.3">
      <c r="A250" s="295">
        <v>245</v>
      </c>
      <c r="B250" s="296" t="s">
        <v>991</v>
      </c>
      <c r="C250" s="296" t="s">
        <v>992</v>
      </c>
      <c r="D250" s="9"/>
      <c r="E250" s="9"/>
      <c r="F250" s="9"/>
      <c r="G250" s="9"/>
      <c r="H250" s="9"/>
    </row>
    <row r="251" spans="1:8" x14ac:dyDescent="0.3">
      <c r="A251" s="295">
        <v>246</v>
      </c>
      <c r="B251" s="296" t="s">
        <v>993</v>
      </c>
      <c r="C251" s="296" t="s">
        <v>994</v>
      </c>
      <c r="D251" s="9"/>
      <c r="E251" s="9"/>
      <c r="F251" s="9"/>
      <c r="G251" s="9"/>
      <c r="H251" s="9"/>
    </row>
    <row r="252" spans="1:8" x14ac:dyDescent="0.3">
      <c r="A252" s="295">
        <v>247</v>
      </c>
      <c r="B252" s="296" t="s">
        <v>995</v>
      </c>
      <c r="C252" s="296" t="s">
        <v>996</v>
      </c>
      <c r="D252" s="9"/>
      <c r="E252" s="9"/>
      <c r="F252" s="9"/>
      <c r="G252" s="9"/>
      <c r="H252" s="9"/>
    </row>
    <row r="253" spans="1:8" x14ac:dyDescent="0.3">
      <c r="A253" s="295">
        <v>248</v>
      </c>
      <c r="B253" s="296" t="s">
        <v>68</v>
      </c>
      <c r="C253" s="296" t="s">
        <v>67</v>
      </c>
      <c r="D253" s="9"/>
      <c r="E253" s="9"/>
      <c r="F253" s="9"/>
      <c r="G253" s="9"/>
      <c r="H253" s="9"/>
    </row>
    <row r="254" spans="1:8" x14ac:dyDescent="0.3">
      <c r="A254" s="295">
        <v>249</v>
      </c>
      <c r="B254" s="296" t="s">
        <v>997</v>
      </c>
      <c r="C254" s="296" t="s">
        <v>587</v>
      </c>
      <c r="D254" s="9"/>
      <c r="E254" s="9"/>
      <c r="F254" s="9"/>
      <c r="G254" s="9"/>
      <c r="H254" s="9"/>
    </row>
    <row r="255" spans="1:8" x14ac:dyDescent="0.3">
      <c r="A255" s="295">
        <v>250</v>
      </c>
      <c r="B255" s="296" t="s">
        <v>998</v>
      </c>
      <c r="C255" s="296" t="s">
        <v>999</v>
      </c>
      <c r="D255" s="9"/>
      <c r="E255" s="9"/>
      <c r="F255" s="9"/>
      <c r="G255" s="9"/>
      <c r="H255" s="9"/>
    </row>
    <row r="256" spans="1:8" x14ac:dyDescent="0.3">
      <c r="A256" s="295">
        <v>251</v>
      </c>
      <c r="B256" s="296" t="s">
        <v>1000</v>
      </c>
      <c r="C256" s="296" t="s">
        <v>1001</v>
      </c>
      <c r="D256" s="9"/>
      <c r="E256" s="9"/>
      <c r="F256" s="9"/>
      <c r="G256" s="9"/>
      <c r="H256" s="9"/>
    </row>
    <row r="257" spans="1:8" ht="26.4" x14ac:dyDescent="0.3">
      <c r="A257" s="295">
        <v>252</v>
      </c>
      <c r="B257" s="296" t="s">
        <v>592</v>
      </c>
      <c r="C257" s="296" t="s">
        <v>593</v>
      </c>
      <c r="D257" s="9"/>
      <c r="E257" s="9"/>
      <c r="F257" s="9"/>
      <c r="G257" s="9"/>
      <c r="H257" s="9"/>
    </row>
    <row r="258" spans="1:8" x14ac:dyDescent="0.3">
      <c r="A258" s="295">
        <v>253</v>
      </c>
      <c r="B258" s="296" t="s">
        <v>590</v>
      </c>
      <c r="C258" s="296" t="s">
        <v>591</v>
      </c>
      <c r="D258" s="9"/>
      <c r="E258" s="9"/>
      <c r="F258" s="9"/>
      <c r="G258" s="9"/>
      <c r="H258" s="9"/>
    </row>
    <row r="259" spans="1:8" x14ac:dyDescent="0.3">
      <c r="A259" s="295">
        <v>254</v>
      </c>
      <c r="B259" s="296" t="s">
        <v>1002</v>
      </c>
      <c r="C259" s="296" t="s">
        <v>532</v>
      </c>
      <c r="D259" s="9"/>
      <c r="E259" s="9"/>
      <c r="F259" s="9"/>
      <c r="G259" s="9"/>
      <c r="H259" s="9"/>
    </row>
    <row r="260" spans="1:8" x14ac:dyDescent="0.3">
      <c r="A260" s="295">
        <v>255</v>
      </c>
      <c r="B260" s="296" t="s">
        <v>1003</v>
      </c>
      <c r="C260" s="296" t="s">
        <v>1004</v>
      </c>
      <c r="D260" s="9"/>
      <c r="E260" s="9"/>
      <c r="F260" s="9"/>
      <c r="G260" s="9"/>
      <c r="H260" s="9"/>
    </row>
    <row r="261" spans="1:8" ht="26.4" x14ac:dyDescent="0.3">
      <c r="A261" s="295">
        <v>256</v>
      </c>
      <c r="B261" s="299" t="s">
        <v>1005</v>
      </c>
      <c r="C261" s="296" t="s">
        <v>1006</v>
      </c>
      <c r="D261" s="9"/>
      <c r="E261" s="9"/>
      <c r="F261" s="9"/>
      <c r="G261" s="9"/>
      <c r="H261" s="9"/>
    </row>
    <row r="262" spans="1:8" x14ac:dyDescent="0.3">
      <c r="A262" s="295">
        <v>257</v>
      </c>
      <c r="B262" s="296" t="s">
        <v>597</v>
      </c>
      <c r="C262" s="296" t="s">
        <v>598</v>
      </c>
      <c r="D262" s="9"/>
      <c r="E262" s="9"/>
      <c r="F262" s="9"/>
      <c r="G262" s="9"/>
      <c r="H262" s="9"/>
    </row>
    <row r="263" spans="1:8" x14ac:dyDescent="0.3">
      <c r="A263" s="295">
        <v>258</v>
      </c>
      <c r="B263" s="299" t="s">
        <v>1253</v>
      </c>
      <c r="C263" s="296" t="s">
        <v>1293</v>
      </c>
      <c r="D263" s="9"/>
      <c r="E263" s="9"/>
      <c r="F263" s="9"/>
      <c r="G263" s="9"/>
      <c r="H263" s="9"/>
    </row>
    <row r="264" spans="1:8" x14ac:dyDescent="0.3">
      <c r="A264" s="295">
        <v>259</v>
      </c>
      <c r="B264" s="299" t="s">
        <v>66</v>
      </c>
      <c r="C264" s="296" t="s">
        <v>65</v>
      </c>
      <c r="D264" s="9"/>
      <c r="E264" s="9"/>
      <c r="F264" s="9"/>
      <c r="G264" s="9"/>
      <c r="H264" s="9"/>
    </row>
    <row r="265" spans="1:8" x14ac:dyDescent="0.3">
      <c r="A265" s="295">
        <v>260</v>
      </c>
      <c r="B265" s="299" t="s">
        <v>1254</v>
      </c>
      <c r="C265" s="296" t="s">
        <v>1294</v>
      </c>
      <c r="D265" s="9"/>
      <c r="E265" s="9"/>
      <c r="F265" s="9"/>
      <c r="G265" s="9"/>
      <c r="H265" s="9"/>
    </row>
    <row r="266" spans="1:8" x14ac:dyDescent="0.3">
      <c r="A266" s="295">
        <v>261</v>
      </c>
      <c r="B266" s="299" t="s">
        <v>1007</v>
      </c>
      <c r="C266" s="296" t="s">
        <v>1008</v>
      </c>
      <c r="D266" s="9"/>
      <c r="E266" s="9"/>
      <c r="F266" s="9"/>
      <c r="G266" s="9"/>
      <c r="H266" s="9"/>
    </row>
    <row r="267" spans="1:8" x14ac:dyDescent="0.3">
      <c r="A267" s="295">
        <v>262</v>
      </c>
      <c r="B267" s="299" t="s">
        <v>596</v>
      </c>
      <c r="C267" s="296" t="s">
        <v>1009</v>
      </c>
      <c r="D267" s="9"/>
      <c r="E267" s="9"/>
      <c r="F267" s="9"/>
      <c r="G267" s="9"/>
      <c r="H267" s="9"/>
    </row>
    <row r="268" spans="1:8" x14ac:dyDescent="0.3">
      <c r="A268" s="295">
        <v>263</v>
      </c>
      <c r="B268" s="299" t="s">
        <v>594</v>
      </c>
      <c r="C268" s="296" t="s">
        <v>595</v>
      </c>
      <c r="D268" s="9"/>
      <c r="E268" s="9"/>
      <c r="F268" s="9"/>
      <c r="G268" s="9"/>
      <c r="H268" s="9"/>
    </row>
    <row r="269" spans="1:8" x14ac:dyDescent="0.3">
      <c r="A269" s="295">
        <v>264</v>
      </c>
      <c r="B269" s="299" t="s">
        <v>1010</v>
      </c>
      <c r="C269" s="296" t="s">
        <v>526</v>
      </c>
      <c r="D269" s="9"/>
      <c r="E269" s="9"/>
      <c r="F269" s="9"/>
      <c r="G269" s="9"/>
      <c r="H269" s="9"/>
    </row>
    <row r="270" spans="1:8" x14ac:dyDescent="0.3">
      <c r="A270" s="295">
        <v>265</v>
      </c>
      <c r="B270" s="299" t="s">
        <v>1011</v>
      </c>
      <c r="C270" s="296" t="s">
        <v>1012</v>
      </c>
      <c r="D270" s="9"/>
      <c r="E270" s="9"/>
      <c r="F270" s="9"/>
      <c r="G270" s="9"/>
      <c r="H270" s="9"/>
    </row>
    <row r="271" spans="1:8" x14ac:dyDescent="0.3">
      <c r="A271" s="295">
        <v>266</v>
      </c>
      <c r="B271" s="299" t="s">
        <v>1013</v>
      </c>
      <c r="C271" s="296" t="s">
        <v>64</v>
      </c>
      <c r="D271" s="9"/>
      <c r="E271" s="9"/>
      <c r="F271" s="9"/>
      <c r="G271" s="9"/>
      <c r="H271" s="9"/>
    </row>
    <row r="272" spans="1:8" x14ac:dyDescent="0.3">
      <c r="A272" s="295">
        <v>267</v>
      </c>
      <c r="B272" s="303" t="s">
        <v>1255</v>
      </c>
      <c r="C272" s="296"/>
      <c r="D272" s="9"/>
      <c r="E272" s="9"/>
      <c r="F272" s="9"/>
      <c r="G272" s="9"/>
      <c r="H272" s="9"/>
    </row>
    <row r="273" spans="1:8" x14ac:dyDescent="0.3">
      <c r="A273" s="295">
        <v>268</v>
      </c>
      <c r="B273" s="9" t="s">
        <v>1014</v>
      </c>
      <c r="C273" s="296" t="s">
        <v>1012</v>
      </c>
      <c r="D273" s="9"/>
      <c r="E273" s="9"/>
      <c r="F273" s="9"/>
      <c r="G273" s="9"/>
      <c r="H273" s="9"/>
    </row>
    <row r="274" spans="1:8" x14ac:dyDescent="0.3">
      <c r="A274" s="295">
        <v>269</v>
      </c>
      <c r="B274" s="299" t="s">
        <v>1015</v>
      </c>
      <c r="C274" s="296" t="s">
        <v>681</v>
      </c>
      <c r="D274" s="9"/>
      <c r="E274" s="9"/>
      <c r="F274" s="9"/>
      <c r="G274" s="9"/>
      <c r="H274" s="9"/>
    </row>
    <row r="275" spans="1:8" x14ac:dyDescent="0.3">
      <c r="A275" s="295">
        <v>270</v>
      </c>
      <c r="B275" s="304" t="s">
        <v>599</v>
      </c>
      <c r="C275" s="297" t="s">
        <v>600</v>
      </c>
      <c r="D275" s="9"/>
      <c r="E275" s="9"/>
      <c r="F275" s="9"/>
      <c r="G275" s="9"/>
      <c r="H275" s="9"/>
    </row>
    <row r="276" spans="1:8" x14ac:dyDescent="0.3">
      <c r="A276" s="295">
        <v>271</v>
      </c>
      <c r="B276" s="304" t="s">
        <v>1016</v>
      </c>
      <c r="C276" s="297" t="s">
        <v>1017</v>
      </c>
      <c r="D276" s="9"/>
      <c r="E276" s="9"/>
      <c r="F276" s="9"/>
      <c r="G276" s="9"/>
      <c r="H276" s="9"/>
    </row>
    <row r="277" spans="1:8" x14ac:dyDescent="0.3">
      <c r="A277" s="295">
        <v>272</v>
      </c>
      <c r="B277" s="299" t="s">
        <v>1018</v>
      </c>
      <c r="C277" s="296" t="s">
        <v>1019</v>
      </c>
      <c r="D277" s="9"/>
      <c r="E277" s="9"/>
      <c r="F277" s="9"/>
      <c r="G277" s="9"/>
      <c r="H277" s="9"/>
    </row>
    <row r="278" spans="1:8" x14ac:dyDescent="0.3">
      <c r="A278" s="295">
        <v>273</v>
      </c>
      <c r="B278" s="299" t="s">
        <v>1020</v>
      </c>
      <c r="C278" s="299" t="s">
        <v>1021</v>
      </c>
      <c r="D278" s="9"/>
      <c r="E278" s="9"/>
      <c r="F278" s="9"/>
      <c r="G278" s="9"/>
      <c r="H278" s="9"/>
    </row>
    <row r="279" spans="1:8" x14ac:dyDescent="0.3">
      <c r="A279" s="295">
        <v>274</v>
      </c>
      <c r="B279" s="299" t="s">
        <v>1256</v>
      </c>
      <c r="C279" s="296" t="s">
        <v>1295</v>
      </c>
      <c r="D279" s="9"/>
      <c r="E279" s="9"/>
      <c r="F279" s="9"/>
      <c r="G279" s="9"/>
      <c r="H279" s="9"/>
    </row>
    <row r="280" spans="1:8" ht="26.4" x14ac:dyDescent="0.3">
      <c r="A280" s="295">
        <v>275</v>
      </c>
      <c r="B280" s="299" t="s">
        <v>601</v>
      </c>
      <c r="C280" s="296" t="s">
        <v>602</v>
      </c>
      <c r="D280" s="9"/>
      <c r="E280" s="9"/>
      <c r="F280" s="9"/>
      <c r="G280" s="9"/>
      <c r="H280" s="9"/>
    </row>
    <row r="281" spans="1:8" x14ac:dyDescent="0.3">
      <c r="A281" s="295">
        <v>276</v>
      </c>
      <c r="B281" s="299" t="s">
        <v>1022</v>
      </c>
      <c r="C281" s="296" t="s">
        <v>1023</v>
      </c>
      <c r="D281" s="9"/>
      <c r="E281" s="9"/>
      <c r="F281" s="9"/>
      <c r="G281" s="9"/>
      <c r="H281" s="9"/>
    </row>
    <row r="282" spans="1:8" x14ac:dyDescent="0.3">
      <c r="A282" s="295">
        <v>277</v>
      </c>
      <c r="B282" s="299" t="s">
        <v>605</v>
      </c>
      <c r="C282" s="296" t="s">
        <v>606</v>
      </c>
      <c r="D282" s="9"/>
      <c r="E282" s="9"/>
      <c r="F282" s="9"/>
      <c r="G282" s="9"/>
      <c r="H282" s="9"/>
    </row>
    <row r="283" spans="1:8" x14ac:dyDescent="0.3">
      <c r="A283" s="295">
        <v>278</v>
      </c>
      <c r="B283" s="299" t="s">
        <v>603</v>
      </c>
      <c r="C283" s="305" t="s">
        <v>604</v>
      </c>
      <c r="D283" s="9"/>
      <c r="E283" s="9"/>
      <c r="F283" s="9"/>
      <c r="G283" s="9"/>
      <c r="H283" s="9"/>
    </row>
    <row r="284" spans="1:8" x14ac:dyDescent="0.3">
      <c r="A284" s="295">
        <v>279</v>
      </c>
      <c r="B284" s="299" t="s">
        <v>1257</v>
      </c>
      <c r="C284" s="305" t="s">
        <v>1296</v>
      </c>
      <c r="D284" s="9"/>
      <c r="E284" s="9"/>
      <c r="F284" s="9"/>
      <c r="G284" s="9"/>
      <c r="H284" s="9"/>
    </row>
    <row r="285" spans="1:8" ht="26.4" x14ac:dyDescent="0.3">
      <c r="A285" s="295">
        <v>280</v>
      </c>
      <c r="B285" s="296" t="s">
        <v>1258</v>
      </c>
      <c r="C285" s="296" t="s">
        <v>1297</v>
      </c>
      <c r="D285" s="9"/>
      <c r="E285" s="9"/>
      <c r="F285" s="9"/>
      <c r="G285" s="9"/>
      <c r="H285" s="9"/>
    </row>
    <row r="286" spans="1:8" x14ac:dyDescent="0.3">
      <c r="A286" s="295">
        <v>281</v>
      </c>
      <c r="B286" s="299" t="s">
        <v>1024</v>
      </c>
      <c r="C286" s="296" t="s">
        <v>1025</v>
      </c>
      <c r="D286" s="9"/>
      <c r="E286" s="9"/>
      <c r="F286" s="9"/>
      <c r="G286" s="9"/>
      <c r="H286" s="9"/>
    </row>
    <row r="287" spans="1:8" x14ac:dyDescent="0.3">
      <c r="A287" s="295">
        <v>282</v>
      </c>
      <c r="B287" s="299" t="s">
        <v>1259</v>
      </c>
      <c r="C287" s="296" t="s">
        <v>1298</v>
      </c>
      <c r="D287" s="9"/>
      <c r="E287" s="9"/>
      <c r="F287" s="9"/>
      <c r="G287" s="9"/>
      <c r="H287" s="9"/>
    </row>
    <row r="288" spans="1:8" x14ac:dyDescent="0.3">
      <c r="A288" s="295">
        <v>283</v>
      </c>
      <c r="B288" s="299" t="s">
        <v>1026</v>
      </c>
      <c r="C288" s="296" t="s">
        <v>607</v>
      </c>
      <c r="D288" s="9"/>
      <c r="E288" s="9"/>
      <c r="F288" s="9"/>
      <c r="G288" s="9"/>
      <c r="H288" s="9"/>
    </row>
    <row r="289" spans="1:8" x14ac:dyDescent="0.3">
      <c r="A289" s="295">
        <v>284</v>
      </c>
      <c r="B289" s="299" t="s">
        <v>1027</v>
      </c>
      <c r="C289" s="296" t="s">
        <v>1028</v>
      </c>
      <c r="D289" s="9"/>
      <c r="E289" s="9"/>
      <c r="F289" s="9"/>
      <c r="G289" s="9"/>
      <c r="H289" s="9"/>
    </row>
    <row r="290" spans="1:8" x14ac:dyDescent="0.3">
      <c r="A290" s="295">
        <v>285</v>
      </c>
      <c r="B290" s="299" t="s">
        <v>1029</v>
      </c>
      <c r="C290" s="296" t="s">
        <v>63</v>
      </c>
      <c r="D290" s="9"/>
      <c r="E290" s="9"/>
      <c r="F290" s="9"/>
      <c r="G290" s="9"/>
      <c r="H290" s="9"/>
    </row>
    <row r="291" spans="1:8" x14ac:dyDescent="0.3">
      <c r="A291" s="295">
        <v>286</v>
      </c>
      <c r="B291" s="299" t="s">
        <v>1030</v>
      </c>
      <c r="C291" s="296" t="s">
        <v>61</v>
      </c>
      <c r="D291" s="9"/>
      <c r="E291" s="9"/>
      <c r="F291" s="9"/>
      <c r="G291" s="9"/>
      <c r="H291" s="9"/>
    </row>
    <row r="292" spans="1:8" x14ac:dyDescent="0.3">
      <c r="A292" s="295">
        <v>287</v>
      </c>
      <c r="B292" s="299" t="s">
        <v>62</v>
      </c>
      <c r="C292" s="296" t="s">
        <v>1031</v>
      </c>
      <c r="D292" s="9"/>
      <c r="E292" s="9"/>
      <c r="F292" s="9"/>
      <c r="G292" s="9"/>
      <c r="H292" s="9"/>
    </row>
    <row r="293" spans="1:8" x14ac:dyDescent="0.3">
      <c r="A293" s="295">
        <v>288</v>
      </c>
      <c r="B293" s="299" t="s">
        <v>1032</v>
      </c>
      <c r="C293" s="296" t="s">
        <v>1033</v>
      </c>
      <c r="D293" s="9"/>
      <c r="E293" s="9"/>
      <c r="F293" s="9"/>
      <c r="G293" s="9"/>
      <c r="H293" s="9"/>
    </row>
    <row r="294" spans="1:8" x14ac:dyDescent="0.3">
      <c r="A294" s="295">
        <v>289</v>
      </c>
      <c r="B294" s="296" t="s">
        <v>1034</v>
      </c>
      <c r="C294" s="296" t="s">
        <v>1035</v>
      </c>
      <c r="D294" s="9"/>
      <c r="E294" s="9"/>
      <c r="F294" s="9"/>
      <c r="G294" s="9"/>
      <c r="H294" s="9"/>
    </row>
    <row r="295" spans="1:8" x14ac:dyDescent="0.3">
      <c r="A295" s="295">
        <v>290</v>
      </c>
      <c r="B295" s="299" t="s">
        <v>1036</v>
      </c>
      <c r="C295" s="296" t="s">
        <v>1037</v>
      </c>
      <c r="D295" s="9"/>
      <c r="E295" s="9"/>
      <c r="F295" s="9"/>
      <c r="G295" s="9"/>
      <c r="H295" s="9"/>
    </row>
    <row r="296" spans="1:8" ht="26.4" x14ac:dyDescent="0.3">
      <c r="A296" s="295">
        <v>291</v>
      </c>
      <c r="B296" s="299" t="s">
        <v>1038</v>
      </c>
      <c r="C296" s="296" t="s">
        <v>1039</v>
      </c>
      <c r="D296" s="9"/>
      <c r="E296" s="9"/>
      <c r="F296" s="9"/>
      <c r="G296" s="9"/>
      <c r="H296" s="9"/>
    </row>
    <row r="297" spans="1:8" x14ac:dyDescent="0.3">
      <c r="A297" s="295">
        <v>292</v>
      </c>
      <c r="B297" s="299" t="s">
        <v>1040</v>
      </c>
      <c r="C297" s="296" t="s">
        <v>1041</v>
      </c>
      <c r="D297" s="9"/>
      <c r="E297" s="9"/>
      <c r="F297" s="9"/>
      <c r="G297" s="9"/>
      <c r="H297" s="9"/>
    </row>
    <row r="298" spans="1:8" x14ac:dyDescent="0.3">
      <c r="A298" s="295">
        <v>293</v>
      </c>
      <c r="B298" s="299" t="s">
        <v>1260</v>
      </c>
      <c r="C298" s="296" t="s">
        <v>1299</v>
      </c>
      <c r="D298" s="9"/>
      <c r="E298" s="9"/>
      <c r="F298" s="9"/>
      <c r="G298" s="9"/>
      <c r="H298" s="9"/>
    </row>
    <row r="299" spans="1:8" x14ac:dyDescent="0.3">
      <c r="A299" s="295">
        <v>294</v>
      </c>
      <c r="B299" s="299" t="s">
        <v>1042</v>
      </c>
      <c r="C299" s="296" t="s">
        <v>1043</v>
      </c>
      <c r="D299" s="9"/>
      <c r="E299" s="9"/>
      <c r="F299" s="9"/>
      <c r="G299" s="9"/>
      <c r="H299" s="9"/>
    </row>
    <row r="300" spans="1:8" x14ac:dyDescent="0.3">
      <c r="A300" s="295">
        <v>295</v>
      </c>
      <c r="B300" s="299" t="s">
        <v>1044</v>
      </c>
      <c r="C300" s="296" t="s">
        <v>59</v>
      </c>
      <c r="D300" s="9"/>
      <c r="E300" s="9"/>
      <c r="F300" s="9"/>
      <c r="G300" s="9"/>
      <c r="H300" s="9"/>
    </row>
    <row r="301" spans="1:8" x14ac:dyDescent="0.3">
      <c r="A301" s="295">
        <v>296</v>
      </c>
      <c r="B301" s="299" t="s">
        <v>1045</v>
      </c>
      <c r="C301" s="296" t="s">
        <v>1046</v>
      </c>
      <c r="D301" s="9"/>
      <c r="E301" s="9"/>
      <c r="F301" s="9"/>
      <c r="G301" s="9"/>
      <c r="H301" s="9"/>
    </row>
    <row r="302" spans="1:8" x14ac:dyDescent="0.3">
      <c r="A302" s="295">
        <v>297</v>
      </c>
      <c r="B302" s="299" t="s">
        <v>1047</v>
      </c>
      <c r="C302" s="296" t="s">
        <v>1048</v>
      </c>
      <c r="D302" s="9"/>
      <c r="E302" s="9"/>
      <c r="F302" s="9"/>
      <c r="G302" s="9"/>
      <c r="H302" s="9"/>
    </row>
    <row r="303" spans="1:8" x14ac:dyDescent="0.3">
      <c r="A303" s="295">
        <v>298</v>
      </c>
      <c r="B303" s="299" t="s">
        <v>1049</v>
      </c>
      <c r="C303" s="296" t="s">
        <v>1050</v>
      </c>
      <c r="D303" s="9"/>
      <c r="E303" s="9"/>
      <c r="F303" s="9"/>
      <c r="G303" s="9"/>
      <c r="H303" s="9"/>
    </row>
    <row r="304" spans="1:8" x14ac:dyDescent="0.3">
      <c r="A304" s="295">
        <v>299</v>
      </c>
      <c r="B304" s="299" t="s">
        <v>1051</v>
      </c>
      <c r="C304" s="296" t="s">
        <v>610</v>
      </c>
      <c r="D304" s="9"/>
      <c r="E304" s="9"/>
      <c r="F304" s="9"/>
      <c r="G304" s="9"/>
      <c r="H304" s="9"/>
    </row>
    <row r="305" spans="1:8" x14ac:dyDescent="0.3">
      <c r="A305" s="295">
        <v>300</v>
      </c>
      <c r="B305" s="299" t="s">
        <v>608</v>
      </c>
      <c r="C305" s="296" t="s">
        <v>58</v>
      </c>
      <c r="D305" s="9"/>
      <c r="E305" s="9"/>
      <c r="F305" s="9"/>
      <c r="G305" s="9"/>
      <c r="H305" s="9"/>
    </row>
    <row r="306" spans="1:8" x14ac:dyDescent="0.3">
      <c r="A306" s="295">
        <v>301</v>
      </c>
      <c r="B306" s="299" t="s">
        <v>609</v>
      </c>
      <c r="C306" s="296" t="s">
        <v>1052</v>
      </c>
      <c r="D306" s="9"/>
      <c r="E306" s="9"/>
      <c r="F306" s="9"/>
      <c r="G306" s="9"/>
      <c r="H306" s="9"/>
    </row>
    <row r="307" spans="1:8" x14ac:dyDescent="0.3">
      <c r="A307" s="295">
        <v>302</v>
      </c>
      <c r="B307" s="296" t="s">
        <v>1053</v>
      </c>
      <c r="C307" s="297" t="s">
        <v>1054</v>
      </c>
      <c r="D307" s="9"/>
      <c r="E307" s="9"/>
      <c r="F307" s="9"/>
      <c r="G307" s="9"/>
      <c r="H307" s="9"/>
    </row>
    <row r="308" spans="1:8" x14ac:dyDescent="0.3">
      <c r="A308" s="295">
        <v>303</v>
      </c>
      <c r="B308" s="299" t="s">
        <v>1055</v>
      </c>
      <c r="C308" s="296" t="s">
        <v>1056</v>
      </c>
      <c r="D308" s="9"/>
      <c r="E308" s="9"/>
      <c r="F308" s="9"/>
      <c r="G308" s="9"/>
      <c r="H308" s="9"/>
    </row>
    <row r="309" spans="1:8" x14ac:dyDescent="0.3">
      <c r="A309" s="295">
        <v>304</v>
      </c>
      <c r="B309" s="299" t="s">
        <v>1261</v>
      </c>
      <c r="C309" s="296" t="s">
        <v>681</v>
      </c>
      <c r="D309" s="9"/>
      <c r="E309" s="9"/>
      <c r="F309" s="9"/>
      <c r="G309" s="9"/>
      <c r="H309" s="9"/>
    </row>
    <row r="310" spans="1:8" x14ac:dyDescent="0.3">
      <c r="A310" s="295">
        <v>305</v>
      </c>
      <c r="B310" s="299" t="s">
        <v>1057</v>
      </c>
      <c r="C310" s="296" t="s">
        <v>572</v>
      </c>
      <c r="D310" s="9"/>
      <c r="E310" s="9"/>
      <c r="F310" s="9"/>
      <c r="G310" s="9"/>
      <c r="H310" s="9"/>
    </row>
    <row r="311" spans="1:8" x14ac:dyDescent="0.3">
      <c r="A311" s="295">
        <v>306</v>
      </c>
      <c r="B311" s="299" t="s">
        <v>1058</v>
      </c>
      <c r="C311" s="296" t="s">
        <v>57</v>
      </c>
      <c r="D311" s="9"/>
      <c r="E311" s="9"/>
      <c r="F311" s="9"/>
      <c r="G311" s="9"/>
      <c r="H311" s="9"/>
    </row>
    <row r="312" spans="1:8" x14ac:dyDescent="0.3">
      <c r="A312" s="295">
        <v>307</v>
      </c>
      <c r="B312" s="299" t="s">
        <v>1059</v>
      </c>
      <c r="C312" s="296" t="s">
        <v>1060</v>
      </c>
      <c r="D312" s="9"/>
      <c r="E312" s="9"/>
      <c r="F312" s="9"/>
      <c r="G312" s="9"/>
      <c r="H312" s="9"/>
    </row>
    <row r="313" spans="1:8" x14ac:dyDescent="0.3">
      <c r="A313" s="295">
        <v>308</v>
      </c>
      <c r="B313" s="299" t="s">
        <v>1061</v>
      </c>
      <c r="C313" s="296" t="s">
        <v>1062</v>
      </c>
      <c r="D313" s="9"/>
      <c r="E313" s="9"/>
      <c r="F313" s="9"/>
      <c r="G313" s="9"/>
      <c r="H313" s="9"/>
    </row>
    <row r="314" spans="1:8" x14ac:dyDescent="0.3">
      <c r="A314" s="295">
        <v>309</v>
      </c>
      <c r="B314" s="299" t="s">
        <v>1262</v>
      </c>
      <c r="C314" s="296" t="s">
        <v>1300</v>
      </c>
      <c r="D314" s="9"/>
      <c r="E314" s="9"/>
      <c r="F314" s="9"/>
      <c r="G314" s="9"/>
      <c r="H314" s="9"/>
    </row>
    <row r="315" spans="1:8" x14ac:dyDescent="0.3">
      <c r="A315" s="295">
        <v>310</v>
      </c>
      <c r="B315" s="299" t="s">
        <v>616</v>
      </c>
      <c r="C315" s="296" t="s">
        <v>617</v>
      </c>
      <c r="D315" s="9"/>
      <c r="E315" s="9"/>
      <c r="F315" s="9"/>
      <c r="G315" s="9"/>
      <c r="H315" s="9"/>
    </row>
    <row r="316" spans="1:8" x14ac:dyDescent="0.3">
      <c r="A316" s="295">
        <v>311</v>
      </c>
      <c r="B316" s="299" t="s">
        <v>1063</v>
      </c>
      <c r="C316" s="296" t="s">
        <v>1064</v>
      </c>
      <c r="D316" s="9"/>
      <c r="E316" s="9"/>
      <c r="F316" s="9"/>
      <c r="G316" s="9"/>
      <c r="H316" s="9"/>
    </row>
    <row r="317" spans="1:8" x14ac:dyDescent="0.3">
      <c r="A317" s="295">
        <v>312</v>
      </c>
      <c r="B317" s="299" t="s">
        <v>1065</v>
      </c>
      <c r="C317" s="296" t="s">
        <v>1066</v>
      </c>
      <c r="D317" s="9"/>
      <c r="E317" s="9"/>
      <c r="F317" s="9"/>
      <c r="G317" s="9"/>
      <c r="H317" s="9"/>
    </row>
    <row r="318" spans="1:8" x14ac:dyDescent="0.3">
      <c r="A318" s="295">
        <v>313</v>
      </c>
      <c r="B318" s="299" t="s">
        <v>1067</v>
      </c>
      <c r="C318" s="296" t="s">
        <v>1068</v>
      </c>
      <c r="D318" s="9"/>
      <c r="E318" s="9"/>
      <c r="F318" s="9"/>
      <c r="G318" s="9"/>
      <c r="H318" s="9"/>
    </row>
    <row r="319" spans="1:8" x14ac:dyDescent="0.3">
      <c r="A319" s="295">
        <v>314</v>
      </c>
      <c r="B319" s="299" t="s">
        <v>1069</v>
      </c>
      <c r="C319" s="296" t="s">
        <v>1070</v>
      </c>
      <c r="D319" s="9"/>
      <c r="E319" s="9"/>
      <c r="F319" s="9"/>
      <c r="G319" s="9"/>
      <c r="H319" s="9"/>
    </row>
    <row r="320" spans="1:8" x14ac:dyDescent="0.3">
      <c r="A320" s="295">
        <v>315</v>
      </c>
      <c r="B320" s="299" t="s">
        <v>1071</v>
      </c>
      <c r="C320" s="296" t="s">
        <v>614</v>
      </c>
      <c r="D320" s="9"/>
      <c r="E320" s="9"/>
      <c r="F320" s="9"/>
      <c r="G320" s="9"/>
      <c r="H320" s="9"/>
    </row>
    <row r="321" spans="1:8" x14ac:dyDescent="0.3">
      <c r="A321" s="295">
        <v>316</v>
      </c>
      <c r="B321" s="299" t="s">
        <v>1072</v>
      </c>
      <c r="C321" s="296" t="s">
        <v>1073</v>
      </c>
      <c r="D321" s="9"/>
      <c r="E321" s="9"/>
      <c r="F321" s="9"/>
      <c r="G321" s="9"/>
      <c r="H321" s="9"/>
    </row>
    <row r="322" spans="1:8" x14ac:dyDescent="0.3">
      <c r="A322" s="295">
        <v>317</v>
      </c>
      <c r="B322" s="299" t="s">
        <v>1074</v>
      </c>
      <c r="C322" s="296" t="s">
        <v>613</v>
      </c>
      <c r="D322" s="9"/>
      <c r="E322" s="9"/>
      <c r="F322" s="9"/>
      <c r="G322" s="9"/>
      <c r="H322" s="9"/>
    </row>
    <row r="323" spans="1:8" x14ac:dyDescent="0.3">
      <c r="A323" s="295">
        <v>318</v>
      </c>
      <c r="B323" s="299" t="s">
        <v>1075</v>
      </c>
      <c r="C323" s="296" t="s">
        <v>909</v>
      </c>
      <c r="D323" s="9"/>
      <c r="E323" s="9"/>
      <c r="F323" s="9"/>
      <c r="G323" s="9"/>
      <c r="H323" s="9"/>
    </row>
    <row r="324" spans="1:8" x14ac:dyDescent="0.3">
      <c r="A324" s="295">
        <v>319</v>
      </c>
      <c r="B324" s="299" t="s">
        <v>1076</v>
      </c>
      <c r="C324" s="296" t="s">
        <v>1077</v>
      </c>
      <c r="D324" s="9"/>
      <c r="E324" s="9"/>
      <c r="F324" s="9"/>
      <c r="G324" s="9"/>
      <c r="H324" s="9"/>
    </row>
    <row r="325" spans="1:8" x14ac:dyDescent="0.3">
      <c r="A325" s="295">
        <v>320</v>
      </c>
      <c r="B325" s="299" t="s">
        <v>611</v>
      </c>
      <c r="C325" s="296" t="s">
        <v>612</v>
      </c>
      <c r="D325" s="9"/>
      <c r="E325" s="9"/>
      <c r="F325" s="9"/>
      <c r="G325" s="9"/>
      <c r="H325" s="9"/>
    </row>
    <row r="326" spans="1:8" x14ac:dyDescent="0.3">
      <c r="A326" s="295">
        <v>321</v>
      </c>
      <c r="B326" s="299" t="s">
        <v>1263</v>
      </c>
      <c r="C326" s="296" t="s">
        <v>1301</v>
      </c>
      <c r="D326" s="9"/>
      <c r="E326" s="9"/>
      <c r="F326" s="9"/>
      <c r="G326" s="9"/>
      <c r="H326" s="9"/>
    </row>
    <row r="327" spans="1:8" x14ac:dyDescent="0.3">
      <c r="A327" s="295">
        <v>322</v>
      </c>
      <c r="B327" s="299" t="s">
        <v>1078</v>
      </c>
      <c r="C327" s="296" t="s">
        <v>1079</v>
      </c>
      <c r="D327" s="9"/>
      <c r="E327" s="9"/>
      <c r="F327" s="9"/>
      <c r="G327" s="9"/>
      <c r="H327" s="9"/>
    </row>
    <row r="328" spans="1:8" x14ac:dyDescent="0.3">
      <c r="A328" s="295">
        <v>323</v>
      </c>
      <c r="B328" s="299" t="s">
        <v>1080</v>
      </c>
      <c r="C328" s="296" t="s">
        <v>1081</v>
      </c>
      <c r="D328" s="9"/>
      <c r="E328" s="9"/>
      <c r="F328" s="9"/>
      <c r="G328" s="9"/>
      <c r="H328" s="9"/>
    </row>
    <row r="329" spans="1:8" x14ac:dyDescent="0.3">
      <c r="A329" s="295">
        <v>324</v>
      </c>
      <c r="B329" s="299" t="s">
        <v>1082</v>
      </c>
      <c r="C329" s="296" t="s">
        <v>1083</v>
      </c>
      <c r="D329" s="9"/>
      <c r="E329" s="9"/>
      <c r="F329" s="9"/>
      <c r="G329" s="9"/>
      <c r="H329" s="9"/>
    </row>
    <row r="330" spans="1:8" x14ac:dyDescent="0.3">
      <c r="A330" s="295">
        <v>325</v>
      </c>
      <c r="B330" s="299" t="s">
        <v>1084</v>
      </c>
      <c r="C330" s="296" t="s">
        <v>615</v>
      </c>
      <c r="D330" s="9"/>
      <c r="E330" s="9"/>
      <c r="F330" s="9"/>
      <c r="G330" s="9"/>
      <c r="H330" s="9"/>
    </row>
    <row r="331" spans="1:8" x14ac:dyDescent="0.3">
      <c r="A331" s="295">
        <v>326</v>
      </c>
      <c r="B331" s="299" t="s">
        <v>1085</v>
      </c>
      <c r="C331" s="296" t="s">
        <v>56</v>
      </c>
      <c r="D331" s="9"/>
      <c r="E331" s="9"/>
      <c r="F331" s="9"/>
      <c r="G331" s="9"/>
      <c r="H331" s="9"/>
    </row>
    <row r="332" spans="1:8" x14ac:dyDescent="0.3">
      <c r="A332" s="295">
        <v>327</v>
      </c>
      <c r="B332" s="299" t="s">
        <v>1086</v>
      </c>
      <c r="C332" s="296" t="s">
        <v>1087</v>
      </c>
    </row>
    <row r="333" spans="1:8" x14ac:dyDescent="0.3">
      <c r="A333" s="295">
        <v>328</v>
      </c>
      <c r="B333" s="299" t="s">
        <v>1088</v>
      </c>
      <c r="C333" s="296" t="s">
        <v>618</v>
      </c>
    </row>
    <row r="334" spans="1:8" ht="26.4" x14ac:dyDescent="0.3">
      <c r="A334" s="295">
        <v>329</v>
      </c>
      <c r="B334" s="299" t="s">
        <v>1089</v>
      </c>
      <c r="C334" s="296" t="s">
        <v>1090</v>
      </c>
    </row>
    <row r="335" spans="1:8" x14ac:dyDescent="0.3">
      <c r="A335" s="295">
        <v>330</v>
      </c>
      <c r="B335" s="296" t="s">
        <v>1264</v>
      </c>
      <c r="C335" s="296" t="s">
        <v>1302</v>
      </c>
    </row>
    <row r="336" spans="1:8" x14ac:dyDescent="0.3">
      <c r="A336" s="295">
        <v>331</v>
      </c>
      <c r="B336" s="296" t="s">
        <v>1091</v>
      </c>
      <c r="C336" s="296" t="s">
        <v>1092</v>
      </c>
    </row>
    <row r="337" spans="1:3" x14ac:dyDescent="0.3">
      <c r="A337" s="295">
        <v>332</v>
      </c>
      <c r="B337" s="296" t="s">
        <v>619</v>
      </c>
      <c r="C337" s="296" t="s">
        <v>1093</v>
      </c>
    </row>
    <row r="338" spans="1:3" x14ac:dyDescent="0.3">
      <c r="A338" s="295">
        <v>333</v>
      </c>
      <c r="B338" s="299" t="s">
        <v>1094</v>
      </c>
      <c r="C338" s="296" t="s">
        <v>620</v>
      </c>
    </row>
    <row r="339" spans="1:3" x14ac:dyDescent="0.3">
      <c r="A339" s="295">
        <v>334</v>
      </c>
      <c r="B339" s="299" t="s">
        <v>1095</v>
      </c>
      <c r="C339" s="296" t="s">
        <v>55</v>
      </c>
    </row>
    <row r="340" spans="1:3" x14ac:dyDescent="0.3">
      <c r="A340" s="295">
        <v>335</v>
      </c>
      <c r="B340" s="299" t="s">
        <v>1096</v>
      </c>
      <c r="C340" s="296" t="s">
        <v>613</v>
      </c>
    </row>
    <row r="341" spans="1:3" x14ac:dyDescent="0.3">
      <c r="A341" s="295">
        <v>336</v>
      </c>
      <c r="B341" s="299" t="s">
        <v>1097</v>
      </c>
      <c r="C341" s="296" t="s">
        <v>1098</v>
      </c>
    </row>
    <row r="342" spans="1:3" x14ac:dyDescent="0.3">
      <c r="A342" s="295">
        <v>337</v>
      </c>
      <c r="B342" s="299" t="s">
        <v>1099</v>
      </c>
      <c r="C342" s="296" t="s">
        <v>1100</v>
      </c>
    </row>
    <row r="343" spans="1:3" x14ac:dyDescent="0.3">
      <c r="A343" s="295">
        <v>338</v>
      </c>
      <c r="B343" s="299" t="s">
        <v>1265</v>
      </c>
      <c r="C343" s="296" t="s">
        <v>1100</v>
      </c>
    </row>
    <row r="344" spans="1:3" x14ac:dyDescent="0.3">
      <c r="A344" s="295">
        <v>339</v>
      </c>
      <c r="B344" s="299" t="s">
        <v>1101</v>
      </c>
      <c r="C344" s="296" t="s">
        <v>1102</v>
      </c>
    </row>
    <row r="345" spans="1:3" x14ac:dyDescent="0.3">
      <c r="A345" s="295">
        <v>340</v>
      </c>
      <c r="B345" s="299" t="s">
        <v>1103</v>
      </c>
      <c r="C345" s="296" t="s">
        <v>1104</v>
      </c>
    </row>
    <row r="346" spans="1:3" ht="26.4" x14ac:dyDescent="0.3">
      <c r="A346" s="295">
        <v>341</v>
      </c>
      <c r="B346" s="299" t="s">
        <v>1105</v>
      </c>
      <c r="C346" s="296" t="s">
        <v>1106</v>
      </c>
    </row>
    <row r="347" spans="1:3" x14ac:dyDescent="0.3">
      <c r="A347" s="295">
        <v>342</v>
      </c>
      <c r="B347" s="299" t="s">
        <v>1107</v>
      </c>
      <c r="C347" s="296" t="s">
        <v>1108</v>
      </c>
    </row>
    <row r="348" spans="1:3" x14ac:dyDescent="0.3">
      <c r="A348" s="295">
        <v>343</v>
      </c>
      <c r="B348" s="299" t="s">
        <v>1109</v>
      </c>
      <c r="C348" s="296" t="s">
        <v>60</v>
      </c>
    </row>
    <row r="349" spans="1:3" x14ac:dyDescent="0.3">
      <c r="A349" s="295">
        <v>344</v>
      </c>
      <c r="B349" s="299" t="s">
        <v>1110</v>
      </c>
      <c r="C349" s="296" t="s">
        <v>550</v>
      </c>
    </row>
    <row r="350" spans="1:3" x14ac:dyDescent="0.3">
      <c r="A350" s="295">
        <v>345</v>
      </c>
      <c r="B350" s="299" t="s">
        <v>1111</v>
      </c>
      <c r="C350" s="296" t="s">
        <v>621</v>
      </c>
    </row>
    <row r="351" spans="1:3" x14ac:dyDescent="0.3">
      <c r="A351" s="295">
        <v>346</v>
      </c>
      <c r="B351" s="299" t="s">
        <v>1112</v>
      </c>
      <c r="C351" s="296" t="s">
        <v>1113</v>
      </c>
    </row>
    <row r="352" spans="1:3" ht="26.4" x14ac:dyDescent="0.3">
      <c r="A352" s="295">
        <v>347</v>
      </c>
      <c r="B352" s="299" t="s">
        <v>1114</v>
      </c>
      <c r="C352" s="296" t="s">
        <v>623</v>
      </c>
    </row>
    <row r="353" spans="1:3" x14ac:dyDescent="0.3">
      <c r="A353" s="295">
        <v>348</v>
      </c>
      <c r="B353" s="299" t="s">
        <v>1115</v>
      </c>
      <c r="C353" s="296" t="s">
        <v>1116</v>
      </c>
    </row>
    <row r="354" spans="1:3" x14ac:dyDescent="0.3">
      <c r="A354" s="295">
        <v>349</v>
      </c>
      <c r="B354" s="299" t="s">
        <v>1117</v>
      </c>
      <c r="C354" s="296" t="s">
        <v>622</v>
      </c>
    </row>
    <row r="355" spans="1:3" x14ac:dyDescent="0.3">
      <c r="A355" s="295">
        <v>350</v>
      </c>
      <c r="B355" s="299" t="s">
        <v>1118</v>
      </c>
      <c r="C355" s="296" t="s">
        <v>1119</v>
      </c>
    </row>
    <row r="356" spans="1:3" x14ac:dyDescent="0.3">
      <c r="A356" s="295">
        <v>351</v>
      </c>
      <c r="B356" s="299" t="s">
        <v>1120</v>
      </c>
      <c r="C356" s="296" t="s">
        <v>1121</v>
      </c>
    </row>
    <row r="357" spans="1:3" x14ac:dyDescent="0.3">
      <c r="A357" s="295">
        <v>352</v>
      </c>
      <c r="B357" s="299" t="s">
        <v>1122</v>
      </c>
      <c r="C357" s="296" t="s">
        <v>626</v>
      </c>
    </row>
    <row r="358" spans="1:3" x14ac:dyDescent="0.3">
      <c r="A358" s="295">
        <v>353</v>
      </c>
      <c r="B358" s="299" t="s">
        <v>1123</v>
      </c>
      <c r="C358" s="296" t="s">
        <v>1124</v>
      </c>
    </row>
    <row r="359" spans="1:3" x14ac:dyDescent="0.3">
      <c r="A359" s="295">
        <v>354</v>
      </c>
      <c r="B359" s="299" t="s">
        <v>1125</v>
      </c>
      <c r="C359" s="299" t="s">
        <v>1126</v>
      </c>
    </row>
    <row r="360" spans="1:3" x14ac:dyDescent="0.3">
      <c r="A360" s="295">
        <v>355</v>
      </c>
      <c r="B360" s="299" t="s">
        <v>624</v>
      </c>
      <c r="C360" s="299" t="s">
        <v>625</v>
      </c>
    </row>
    <row r="361" spans="1:3" x14ac:dyDescent="0.3">
      <c r="A361" s="295">
        <v>356</v>
      </c>
      <c r="B361" s="299" t="s">
        <v>1127</v>
      </c>
      <c r="C361" s="299" t="s">
        <v>1128</v>
      </c>
    </row>
    <row r="362" spans="1:3" x14ac:dyDescent="0.3">
      <c r="A362" s="295">
        <v>357</v>
      </c>
      <c r="B362" s="299" t="s">
        <v>1129</v>
      </c>
      <c r="C362" s="299" t="s">
        <v>1130</v>
      </c>
    </row>
    <row r="363" spans="1:3" x14ac:dyDescent="0.3">
      <c r="A363" s="295">
        <v>358</v>
      </c>
      <c r="B363" s="299" t="s">
        <v>1266</v>
      </c>
      <c r="C363" s="299" t="s">
        <v>1303</v>
      </c>
    </row>
    <row r="364" spans="1:3" x14ac:dyDescent="0.3">
      <c r="A364" s="295">
        <v>359</v>
      </c>
      <c r="B364" s="299" t="s">
        <v>629</v>
      </c>
      <c r="C364" s="299" t="s">
        <v>630</v>
      </c>
    </row>
    <row r="365" spans="1:3" x14ac:dyDescent="0.3">
      <c r="A365" s="295">
        <v>360</v>
      </c>
      <c r="B365" s="299" t="s">
        <v>1131</v>
      </c>
      <c r="C365" s="299" t="s">
        <v>85</v>
      </c>
    </row>
    <row r="366" spans="1:3" x14ac:dyDescent="0.3">
      <c r="A366" s="295">
        <v>361</v>
      </c>
      <c r="B366" s="299" t="s">
        <v>1132</v>
      </c>
      <c r="C366" s="299" t="s">
        <v>1133</v>
      </c>
    </row>
    <row r="367" spans="1:3" x14ac:dyDescent="0.3">
      <c r="A367" s="295">
        <v>362</v>
      </c>
      <c r="B367" s="299" t="s">
        <v>627</v>
      </c>
      <c r="C367" s="299" t="s">
        <v>53</v>
      </c>
    </row>
    <row r="368" spans="1:3" x14ac:dyDescent="0.3">
      <c r="A368" s="295">
        <v>363</v>
      </c>
      <c r="B368" s="299" t="s">
        <v>1134</v>
      </c>
      <c r="C368" s="299" t="s">
        <v>628</v>
      </c>
    </row>
    <row r="369" spans="1:3" ht="26.4" x14ac:dyDescent="0.3">
      <c r="A369" s="295">
        <v>364</v>
      </c>
      <c r="B369" s="299" t="s">
        <v>1135</v>
      </c>
      <c r="C369" s="299" t="s">
        <v>1136</v>
      </c>
    </row>
    <row r="370" spans="1:3" x14ac:dyDescent="0.3">
      <c r="A370" s="295">
        <v>365</v>
      </c>
      <c r="B370" s="2" t="s">
        <v>1137</v>
      </c>
      <c r="C370" s="2" t="s">
        <v>637</v>
      </c>
    </row>
    <row r="371" spans="1:3" x14ac:dyDescent="0.3">
      <c r="A371" s="295"/>
      <c r="B371" s="296" t="s">
        <v>1138</v>
      </c>
      <c r="C371" s="296" t="s">
        <v>1139</v>
      </c>
    </row>
    <row r="372" spans="1:3" x14ac:dyDescent="0.3">
      <c r="A372" s="295"/>
      <c r="B372" s="296" t="s">
        <v>1140</v>
      </c>
      <c r="C372" s="296" t="s">
        <v>634</v>
      </c>
    </row>
    <row r="373" spans="1:3" x14ac:dyDescent="0.3">
      <c r="A373" s="295"/>
      <c r="B373" s="296" t="s">
        <v>633</v>
      </c>
      <c r="C373" s="296" t="s">
        <v>73</v>
      </c>
    </row>
    <row r="374" spans="1:3" x14ac:dyDescent="0.3">
      <c r="A374" s="295"/>
      <c r="B374" s="296" t="s">
        <v>631</v>
      </c>
      <c r="C374" s="296" t="s">
        <v>632</v>
      </c>
    </row>
    <row r="375" spans="1:3" x14ac:dyDescent="0.3">
      <c r="A375" s="295"/>
      <c r="B375" s="296" t="s">
        <v>1141</v>
      </c>
      <c r="C375" s="296" t="s">
        <v>635</v>
      </c>
    </row>
    <row r="376" spans="1:3" x14ac:dyDescent="0.3">
      <c r="A376" s="295"/>
      <c r="B376" s="296" t="s">
        <v>1142</v>
      </c>
      <c r="C376" s="296" t="s">
        <v>52</v>
      </c>
    </row>
    <row r="377" spans="1:3" x14ac:dyDescent="0.3">
      <c r="A377" s="295"/>
      <c r="B377" s="296" t="s">
        <v>51</v>
      </c>
      <c r="C377" s="296" t="s">
        <v>1143</v>
      </c>
    </row>
    <row r="378" spans="1:3" x14ac:dyDescent="0.3">
      <c r="A378" s="295"/>
      <c r="B378" s="296" t="s">
        <v>1144</v>
      </c>
      <c r="C378" s="296" t="s">
        <v>510</v>
      </c>
    </row>
    <row r="379" spans="1:3" x14ac:dyDescent="0.3">
      <c r="A379" s="295"/>
      <c r="B379" s="296" t="s">
        <v>1145</v>
      </c>
      <c r="C379" s="296" t="s">
        <v>47</v>
      </c>
    </row>
    <row r="380" spans="1:3" x14ac:dyDescent="0.3">
      <c r="A380" s="295"/>
      <c r="B380" s="296" t="s">
        <v>1146</v>
      </c>
      <c r="C380" s="296" t="s">
        <v>1147</v>
      </c>
    </row>
    <row r="381" spans="1:3" x14ac:dyDescent="0.3">
      <c r="A381" s="295"/>
      <c r="B381" s="296" t="s">
        <v>50</v>
      </c>
      <c r="C381" s="296" t="s">
        <v>1148</v>
      </c>
    </row>
    <row r="382" spans="1:3" x14ac:dyDescent="0.3">
      <c r="A382" s="295"/>
      <c r="B382" s="296" t="s">
        <v>1149</v>
      </c>
      <c r="C382" s="296" t="s">
        <v>1150</v>
      </c>
    </row>
    <row r="383" spans="1:3" x14ac:dyDescent="0.3">
      <c r="A383" s="295"/>
      <c r="B383" s="296" t="s">
        <v>49</v>
      </c>
      <c r="C383" s="296" t="s">
        <v>48</v>
      </c>
    </row>
    <row r="384" spans="1:3" x14ac:dyDescent="0.3">
      <c r="A384" s="295"/>
      <c r="B384" s="296" t="s">
        <v>636</v>
      </c>
      <c r="C384" s="296" t="s">
        <v>1151</v>
      </c>
    </row>
    <row r="385" spans="1:3" x14ac:dyDescent="0.3">
      <c r="A385" s="295"/>
      <c r="B385" s="296" t="s">
        <v>1152</v>
      </c>
      <c r="C385" s="296" t="s">
        <v>1153</v>
      </c>
    </row>
    <row r="386" spans="1:3" x14ac:dyDescent="0.3">
      <c r="A386" s="295"/>
      <c r="B386" s="296" t="s">
        <v>1154</v>
      </c>
      <c r="C386" s="296" t="s">
        <v>1155</v>
      </c>
    </row>
    <row r="387" spans="1:3" x14ac:dyDescent="0.3">
      <c r="A387" s="295"/>
      <c r="B387" s="296" t="s">
        <v>1267</v>
      </c>
      <c r="C387" s="296" t="s">
        <v>1304</v>
      </c>
    </row>
    <row r="388" spans="1:3" ht="26.4" x14ac:dyDescent="0.3">
      <c r="A388" s="295"/>
      <c r="B388" s="296" t="s">
        <v>1268</v>
      </c>
      <c r="C388" s="296" t="s">
        <v>1305</v>
      </c>
    </row>
    <row r="389" spans="1:3" x14ac:dyDescent="0.3">
      <c r="A389" s="295"/>
      <c r="B389" s="296" t="s">
        <v>1156</v>
      </c>
      <c r="C389" s="296" t="s">
        <v>638</v>
      </c>
    </row>
    <row r="390" spans="1:3" x14ac:dyDescent="0.3">
      <c r="A390" s="295"/>
      <c r="B390" s="296" t="s">
        <v>641</v>
      </c>
      <c r="C390" s="296" t="s">
        <v>642</v>
      </c>
    </row>
    <row r="391" spans="1:3" x14ac:dyDescent="0.3">
      <c r="A391" s="295"/>
      <c r="B391" s="296" t="s">
        <v>1157</v>
      </c>
      <c r="C391" s="296" t="s">
        <v>640</v>
      </c>
    </row>
    <row r="392" spans="1:3" x14ac:dyDescent="0.3">
      <c r="A392" s="295"/>
      <c r="B392" s="296" t="s">
        <v>1158</v>
      </c>
      <c r="C392" s="296" t="s">
        <v>1159</v>
      </c>
    </row>
    <row r="393" spans="1:3" x14ac:dyDescent="0.3">
      <c r="A393" s="295"/>
      <c r="B393" s="296" t="s">
        <v>1160</v>
      </c>
      <c r="C393" s="296" t="s">
        <v>639</v>
      </c>
    </row>
    <row r="394" spans="1:3" x14ac:dyDescent="0.3">
      <c r="A394" s="295"/>
      <c r="B394" s="296" t="s">
        <v>1161</v>
      </c>
      <c r="C394" s="296" t="s">
        <v>1162</v>
      </c>
    </row>
    <row r="395" spans="1:3" x14ac:dyDescent="0.3">
      <c r="A395" s="295"/>
      <c r="B395" s="296" t="s">
        <v>1163</v>
      </c>
      <c r="C395" s="296" t="s">
        <v>776</v>
      </c>
    </row>
    <row r="396" spans="1:3" x14ac:dyDescent="0.3">
      <c r="A396" s="295"/>
      <c r="B396" s="296" t="s">
        <v>1164</v>
      </c>
      <c r="C396" s="296" t="s">
        <v>1165</v>
      </c>
    </row>
    <row r="397" spans="1:3" x14ac:dyDescent="0.3">
      <c r="A397" s="295"/>
      <c r="B397" s="296" t="s">
        <v>1166</v>
      </c>
      <c r="C397" s="296" t="s">
        <v>1167</v>
      </c>
    </row>
    <row r="398" spans="1:3" x14ac:dyDescent="0.3">
      <c r="A398" s="295"/>
      <c r="B398" s="296" t="s">
        <v>1168</v>
      </c>
      <c r="C398" s="296" t="s">
        <v>643</v>
      </c>
    </row>
    <row r="399" spans="1:3" x14ac:dyDescent="0.3">
      <c r="A399" s="295"/>
      <c r="B399" s="296" t="s">
        <v>1269</v>
      </c>
      <c r="C399" s="296" t="s">
        <v>1306</v>
      </c>
    </row>
    <row r="400" spans="1:3" x14ac:dyDescent="0.3">
      <c r="A400" s="295"/>
      <c r="B400" s="296" t="s">
        <v>1169</v>
      </c>
      <c r="C400" s="296" t="s">
        <v>46</v>
      </c>
    </row>
    <row r="401" spans="1:3" x14ac:dyDescent="0.3">
      <c r="A401" s="295"/>
      <c r="B401" s="296" t="s">
        <v>1270</v>
      </c>
      <c r="C401" s="296" t="s">
        <v>1307</v>
      </c>
    </row>
    <row r="402" spans="1:3" x14ac:dyDescent="0.3">
      <c r="A402" s="295"/>
      <c r="B402" s="296" t="s">
        <v>1170</v>
      </c>
      <c r="C402" s="296" t="s">
        <v>681</v>
      </c>
    </row>
    <row r="403" spans="1:3" x14ac:dyDescent="0.3">
      <c r="A403" s="295"/>
      <c r="B403" s="296" t="s">
        <v>1171</v>
      </c>
      <c r="C403" s="296" t="s">
        <v>1172</v>
      </c>
    </row>
    <row r="404" spans="1:3" x14ac:dyDescent="0.3">
      <c r="A404" s="295"/>
      <c r="B404" s="296" t="s">
        <v>1173</v>
      </c>
      <c r="C404" s="296" t="s">
        <v>681</v>
      </c>
    </row>
    <row r="405" spans="1:3" x14ac:dyDescent="0.3">
      <c r="A405" s="295"/>
      <c r="B405" s="296" t="s">
        <v>1271</v>
      </c>
      <c r="C405" s="296" t="s">
        <v>1308</v>
      </c>
    </row>
    <row r="406" spans="1:3" x14ac:dyDescent="0.3">
      <c r="A406" s="295"/>
      <c r="B406" s="296"/>
      <c r="C406" s="296"/>
    </row>
    <row r="407" spans="1:3" x14ac:dyDescent="0.3">
      <c r="A407" s="295"/>
      <c r="B407" s="296"/>
      <c r="C407" s="296"/>
    </row>
    <row r="408" spans="1:3" x14ac:dyDescent="0.3">
      <c r="A408" s="295"/>
      <c r="B408" s="296"/>
      <c r="C408" s="296"/>
    </row>
    <row r="409" spans="1:3" x14ac:dyDescent="0.3">
      <c r="A409" s="295"/>
      <c r="B409" s="296"/>
      <c r="C409" s="296"/>
    </row>
    <row r="410" spans="1:3" x14ac:dyDescent="0.3">
      <c r="A410" s="295"/>
      <c r="B410" s="296"/>
      <c r="C410" s="296"/>
    </row>
    <row r="411" spans="1:3" x14ac:dyDescent="0.3">
      <c r="A411" s="295"/>
      <c r="B411" s="296"/>
      <c r="C411" s="296"/>
    </row>
    <row r="412" spans="1:3" x14ac:dyDescent="0.3">
      <c r="A412" s="295"/>
      <c r="B412" s="296"/>
      <c r="C412" s="296"/>
    </row>
    <row r="413" spans="1:3" x14ac:dyDescent="0.3">
      <c r="A413" s="295"/>
      <c r="B413" s="296"/>
      <c r="C413" s="296"/>
    </row>
    <row r="414" spans="1:3" x14ac:dyDescent="0.3">
      <c r="A414" s="295"/>
      <c r="B414" s="296"/>
      <c r="C414" s="296"/>
    </row>
    <row r="415" spans="1:3" x14ac:dyDescent="0.3">
      <c r="A415" s="295"/>
      <c r="B415" s="296"/>
      <c r="C415" s="296"/>
    </row>
    <row r="416" spans="1:3" x14ac:dyDescent="0.3">
      <c r="A416" s="295"/>
      <c r="B416" s="296"/>
      <c r="C416" s="296"/>
    </row>
    <row r="417" spans="1:3" x14ac:dyDescent="0.3">
      <c r="A417" s="295"/>
      <c r="B417" s="296"/>
      <c r="C417" s="296"/>
    </row>
    <row r="418" spans="1:3" x14ac:dyDescent="0.3">
      <c r="A418" s="295"/>
      <c r="B418" s="296"/>
      <c r="C418" s="296"/>
    </row>
    <row r="419" spans="1:3" x14ac:dyDescent="0.3">
      <c r="A419" s="295"/>
      <c r="B419" s="296"/>
      <c r="C419" s="296"/>
    </row>
    <row r="420" spans="1:3" x14ac:dyDescent="0.3">
      <c r="A420" s="295"/>
      <c r="B420" s="296"/>
      <c r="C420" s="296"/>
    </row>
    <row r="421" spans="1:3" x14ac:dyDescent="0.3">
      <c r="A421" s="295"/>
      <c r="B421" s="296"/>
      <c r="C421" s="296"/>
    </row>
    <row r="422" spans="1:3" x14ac:dyDescent="0.3">
      <c r="A422" s="295"/>
      <c r="B422" s="296"/>
      <c r="C422" s="296"/>
    </row>
    <row r="423" spans="1:3" x14ac:dyDescent="0.3">
      <c r="A423" s="295"/>
      <c r="B423" s="296"/>
      <c r="C423" s="296"/>
    </row>
    <row r="424" spans="1:3" x14ac:dyDescent="0.3">
      <c r="A424" s="295"/>
      <c r="B424" s="296"/>
      <c r="C424" s="296"/>
    </row>
    <row r="425" spans="1:3" x14ac:dyDescent="0.3">
      <c r="A425" s="295"/>
      <c r="B425" s="296"/>
      <c r="C425" s="296"/>
    </row>
    <row r="426" spans="1:3" x14ac:dyDescent="0.3">
      <c r="A426" s="295"/>
      <c r="B426" s="296"/>
      <c r="C426" s="296"/>
    </row>
    <row r="427" spans="1:3" x14ac:dyDescent="0.3">
      <c r="A427" s="295"/>
      <c r="B427" s="296"/>
      <c r="C427" s="296"/>
    </row>
    <row r="428" spans="1:3" x14ac:dyDescent="0.3">
      <c r="A428" s="295"/>
      <c r="B428" s="296"/>
      <c r="C428" s="296"/>
    </row>
    <row r="429" spans="1:3" x14ac:dyDescent="0.3">
      <c r="A429" s="295"/>
      <c r="B429" s="296"/>
      <c r="C429" s="296"/>
    </row>
    <row r="430" spans="1:3" x14ac:dyDescent="0.3">
      <c r="A430" s="295"/>
      <c r="B430" s="296"/>
      <c r="C430" s="296"/>
    </row>
    <row r="431" spans="1:3" x14ac:dyDescent="0.3">
      <c r="A431" s="295"/>
      <c r="B431" s="296"/>
      <c r="C431" s="296"/>
    </row>
    <row r="432" spans="1:3" x14ac:dyDescent="0.3">
      <c r="A432" s="295"/>
      <c r="B432" s="296"/>
      <c r="C432" s="296"/>
    </row>
    <row r="433" spans="1:3" x14ac:dyDescent="0.3">
      <c r="A433" s="295"/>
      <c r="B433" s="296"/>
      <c r="C433" s="296"/>
    </row>
    <row r="434" spans="1:3" x14ac:dyDescent="0.3">
      <c r="A434" s="295"/>
      <c r="B434" s="296"/>
      <c r="C434" s="296"/>
    </row>
    <row r="435" spans="1:3" x14ac:dyDescent="0.3">
      <c r="A435" s="295"/>
      <c r="B435" s="296"/>
      <c r="C435" s="296"/>
    </row>
    <row r="436" spans="1:3" x14ac:dyDescent="0.3">
      <c r="A436" s="295"/>
      <c r="B436" s="296"/>
      <c r="C436" s="296"/>
    </row>
    <row r="437" spans="1:3" x14ac:dyDescent="0.3">
      <c r="A437" s="295"/>
      <c r="B437" s="296"/>
      <c r="C437" s="296"/>
    </row>
    <row r="438" spans="1:3" x14ac:dyDescent="0.3">
      <c r="A438" s="295"/>
      <c r="B438" s="296"/>
      <c r="C438" s="296"/>
    </row>
    <row r="439" spans="1:3" x14ac:dyDescent="0.3">
      <c r="A439" s="295"/>
      <c r="B439" s="296"/>
      <c r="C439" s="296"/>
    </row>
    <row r="440" spans="1:3" x14ac:dyDescent="0.3">
      <c r="A440" s="295"/>
      <c r="B440" s="296"/>
      <c r="C440" s="296"/>
    </row>
    <row r="441" spans="1:3" x14ac:dyDescent="0.3">
      <c r="A441" s="295"/>
      <c r="B441" s="296"/>
      <c r="C441" s="296"/>
    </row>
    <row r="442" spans="1:3" x14ac:dyDescent="0.3">
      <c r="A442" s="295"/>
      <c r="B442" s="296"/>
      <c r="C442" s="296"/>
    </row>
    <row r="443" spans="1:3" x14ac:dyDescent="0.3">
      <c r="A443" s="295"/>
      <c r="B443" s="296"/>
      <c r="C443" s="296"/>
    </row>
    <row r="444" spans="1:3" x14ac:dyDescent="0.3">
      <c r="A444" s="295"/>
      <c r="B444" s="296"/>
      <c r="C444" s="296"/>
    </row>
    <row r="445" spans="1:3" x14ac:dyDescent="0.3">
      <c r="A445" s="295"/>
      <c r="B445" s="296"/>
      <c r="C445" s="296"/>
    </row>
    <row r="446" spans="1:3" x14ac:dyDescent="0.3">
      <c r="A446" s="295"/>
      <c r="B446" s="296"/>
      <c r="C446" s="296"/>
    </row>
    <row r="447" spans="1:3" x14ac:dyDescent="0.3">
      <c r="A447" s="295"/>
      <c r="B447" s="296"/>
      <c r="C447" s="296"/>
    </row>
    <row r="448" spans="1:3" x14ac:dyDescent="0.3">
      <c r="A448" s="295"/>
      <c r="B448" s="296"/>
      <c r="C448" s="296"/>
    </row>
    <row r="449" spans="1:3" x14ac:dyDescent="0.3">
      <c r="A449" s="295"/>
      <c r="B449" s="296"/>
      <c r="C449" s="296"/>
    </row>
    <row r="450" spans="1:3" x14ac:dyDescent="0.3">
      <c r="A450" s="295"/>
      <c r="B450" s="296"/>
      <c r="C450" s="296"/>
    </row>
    <row r="451" spans="1:3" x14ac:dyDescent="0.3">
      <c r="A451" s="295"/>
      <c r="B451" s="296"/>
      <c r="C451" s="296"/>
    </row>
    <row r="452" spans="1:3" x14ac:dyDescent="0.3">
      <c r="A452" s="295"/>
      <c r="B452" s="296"/>
      <c r="C452" s="296"/>
    </row>
    <row r="453" spans="1:3" x14ac:dyDescent="0.3">
      <c r="A453" s="295"/>
      <c r="B453" s="296"/>
      <c r="C453" s="296"/>
    </row>
    <row r="454" spans="1:3" x14ac:dyDescent="0.3">
      <c r="A454" s="295"/>
      <c r="B454" s="296"/>
      <c r="C454" s="296"/>
    </row>
    <row r="455" spans="1:3" x14ac:dyDescent="0.3">
      <c r="A455" s="295"/>
      <c r="B455" s="296"/>
      <c r="C455" s="296"/>
    </row>
    <row r="456" spans="1:3" x14ac:dyDescent="0.3">
      <c r="A456" s="295"/>
      <c r="B456" s="296"/>
      <c r="C456" s="296"/>
    </row>
    <row r="457" spans="1:3" x14ac:dyDescent="0.3">
      <c r="A457" s="295"/>
      <c r="B457" s="296"/>
      <c r="C457" s="296"/>
    </row>
    <row r="458" spans="1:3" x14ac:dyDescent="0.3">
      <c r="A458" s="295"/>
      <c r="B458" s="296"/>
      <c r="C458" s="296"/>
    </row>
    <row r="459" spans="1:3" x14ac:dyDescent="0.3">
      <c r="A459" s="295"/>
      <c r="B459" s="296"/>
      <c r="C459" s="296"/>
    </row>
    <row r="460" spans="1:3" x14ac:dyDescent="0.3">
      <c r="A460" s="295"/>
      <c r="B460" s="296"/>
      <c r="C460" s="296"/>
    </row>
    <row r="461" spans="1:3" x14ac:dyDescent="0.3">
      <c r="A461" s="295"/>
      <c r="B461" s="296"/>
      <c r="C461" s="296"/>
    </row>
    <row r="462" spans="1:3" x14ac:dyDescent="0.3">
      <c r="A462" s="295"/>
      <c r="B462" s="296"/>
      <c r="C462" s="296"/>
    </row>
    <row r="463" spans="1:3" x14ac:dyDescent="0.3">
      <c r="A463" s="295"/>
      <c r="B463" s="296"/>
      <c r="C463" s="296"/>
    </row>
    <row r="464" spans="1:3" x14ac:dyDescent="0.3">
      <c r="A464" s="295"/>
      <c r="B464" s="296"/>
      <c r="C464" s="296"/>
    </row>
    <row r="465" spans="1:3" x14ac:dyDescent="0.3">
      <c r="A465" s="295"/>
      <c r="B465" s="296"/>
      <c r="C465" s="296"/>
    </row>
    <row r="466" spans="1:3" x14ac:dyDescent="0.3">
      <c r="A466" s="295"/>
      <c r="B466" s="296"/>
      <c r="C466" s="296"/>
    </row>
    <row r="467" spans="1:3" x14ac:dyDescent="0.3">
      <c r="A467" s="295"/>
      <c r="B467" s="296"/>
      <c r="C467" s="296"/>
    </row>
    <row r="468" spans="1:3" x14ac:dyDescent="0.3">
      <c r="A468" s="295"/>
      <c r="B468" s="296"/>
      <c r="C468" s="296"/>
    </row>
    <row r="469" spans="1:3" x14ac:dyDescent="0.3">
      <c r="A469" s="295"/>
      <c r="B469" s="296"/>
      <c r="C469" s="296"/>
    </row>
    <row r="470" spans="1:3" x14ac:dyDescent="0.3">
      <c r="A470" s="295"/>
      <c r="B470" s="296"/>
      <c r="C470" s="296"/>
    </row>
    <row r="471" spans="1:3" x14ac:dyDescent="0.3">
      <c r="A471" s="295"/>
      <c r="B471" s="296"/>
      <c r="C471" s="296"/>
    </row>
    <row r="472" spans="1:3" x14ac:dyDescent="0.3">
      <c r="A472" s="295"/>
      <c r="B472" s="296"/>
      <c r="C472" s="296"/>
    </row>
    <row r="473" spans="1:3" x14ac:dyDescent="0.3">
      <c r="A473" s="295"/>
      <c r="B473" s="296"/>
      <c r="C473" s="296"/>
    </row>
    <row r="474" spans="1:3" x14ac:dyDescent="0.3">
      <c r="A474" s="295"/>
      <c r="B474" s="296"/>
      <c r="C474" s="296"/>
    </row>
    <row r="475" spans="1:3" x14ac:dyDescent="0.3">
      <c r="A475" s="295"/>
      <c r="B475" s="296"/>
      <c r="C475" s="296"/>
    </row>
    <row r="476" spans="1:3" x14ac:dyDescent="0.3">
      <c r="A476" s="295"/>
      <c r="B476" s="296"/>
      <c r="C476" s="296"/>
    </row>
    <row r="477" spans="1:3" x14ac:dyDescent="0.3">
      <c r="A477" s="295"/>
      <c r="B477" s="296"/>
      <c r="C477" s="296"/>
    </row>
    <row r="478" spans="1:3" x14ac:dyDescent="0.3">
      <c r="A478" s="295"/>
      <c r="B478" s="296"/>
      <c r="C478" s="296"/>
    </row>
    <row r="479" spans="1:3" x14ac:dyDescent="0.3">
      <c r="A479" s="295"/>
      <c r="B479" s="296"/>
      <c r="C479" s="296"/>
    </row>
    <row r="480" spans="1:3" x14ac:dyDescent="0.3">
      <c r="A480" s="295"/>
      <c r="B480" s="296"/>
      <c r="C480" s="296"/>
    </row>
    <row r="481" spans="1:3" x14ac:dyDescent="0.3">
      <c r="A481" s="295"/>
      <c r="B481" s="296"/>
      <c r="C481" s="296"/>
    </row>
    <row r="482" spans="1:3" x14ac:dyDescent="0.3">
      <c r="A482" s="295"/>
      <c r="B482" s="296"/>
      <c r="C482" s="296"/>
    </row>
    <row r="483" spans="1:3" x14ac:dyDescent="0.3">
      <c r="A483" s="295"/>
      <c r="B483" s="296"/>
      <c r="C483" s="296"/>
    </row>
    <row r="484" spans="1:3" x14ac:dyDescent="0.3">
      <c r="A484" s="295"/>
      <c r="B484" s="296"/>
      <c r="C484" s="296"/>
    </row>
    <row r="485" spans="1:3" x14ac:dyDescent="0.3">
      <c r="A485" s="295"/>
      <c r="B485" s="296"/>
      <c r="C485" s="296"/>
    </row>
    <row r="486" spans="1:3" x14ac:dyDescent="0.3">
      <c r="A486" s="295"/>
      <c r="B486" s="296"/>
      <c r="C486" s="296"/>
    </row>
    <row r="487" spans="1:3" x14ac:dyDescent="0.3">
      <c r="A487" s="295"/>
      <c r="B487" s="296"/>
      <c r="C487" s="296"/>
    </row>
    <row r="488" spans="1:3" x14ac:dyDescent="0.3">
      <c r="A488" s="295"/>
      <c r="B488" s="296"/>
      <c r="C488" s="296"/>
    </row>
    <row r="489" spans="1:3" x14ac:dyDescent="0.3">
      <c r="A489" s="295"/>
      <c r="B489" s="296"/>
      <c r="C489" s="296"/>
    </row>
    <row r="490" spans="1:3" x14ac:dyDescent="0.3">
      <c r="A490" s="295"/>
      <c r="B490" s="296"/>
      <c r="C490" s="296"/>
    </row>
    <row r="491" spans="1:3" x14ac:dyDescent="0.3">
      <c r="A491" s="295"/>
      <c r="B491" s="296"/>
      <c r="C491" s="296"/>
    </row>
    <row r="492" spans="1:3" x14ac:dyDescent="0.3">
      <c r="A492" s="295"/>
      <c r="B492" s="296"/>
      <c r="C492" s="296"/>
    </row>
    <row r="493" spans="1:3" x14ac:dyDescent="0.3">
      <c r="A493" s="295"/>
      <c r="B493" s="296"/>
      <c r="C493" s="296"/>
    </row>
    <row r="494" spans="1:3" x14ac:dyDescent="0.3">
      <c r="A494" s="295"/>
      <c r="B494" s="296"/>
      <c r="C494" s="296"/>
    </row>
    <row r="495" spans="1:3" x14ac:dyDescent="0.3">
      <c r="A495" s="295"/>
      <c r="B495" s="296"/>
      <c r="C495" s="296"/>
    </row>
    <row r="496" spans="1:3" x14ac:dyDescent="0.3">
      <c r="A496" s="295"/>
      <c r="B496" s="296"/>
      <c r="C496" s="296"/>
    </row>
    <row r="497" spans="1:3" x14ac:dyDescent="0.3">
      <c r="A497" s="295"/>
      <c r="B497" s="296"/>
      <c r="C497" s="296"/>
    </row>
    <row r="498" spans="1:3" x14ac:dyDescent="0.3">
      <c r="A498" s="295"/>
      <c r="B498" s="296"/>
      <c r="C498" s="296"/>
    </row>
    <row r="499" spans="1:3" x14ac:dyDescent="0.3">
      <c r="A499" s="295"/>
      <c r="B499" s="296"/>
      <c r="C499" s="296"/>
    </row>
    <row r="500" spans="1:3" x14ac:dyDescent="0.3">
      <c r="A500" s="295"/>
      <c r="B500" s="296"/>
      <c r="C500" s="296"/>
    </row>
    <row r="501" spans="1:3" x14ac:dyDescent="0.3">
      <c r="A501" s="295"/>
      <c r="B501" s="296"/>
      <c r="C501" s="296"/>
    </row>
    <row r="502" spans="1:3" x14ac:dyDescent="0.3">
      <c r="A502" s="295"/>
      <c r="B502" s="296"/>
      <c r="C502" s="296"/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13</vt:i4>
      </vt:variant>
      <vt:variant>
        <vt:lpstr>Rangos con nombre</vt:lpstr>
      </vt:variant>
      <vt:variant>
        <vt:i4>58</vt:i4>
      </vt:variant>
    </vt:vector>
  </HeadingPairs>
  <TitlesOfParts>
    <vt:vector size="71" baseType="lpstr">
      <vt:lpstr>Usuarios &amp; Privilegios</vt:lpstr>
      <vt:lpstr>Home</vt:lpstr>
      <vt:lpstr>NI-R01-MCIT-P-01</vt:lpstr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'NI-R01-MCIT-P-01'!CertDate</vt:lpstr>
      <vt:lpstr>CertDate</vt:lpstr>
      <vt:lpstr>'NI-R01-MCIT-P-01'!CertHR</vt:lpstr>
      <vt:lpstr>CertHR</vt:lpstr>
      <vt:lpstr>'NI-R01-MCIT-P-01'!CertHRIncerti</vt:lpstr>
      <vt:lpstr>CertHRIncerti</vt:lpstr>
      <vt:lpstr>'NI-R01-MCIT-P-01'!CertNum</vt:lpstr>
      <vt:lpstr>CertNum</vt:lpstr>
      <vt:lpstr>'NI-R01-MCIT-P-01'!CertPres</vt:lpstr>
      <vt:lpstr>CertPres</vt:lpstr>
      <vt:lpstr>'NI-R01-MCIT-P-01'!CertPresIncert</vt:lpstr>
      <vt:lpstr>CertPresIncert</vt:lpstr>
      <vt:lpstr>'NI-R01-MCIT-P-01'!CertTempC</vt:lpstr>
      <vt:lpstr>CertTempC</vt:lpstr>
      <vt:lpstr>'NI-R01-MCIT-P-01'!CertTempFin</vt:lpstr>
      <vt:lpstr>CertTempFin</vt:lpstr>
      <vt:lpstr>'NI-R01-MCIT-P-01'!CertTempIncerti</vt:lpstr>
      <vt:lpstr>CertTempIncerti</vt:lpstr>
      <vt:lpstr>'NI-R01-MCIT-P-01'!CertTempIni</vt:lpstr>
      <vt:lpstr>CertTempIni</vt:lpstr>
      <vt:lpstr>ClientAdr</vt:lpstr>
      <vt:lpstr>ClientName</vt:lpstr>
      <vt:lpstr>ClientPlace</vt:lpstr>
      <vt:lpstr>'NI-R01-MCIT-P-01'!coef_unidad</vt:lpstr>
      <vt:lpstr>coef_unidad</vt:lpstr>
      <vt:lpstr>'NI-R01-MCIT-P-01'!decim</vt:lpstr>
      <vt:lpstr>decim</vt:lpstr>
      <vt:lpstr>'NI-R01-MCIT-P-01'!dif_alt</vt:lpstr>
      <vt:lpstr>dif_alt</vt:lpstr>
      <vt:lpstr>'NI-R01-MCIT-P-01'!DivEscala</vt:lpstr>
      <vt:lpstr>DivEscala</vt:lpstr>
      <vt:lpstr>'NI-R01-MCIT-P-01'!DivEscalaPatr</vt:lpstr>
      <vt:lpstr>DivEscalaPatr</vt:lpstr>
      <vt:lpstr>'NI-R01-MCIT-P-01'!EquipoCode</vt:lpstr>
      <vt:lpstr>EquipoCode</vt:lpstr>
      <vt:lpstr>EquipoIncertid</vt:lpstr>
      <vt:lpstr>EquipoMarca</vt:lpstr>
      <vt:lpstr>EquipoModelo</vt:lpstr>
      <vt:lpstr>EquipoSerie</vt:lpstr>
      <vt:lpstr>'NI-R01-MCIT-P-01'!EquipoTipo</vt:lpstr>
      <vt:lpstr>EquipoTipo</vt:lpstr>
      <vt:lpstr>Histeresis</vt:lpstr>
      <vt:lpstr>'NI-R01-MCIT-P-01'!medio</vt:lpstr>
      <vt:lpstr>medio</vt:lpstr>
      <vt:lpstr>'NI-R01-MCIT-P-01'!NumPuntosCalib</vt:lpstr>
      <vt:lpstr>NumPuntosCalib</vt:lpstr>
      <vt:lpstr>'NI-R01-MCIT-P-01'!NumPuntosCalib2</vt:lpstr>
      <vt:lpstr>NumPuntosCalib2</vt:lpstr>
      <vt:lpstr>'NI-R01-MCIT-P-01'!RangoMed_max</vt:lpstr>
      <vt:lpstr>RangoMed_max</vt:lpstr>
      <vt:lpstr>'NI-R01-MCIT-P-01'!RangoMed_min</vt:lpstr>
      <vt:lpstr>RangoMed_min</vt:lpstr>
      <vt:lpstr>Rcuadrado</vt:lpstr>
      <vt:lpstr>'NI-R01-MCIT-P-01'!ResolInst</vt:lpstr>
      <vt:lpstr>ResolInst</vt:lpstr>
      <vt:lpstr>'NI-R01-MCIT-P-01'!unidad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Garcia</cp:lastModifiedBy>
  <cp:lastPrinted>2023-02-08T14:51:08Z</cp:lastPrinted>
  <dcterms:created xsi:type="dcterms:W3CDTF">2017-11-13T20:02:16Z</dcterms:created>
  <dcterms:modified xsi:type="dcterms:W3CDTF">2024-04-16T23:32:29Z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