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Regxi\Metrocal-admin-backend\src\modules\mail\templates\excels\"/>
    </mc:Choice>
  </mc:AlternateContent>
  <xr:revisionPtr revIDLastSave="0" documentId="11_1E525F7075F96F80D7CBB6E2425AFB1A34B7077A" xr6:coauthVersionLast="47" xr6:coauthVersionMax="47" xr10:uidLastSave="{00000000-0000-0000-0000-000000000000}"/>
  <bookViews>
    <workbookView xWindow="-120" yWindow="-120" windowWidth="38640" windowHeight="21120" firstSheet="3" activeTab="7" xr2:uid="{00000000-000D-0000-FFFF-FFFF00000000}"/>
  </bookViews>
  <sheets>
    <sheet name="NI-R01-MCIT-T-01" sheetId="3" r:id="rId1"/>
    <sheet name="General" sheetId="4" r:id="rId2"/>
    <sheet name="kU(E)" sheetId="5" r:id="rId3"/>
    <sheet name="Calibración" sheetId="6" r:id="rId4"/>
    <sheet name="Datos Etiqueta" sheetId="7" r:id="rId5"/>
    <sheet name="DA °C (3 ptos)" sheetId="8" r:id="rId6"/>
    <sheet name="DA Unidad-K (5 ptos)" sheetId="9" r:id="rId7"/>
    <sheet name="DA Unidad-ºF to ºC (5 ptos)" sheetId="13" r:id="rId8"/>
    <sheet name="DA unidad ºC toºF" sheetId="14" r:id="rId9"/>
    <sheet name="CMC" sheetId="10" r:id="rId10"/>
    <sheet name="BD Patron" sheetId="11" r:id="rId11"/>
    <sheet name="BD Clientes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CertCode">General!$F$4</definedName>
    <definedName name="CertDate" localSheetId="7">[1]General!$F$5</definedName>
    <definedName name="CertDate">General!$F$5</definedName>
    <definedName name="CertHR" localSheetId="9">[2]General!$I$13</definedName>
    <definedName name="CertHR" localSheetId="7">[1]General!$I$13</definedName>
    <definedName name="CertHR">General!$I$13</definedName>
    <definedName name="CertHRIncerti" localSheetId="9">[2]General!$I$14</definedName>
    <definedName name="CertHRIncerti" localSheetId="7">[1]General!$I$14</definedName>
    <definedName name="CertHRIncerti">General!$I$14</definedName>
    <definedName name="CertNum" localSheetId="7">[1]General!$F$3</definedName>
    <definedName name="CertNum">General!$F$3</definedName>
    <definedName name="CertPres">General!$I$18</definedName>
    <definedName name="CertPresIncert">General!$I$19</definedName>
    <definedName name="CertTempC" localSheetId="9">[2]General!$I$8</definedName>
    <definedName name="CertTempC" localSheetId="7">[1]General!$I$8</definedName>
    <definedName name="CertTempC">General!$I$8</definedName>
    <definedName name="CertTempFin">General!$I$7</definedName>
    <definedName name="CertTempIncerti" localSheetId="9">[2]General!$I$9</definedName>
    <definedName name="CertTempIncerti" localSheetId="7">[1]General!$I$9</definedName>
    <definedName name="CertTempIncerti">General!$I$9</definedName>
    <definedName name="CertTempIni">General!$I$6</definedName>
    <definedName name="ClientAdr">General!$L$4</definedName>
    <definedName name="ClientName">General!$L$3</definedName>
    <definedName name="ClientPlace">General!$L$5</definedName>
    <definedName name="coef_unidad" localSheetId="9">[2]Calibración!$E$7</definedName>
    <definedName name="coef_unidad" localSheetId="7">[1]Calibración!$E$7</definedName>
    <definedName name="coef_unidad">Calibración!$E$7</definedName>
    <definedName name="decim" localSheetId="9">[2]Calibración!$F$9</definedName>
    <definedName name="decim" localSheetId="7">[1]Calibración!$F$9</definedName>
    <definedName name="decim">Calibración!$F$9</definedName>
    <definedName name="deltaMconv">'[3]BD Patron'!$AM$17:$AT$28</definedName>
    <definedName name="deltaT">'[3]BD Patron'!$AM$16:$AT$16</definedName>
    <definedName name="DivEscalaPatr" localSheetId="9">[2]Calibración!$J$6</definedName>
    <definedName name="DivEscalaPatr" localSheetId="7">[1]Calibración!$J$6</definedName>
    <definedName name="DivEscalaPatr">Calibración!$J$6</definedName>
    <definedName name="Histeresis" localSheetId="9">[2]Calibración!$P$4</definedName>
    <definedName name="Histeresis" localSheetId="7">[1]Calibración!$P$4</definedName>
    <definedName name="Histeresis">Calibración!$P$4</definedName>
    <definedName name="Incert_Pozo" localSheetId="9">[2]Calibración!$Q$10</definedName>
    <definedName name="Incert_Pozo" localSheetId="7">[1]Calibración!$Q$10</definedName>
    <definedName name="Incert_Pozo">Calibración!$Q$10</definedName>
    <definedName name="MnomDeltaT">'[3]BD Patron'!$AL$17:$AL$28</definedName>
    <definedName name="NumPuntosCalib" localSheetId="9">[2]Calibración!$P$40</definedName>
    <definedName name="NumPuntosCalib" localSheetId="7">[1]Calibración!$P$40</definedName>
    <definedName name="NumPuntosCalib">Calibración!$P$40</definedName>
    <definedName name="Patrons_List">[3]Calibración!$M$5:$M$54,[3]Calibración!$R$5:$R$54,[3]Calibración!$W$5:$W$54,[3]Calibración!$AB$5:$AB$54,[3]Calibración!$AG$5:$AG$54,[3]Calibración!$AL$5:$AL$54,[3]Calibración!$AQ$5:$AQ$54,[3]Calibración!$AV$5:$AV$54,[3]Calibración!$BA$5:$BA$54,[3]Calibración!$BF$5:$BF$54</definedName>
    <definedName name="RangoMedida" localSheetId="9">[2]General!$F$11</definedName>
    <definedName name="RangoMedida" localSheetId="7">[1]General!$F$11</definedName>
    <definedName name="RangoMedida">General!$F$11</definedName>
    <definedName name="Rcuadrado">Calibración!$O$41</definedName>
    <definedName name="ResolTerm" localSheetId="9">[2]Calibración!$F$5</definedName>
    <definedName name="ResolTerm" localSheetId="7">[1]Calibración!$F$5</definedName>
    <definedName name="ResolTerm">Calibración!$F$5</definedName>
    <definedName name="RngLinealidad">[3]Calibración!$C$34:$C$44</definedName>
    <definedName name="tblComp_U" localSheetId="9">[2]!tblCompU[#Data]</definedName>
    <definedName name="tblComp_U" localSheetId="7">[1]!tblCompU[#Data]</definedName>
    <definedName name="tblComp_U">'kU(E)'!$B$9:$P$16</definedName>
    <definedName name="TermometroCode" localSheetId="7">[1]General!$F$6</definedName>
    <definedName name="TermometroCode">General!$F$6</definedName>
    <definedName name="TermometroIncertid">General!$F$13</definedName>
    <definedName name="TermometroMarca">General!$F$8</definedName>
    <definedName name="TermometroModelo">General!$F$9</definedName>
    <definedName name="TermometroResol">General!$F$12</definedName>
    <definedName name="TermometroSerie">General!$F$10</definedName>
    <definedName name="TermometroTipo" localSheetId="7">[1]General!$F$7</definedName>
    <definedName name="TermometroTipo">General!$F$7</definedName>
    <definedName name="u_ecc">[3]Calibración!$C$54</definedName>
    <definedName name="u_rep">[3]Calibración!$G$28</definedName>
    <definedName name="unidad" localSheetId="9">[2]Calibración!$F$7</definedName>
    <definedName name="unidad" localSheetId="7">[1]Calibración!$F$7</definedName>
    <definedName name="unidad">Calibración!$F$7</definedName>
    <definedName name="UnidadEscala">[3]Calibración!$C$2</definedName>
    <definedName name="UnidadPatron">[3]Calibración!$C$23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4" l="1"/>
  <c r="J64" i="14"/>
  <c r="H65" i="14"/>
  <c r="J65" i="14"/>
  <c r="H66" i="14"/>
  <c r="J66" i="14"/>
  <c r="H67" i="14"/>
  <c r="J67" i="14"/>
  <c r="H68" i="14"/>
  <c r="J68" i="14"/>
  <c r="H69" i="14"/>
  <c r="J69" i="14"/>
  <c r="H70" i="14"/>
  <c r="J70" i="14"/>
  <c r="H71" i="14"/>
  <c r="J71" i="14"/>
  <c r="H72" i="14"/>
  <c r="J72" i="14"/>
  <c r="H73" i="14"/>
  <c r="J73" i="14"/>
  <c r="A111" i="14"/>
  <c r="A108" i="14"/>
  <c r="A107" i="14"/>
  <c r="H103" i="14"/>
  <c r="N103" i="14" s="1"/>
  <c r="H102" i="14"/>
  <c r="X102" i="14" s="1"/>
  <c r="E102" i="14"/>
  <c r="J63" i="14"/>
  <c r="H63" i="14"/>
  <c r="N11" i="14"/>
  <c r="E103" i="14" l="1"/>
  <c r="X103" i="14"/>
  <c r="A103" i="14"/>
  <c r="N102" i="14"/>
  <c r="A102" i="14"/>
  <c r="H103" i="13"/>
  <c r="N103" i="13" s="1"/>
  <c r="H102" i="13"/>
  <c r="X102" i="13" s="1"/>
  <c r="L40" i="13"/>
  <c r="F40" i="13"/>
  <c r="D40" i="13"/>
  <c r="R40" i="13" s="1"/>
  <c r="L39" i="13"/>
  <c r="F39" i="13"/>
  <c r="D39" i="13"/>
  <c r="R39" i="13" s="1"/>
  <c r="A102" i="13" l="1"/>
  <c r="X103" i="13"/>
  <c r="E102" i="13"/>
  <c r="A103" i="13"/>
  <c r="E103" i="13"/>
  <c r="N102" i="13"/>
  <c r="H68" i="13" l="1"/>
  <c r="J68" i="13"/>
  <c r="H69" i="13"/>
  <c r="J69" i="13"/>
  <c r="H70" i="13"/>
  <c r="J70" i="13"/>
  <c r="H71" i="13"/>
  <c r="J71" i="13"/>
  <c r="H72" i="13"/>
  <c r="J72" i="13"/>
  <c r="H73" i="13"/>
  <c r="J73" i="13"/>
  <c r="D73" i="9"/>
  <c r="F73" i="9"/>
  <c r="L73" i="9"/>
  <c r="N11" i="13"/>
  <c r="R73" i="13"/>
  <c r="F73" i="13"/>
  <c r="H63" i="13"/>
  <c r="J63" i="13"/>
  <c r="H64" i="13"/>
  <c r="J64" i="13"/>
  <c r="H65" i="13"/>
  <c r="J65" i="13"/>
  <c r="H66" i="13"/>
  <c r="J66" i="13"/>
  <c r="H67" i="13"/>
  <c r="J67" i="13"/>
  <c r="E75" i="13"/>
  <c r="G75" i="13"/>
  <c r="E76" i="13"/>
  <c r="G76" i="13"/>
  <c r="A107" i="13"/>
  <c r="A108" i="13"/>
  <c r="A111" i="13"/>
  <c r="C32" i="11"/>
  <c r="C34" i="11" s="1"/>
  <c r="K32" i="11"/>
  <c r="K33" i="11"/>
  <c r="K34" i="11"/>
  <c r="K35" i="11"/>
  <c r="K36" i="11"/>
  <c r="K37" i="11"/>
  <c r="K38" i="11"/>
  <c r="K39" i="11"/>
  <c r="C41" i="11"/>
  <c r="C46" i="11" s="1"/>
  <c r="K41" i="11"/>
  <c r="K42" i="11"/>
  <c r="K43" i="11"/>
  <c r="K44" i="11"/>
  <c r="K45" i="11"/>
  <c r="K46" i="11"/>
  <c r="K47" i="11"/>
  <c r="K48" i="11"/>
  <c r="K49" i="11"/>
  <c r="C50" i="11"/>
  <c r="C52" i="11" s="1"/>
  <c r="K52" i="11" s="1"/>
  <c r="K56" i="11"/>
  <c r="K57" i="11"/>
  <c r="K58" i="11"/>
  <c r="C59" i="11"/>
  <c r="C64" i="11" s="1"/>
  <c r="K59" i="11"/>
  <c r="K60" i="11"/>
  <c r="K61" i="11"/>
  <c r="K62" i="11"/>
  <c r="K63" i="11"/>
  <c r="K64" i="11"/>
  <c r="K65" i="11"/>
  <c r="K66" i="11"/>
  <c r="K67" i="11"/>
  <c r="C68" i="11"/>
  <c r="C70" i="11" s="1"/>
  <c r="K68" i="11"/>
  <c r="K69" i="11"/>
  <c r="K70" i="11"/>
  <c r="K71" i="11"/>
  <c r="K72" i="11"/>
  <c r="K73" i="11"/>
  <c r="K74" i="11"/>
  <c r="K75" i="11"/>
  <c r="K76" i="11"/>
  <c r="C77" i="11"/>
  <c r="C82" i="11" s="1"/>
  <c r="K81" i="11"/>
  <c r="K82" i="11"/>
  <c r="K83" i="11"/>
  <c r="K84" i="11"/>
  <c r="K85" i="11"/>
  <c r="C86" i="11"/>
  <c r="C88" i="11" s="1"/>
  <c r="K86" i="11"/>
  <c r="K87" i="11"/>
  <c r="K88" i="11"/>
  <c r="K89" i="11"/>
  <c r="K90" i="11"/>
  <c r="K91" i="11"/>
  <c r="K92" i="11"/>
  <c r="K93" i="11"/>
  <c r="K94" i="11"/>
  <c r="C95" i="11"/>
  <c r="C100" i="11" s="1"/>
  <c r="K95" i="11"/>
  <c r="K96" i="11"/>
  <c r="K97" i="11"/>
  <c r="K98" i="11"/>
  <c r="K99" i="11"/>
  <c r="K100" i="11"/>
  <c r="K101" i="11"/>
  <c r="K102" i="11"/>
  <c r="K103" i="11"/>
  <c r="C104" i="11"/>
  <c r="C106" i="11" s="1"/>
  <c r="K104" i="11"/>
  <c r="K105" i="11"/>
  <c r="K106" i="11"/>
  <c r="K107" i="11"/>
  <c r="K108" i="11"/>
  <c r="K109" i="11"/>
  <c r="K110" i="11"/>
  <c r="K111" i="11"/>
  <c r="K112" i="11"/>
  <c r="K113" i="11"/>
  <c r="C114" i="11"/>
  <c r="C118" i="11" s="1"/>
  <c r="K114" i="11"/>
  <c r="K115" i="11"/>
  <c r="K116" i="11"/>
  <c r="K117" i="11"/>
  <c r="K118" i="11"/>
  <c r="K119" i="11"/>
  <c r="K120" i="11"/>
  <c r="K121" i="11"/>
  <c r="K122" i="11"/>
  <c r="K123" i="11"/>
  <c r="N11" i="9"/>
  <c r="H103" i="9"/>
  <c r="X103" i="9" s="1"/>
  <c r="H104" i="9"/>
  <c r="A104" i="9" s="1"/>
  <c r="A108" i="9"/>
  <c r="A109" i="9"/>
  <c r="A110" i="9"/>
  <c r="A111" i="9"/>
  <c r="N11" i="8"/>
  <c r="H62" i="8"/>
  <c r="A62" i="8" s="1"/>
  <c r="H63" i="8"/>
  <c r="X63" i="8" s="1"/>
  <c r="A70" i="8"/>
  <c r="A71" i="8"/>
  <c r="Q4" i="6"/>
  <c r="U4" i="6"/>
  <c r="V4" i="6"/>
  <c r="Q5" i="6"/>
  <c r="S5" i="6"/>
  <c r="U5" i="6" s="1"/>
  <c r="J6" i="6"/>
  <c r="Q6" i="6"/>
  <c r="E7" i="6"/>
  <c r="Q7" i="6"/>
  <c r="Q8" i="6"/>
  <c r="F9" i="6"/>
  <c r="Q9" i="6"/>
  <c r="S9" i="6"/>
  <c r="V9" i="6" s="1"/>
  <c r="F13" i="6"/>
  <c r="N13" i="6"/>
  <c r="C15" i="6"/>
  <c r="D15" i="6"/>
  <c r="E15" i="6"/>
  <c r="F15" i="6"/>
  <c r="G15" i="6"/>
  <c r="H15" i="6"/>
  <c r="C16" i="6"/>
  <c r="D16" i="6"/>
  <c r="E16" i="6"/>
  <c r="F16" i="6"/>
  <c r="G16" i="6"/>
  <c r="H16" i="6"/>
  <c r="C17" i="6"/>
  <c r="D17" i="6"/>
  <c r="E17" i="6"/>
  <c r="F17" i="6"/>
  <c r="G17" i="6"/>
  <c r="H17" i="6"/>
  <c r="C18" i="6"/>
  <c r="D18" i="6"/>
  <c r="E18" i="6"/>
  <c r="F18" i="6"/>
  <c r="G18" i="6"/>
  <c r="H18" i="6"/>
  <c r="C19" i="6"/>
  <c r="D19" i="6"/>
  <c r="E19" i="6"/>
  <c r="F19" i="6"/>
  <c r="G19" i="6"/>
  <c r="H19" i="6"/>
  <c r="C20" i="6"/>
  <c r="D20" i="6"/>
  <c r="E20" i="6"/>
  <c r="F20" i="6"/>
  <c r="G20" i="6"/>
  <c r="H20" i="6"/>
  <c r="C21" i="6"/>
  <c r="D21" i="6"/>
  <c r="E21" i="6"/>
  <c r="F21" i="6"/>
  <c r="G21" i="6"/>
  <c r="H21" i="6"/>
  <c r="C22" i="6"/>
  <c r="D22" i="6"/>
  <c r="E22" i="6"/>
  <c r="F22" i="6"/>
  <c r="G22" i="6"/>
  <c r="H22" i="6"/>
  <c r="C23" i="6"/>
  <c r="D23" i="6"/>
  <c r="E23" i="6"/>
  <c r="F23" i="6"/>
  <c r="G23" i="6"/>
  <c r="H23" i="6"/>
  <c r="C24" i="6"/>
  <c r="D24" i="6"/>
  <c r="E24" i="6"/>
  <c r="F24" i="6"/>
  <c r="G24" i="6"/>
  <c r="H24" i="6"/>
  <c r="Q27" i="6"/>
  <c r="Y28" i="6"/>
  <c r="O29" i="6"/>
  <c r="C31" i="6"/>
  <c r="D28" i="14" s="1"/>
  <c r="D31" i="6"/>
  <c r="F28" i="14" s="1"/>
  <c r="E31" i="6"/>
  <c r="L28" i="14" s="1"/>
  <c r="F31" i="6"/>
  <c r="R28" i="14" s="1"/>
  <c r="K31" i="6"/>
  <c r="Y39" i="6"/>
  <c r="Y50" i="6"/>
  <c r="E9" i="5"/>
  <c r="E11" i="5"/>
  <c r="E12" i="5"/>
  <c r="E13" i="5"/>
  <c r="E14" i="5"/>
  <c r="E15" i="5"/>
  <c r="E16" i="5"/>
  <c r="E17" i="5"/>
  <c r="E23" i="5"/>
  <c r="E25" i="5"/>
  <c r="E26" i="5"/>
  <c r="E27" i="5"/>
  <c r="E28" i="5"/>
  <c r="E29" i="5"/>
  <c r="E30" i="5"/>
  <c r="F3" i="4"/>
  <c r="N8" i="14" s="1"/>
  <c r="N85" i="14" s="1"/>
  <c r="L3" i="4"/>
  <c r="N19" i="14" s="1"/>
  <c r="F4" i="4"/>
  <c r="N9" i="14" s="1"/>
  <c r="I4" i="4"/>
  <c r="F5" i="4"/>
  <c r="N10" i="14" s="1"/>
  <c r="L5" i="4"/>
  <c r="N21" i="14" s="1"/>
  <c r="F6" i="4"/>
  <c r="N18" i="14" s="1"/>
  <c r="I6" i="4"/>
  <c r="F7" i="4"/>
  <c r="N12" i="14" s="1"/>
  <c r="I7" i="4"/>
  <c r="F8" i="4"/>
  <c r="N13" i="14" s="1"/>
  <c r="F9" i="4"/>
  <c r="N15" i="14" s="1"/>
  <c r="F10" i="4"/>
  <c r="N14" i="14" s="1"/>
  <c r="F11" i="4"/>
  <c r="N16" i="14" s="1"/>
  <c r="I11" i="4"/>
  <c r="F12" i="4"/>
  <c r="N17" i="14" s="1"/>
  <c r="I12" i="4"/>
  <c r="I16" i="4"/>
  <c r="I17" i="4"/>
  <c r="C121" i="11" l="1"/>
  <c r="R73" i="9"/>
  <c r="L39" i="14"/>
  <c r="L40" i="14"/>
  <c r="F39" i="14"/>
  <c r="F73" i="14" s="1"/>
  <c r="F40" i="14"/>
  <c r="D39" i="14"/>
  <c r="D40" i="14"/>
  <c r="R40" i="14" s="1"/>
  <c r="A74" i="14"/>
  <c r="H100" i="14"/>
  <c r="N16" i="9"/>
  <c r="N16" i="13"/>
  <c r="E3" i="7"/>
  <c r="N8" i="13"/>
  <c r="N85" i="13" s="1"/>
  <c r="L4" i="4"/>
  <c r="N20" i="14" s="1"/>
  <c r="N19" i="13"/>
  <c r="N14" i="9"/>
  <c r="N14" i="13"/>
  <c r="N15" i="9"/>
  <c r="N15" i="13"/>
  <c r="R28" i="8"/>
  <c r="R28" i="13"/>
  <c r="L28" i="8"/>
  <c r="L28" i="13"/>
  <c r="N17" i="9"/>
  <c r="N17" i="13"/>
  <c r="F28" i="9"/>
  <c r="F28" i="13"/>
  <c r="N13" i="8"/>
  <c r="N13" i="13"/>
  <c r="N21" i="9"/>
  <c r="N21" i="13"/>
  <c r="N12" i="9"/>
  <c r="N12" i="13"/>
  <c r="D3" i="7"/>
  <c r="N18" i="13"/>
  <c r="N10" i="8"/>
  <c r="N10" i="13"/>
  <c r="I15" i="4"/>
  <c r="H100" i="13"/>
  <c r="A74" i="13"/>
  <c r="N9" i="9"/>
  <c r="N9" i="13"/>
  <c r="D28" i="9"/>
  <c r="D28" i="13"/>
  <c r="C102" i="11"/>
  <c r="C55" i="11"/>
  <c r="K55" i="11" s="1"/>
  <c r="D73" i="13"/>
  <c r="L73" i="13" s="1"/>
  <c r="C39" i="11"/>
  <c r="C85" i="11"/>
  <c r="C84" i="11"/>
  <c r="N9" i="8"/>
  <c r="N21" i="6"/>
  <c r="G38" i="6" s="1"/>
  <c r="N17" i="6"/>
  <c r="G34" i="6" s="1"/>
  <c r="I17" i="6"/>
  <c r="C101" i="11"/>
  <c r="C93" i="11"/>
  <c r="C47" i="11"/>
  <c r="C108" i="11"/>
  <c r="C92" i="11"/>
  <c r="X9" i="6"/>
  <c r="C117" i="11"/>
  <c r="C45" i="11"/>
  <c r="N13" i="9"/>
  <c r="C97" i="11"/>
  <c r="C80" i="11"/>
  <c r="K80" i="11" s="1"/>
  <c r="C56" i="11"/>
  <c r="C96" i="11"/>
  <c r="C43" i="11"/>
  <c r="C54" i="11"/>
  <c r="K54" i="11" s="1"/>
  <c r="J19" i="6"/>
  <c r="Q19" i="6" s="1"/>
  <c r="D36" i="6" s="1"/>
  <c r="C42" i="11"/>
  <c r="I23" i="6"/>
  <c r="I21" i="6"/>
  <c r="N19" i="6"/>
  <c r="G36" i="6" s="1"/>
  <c r="I15" i="6"/>
  <c r="N15" i="8"/>
  <c r="C98" i="11"/>
  <c r="C83" i="11"/>
  <c r="C61" i="11"/>
  <c r="C105" i="11"/>
  <c r="J20" i="6"/>
  <c r="Q20" i="6" s="1"/>
  <c r="H37" i="6" s="1"/>
  <c r="N23" i="6"/>
  <c r="G40" i="6" s="1"/>
  <c r="U9" i="6"/>
  <c r="C111" i="11"/>
  <c r="C78" i="11"/>
  <c r="K78" i="11" s="1"/>
  <c r="C38" i="11"/>
  <c r="I18" i="4"/>
  <c r="I13" i="4"/>
  <c r="I19" i="6"/>
  <c r="B3" i="7"/>
  <c r="C66" i="11"/>
  <c r="C109" i="11"/>
  <c r="J15" i="6"/>
  <c r="Q15" i="6" s="1"/>
  <c r="D32" i="6" s="1"/>
  <c r="J17" i="6"/>
  <c r="Q17" i="6" s="1"/>
  <c r="D34" i="6" s="1"/>
  <c r="N21" i="8"/>
  <c r="N10" i="9"/>
  <c r="I8" i="4"/>
  <c r="F6" i="6"/>
  <c r="N8" i="8"/>
  <c r="N55" i="8" s="1"/>
  <c r="J24" i="6"/>
  <c r="Q24" i="6" s="1"/>
  <c r="D41" i="6" s="1"/>
  <c r="K17" i="6"/>
  <c r="I15" i="5" s="1"/>
  <c r="I16" i="6"/>
  <c r="W9" i="6"/>
  <c r="X62" i="8"/>
  <c r="N19" i="8"/>
  <c r="A74" i="9"/>
  <c r="C81" i="11"/>
  <c r="C74" i="11"/>
  <c r="C67" i="11"/>
  <c r="C51" i="11"/>
  <c r="K51" i="11" s="1"/>
  <c r="I24" i="6"/>
  <c r="N15" i="6"/>
  <c r="G32" i="6" s="1"/>
  <c r="N62" i="8"/>
  <c r="N18" i="8"/>
  <c r="N8" i="9"/>
  <c r="N86" i="9" s="1"/>
  <c r="C115" i="11"/>
  <c r="C87" i="11"/>
  <c r="C60" i="11"/>
  <c r="K50" i="11"/>
  <c r="C44" i="11"/>
  <c r="C37" i="11"/>
  <c r="N17" i="8"/>
  <c r="N19" i="9"/>
  <c r="C73" i="11"/>
  <c r="J22" i="6"/>
  <c r="Q22" i="6" s="1"/>
  <c r="H39" i="6" s="1"/>
  <c r="K15" i="6"/>
  <c r="G15" i="5" s="1"/>
  <c r="G39" i="5" s="1"/>
  <c r="E62" i="8"/>
  <c r="N16" i="8"/>
  <c r="N18" i="9"/>
  <c r="K23" i="6"/>
  <c r="O15" i="5" s="1"/>
  <c r="I22" i="6"/>
  <c r="C99" i="11"/>
  <c r="C79" i="11"/>
  <c r="K79" i="11" s="1"/>
  <c r="C72" i="11"/>
  <c r="C65" i="11"/>
  <c r="C49" i="11"/>
  <c r="C35" i="11"/>
  <c r="C75" i="11"/>
  <c r="J23" i="6"/>
  <c r="Q23" i="6" s="1"/>
  <c r="D40" i="6" s="1"/>
  <c r="I20" i="6"/>
  <c r="J18" i="6"/>
  <c r="Q18" i="6" s="1"/>
  <c r="D35" i="6" s="1"/>
  <c r="K77" i="11"/>
  <c r="C57" i="11"/>
  <c r="C48" i="11"/>
  <c r="N14" i="8"/>
  <c r="K21" i="6"/>
  <c r="M15" i="5" s="1"/>
  <c r="C3" i="7"/>
  <c r="H60" i="8"/>
  <c r="N12" i="8"/>
  <c r="C91" i="11"/>
  <c r="C63" i="11"/>
  <c r="C33" i="11"/>
  <c r="H101" i="9"/>
  <c r="C69" i="11"/>
  <c r="J21" i="6"/>
  <c r="Q21" i="6" s="1"/>
  <c r="H38" i="6" s="1"/>
  <c r="K19" i="6"/>
  <c r="K15" i="5" s="1"/>
  <c r="I18" i="6"/>
  <c r="J16" i="6"/>
  <c r="Q16" i="6" s="1"/>
  <c r="D33" i="6" s="1"/>
  <c r="F30" i="14" s="1"/>
  <c r="F64" i="14" s="1"/>
  <c r="C110" i="11"/>
  <c r="C103" i="11"/>
  <c r="C90" i="11"/>
  <c r="C62" i="11"/>
  <c r="S10" i="6"/>
  <c r="W10" i="6" s="1"/>
  <c r="V5" i="6"/>
  <c r="N20" i="8"/>
  <c r="C122" i="11"/>
  <c r="C116" i="11"/>
  <c r="C36" i="11"/>
  <c r="C119" i="11"/>
  <c r="C113" i="11"/>
  <c r="C107" i="11"/>
  <c r="C89" i="11"/>
  <c r="C71" i="11"/>
  <c r="C53" i="11"/>
  <c r="K53" i="11" s="1"/>
  <c r="C40" i="11"/>
  <c r="C120" i="11"/>
  <c r="C112" i="11"/>
  <c r="C94" i="11"/>
  <c r="C76" i="11"/>
  <c r="C58" i="11"/>
  <c r="F28" i="8"/>
  <c r="D28" i="8"/>
  <c r="R28" i="9"/>
  <c r="L28" i="9"/>
  <c r="N103" i="9"/>
  <c r="E103" i="9"/>
  <c r="A103" i="9"/>
  <c r="X104" i="9"/>
  <c r="N104" i="9"/>
  <c r="E104" i="9"/>
  <c r="N63" i="8"/>
  <c r="E63" i="8"/>
  <c r="A63" i="8"/>
  <c r="Q10" i="6"/>
  <c r="F37" i="5"/>
  <c r="F38" i="5" s="1"/>
  <c r="N24" i="6"/>
  <c r="N22" i="6"/>
  <c r="N20" i="6"/>
  <c r="N18" i="6"/>
  <c r="N16" i="6"/>
  <c r="K24" i="6"/>
  <c r="P15" i="5" s="1"/>
  <c r="K22" i="6"/>
  <c r="N15" i="5" s="1"/>
  <c r="K20" i="6"/>
  <c r="L15" i="5" s="1"/>
  <c r="K18" i="6"/>
  <c r="J15" i="5" s="1"/>
  <c r="K16" i="6"/>
  <c r="H15" i="5" s="1"/>
  <c r="I14" i="4"/>
  <c r="I5" i="4"/>
  <c r="I10" i="4"/>
  <c r="I9" i="4"/>
  <c r="F38" i="9" l="1"/>
  <c r="F38" i="14"/>
  <c r="F72" i="14" s="1"/>
  <c r="E100" i="13"/>
  <c r="E100" i="14"/>
  <c r="F37" i="9"/>
  <c r="F37" i="14"/>
  <c r="F71" i="14" s="1"/>
  <c r="E76" i="9"/>
  <c r="E76" i="14"/>
  <c r="F31" i="9"/>
  <c r="F31" i="14"/>
  <c r="F65" i="14" s="1"/>
  <c r="F33" i="9"/>
  <c r="F33" i="14"/>
  <c r="F67" i="14" s="1"/>
  <c r="D73" i="14"/>
  <c r="L73" i="14" s="1"/>
  <c r="R39" i="14"/>
  <c r="R73" i="14" s="1"/>
  <c r="G76" i="9"/>
  <c r="G76" i="14"/>
  <c r="G75" i="9"/>
  <c r="G75" i="14"/>
  <c r="F32" i="9"/>
  <c r="F66" i="9" s="1"/>
  <c r="F32" i="14"/>
  <c r="F66" i="14" s="1"/>
  <c r="E75" i="9"/>
  <c r="E75" i="14"/>
  <c r="F29" i="9"/>
  <c r="F29" i="14"/>
  <c r="F63" i="14" s="1"/>
  <c r="N100" i="14"/>
  <c r="X100" i="14"/>
  <c r="F30" i="13"/>
  <c r="F64" i="13" s="1"/>
  <c r="F30" i="9"/>
  <c r="F32" i="13"/>
  <c r="F66" i="13" s="1"/>
  <c r="F29" i="13"/>
  <c r="F63" i="13" s="1"/>
  <c r="F38" i="13"/>
  <c r="F72" i="13" s="1"/>
  <c r="N100" i="13"/>
  <c r="X100" i="13"/>
  <c r="N20" i="9"/>
  <c r="N20" i="13"/>
  <c r="F37" i="13"/>
  <c r="F71" i="13" s="1"/>
  <c r="F31" i="13"/>
  <c r="F65" i="13" s="1"/>
  <c r="F33" i="13"/>
  <c r="F67" i="13" s="1"/>
  <c r="N32" i="6"/>
  <c r="H32" i="6"/>
  <c r="U23" i="6"/>
  <c r="O32" i="6"/>
  <c r="P34" i="6"/>
  <c r="P33" i="6"/>
  <c r="Q36" i="6"/>
  <c r="U20" i="6"/>
  <c r="U15" i="6"/>
  <c r="U19" i="6"/>
  <c r="U17" i="6"/>
  <c r="D38" i="6"/>
  <c r="H41" i="6"/>
  <c r="D39" i="6"/>
  <c r="D37" i="6"/>
  <c r="H36" i="6"/>
  <c r="H35" i="6"/>
  <c r="F30" i="8"/>
  <c r="H33" i="6"/>
  <c r="E35" i="8"/>
  <c r="P41" i="5"/>
  <c r="O35" i="6"/>
  <c r="N33" i="6"/>
  <c r="G41" i="5"/>
  <c r="H34" i="6"/>
  <c r="Q32" i="6"/>
  <c r="P31" i="6"/>
  <c r="N34" i="6"/>
  <c r="N35" i="6"/>
  <c r="P32" i="6"/>
  <c r="X10" i="6"/>
  <c r="O36" i="6"/>
  <c r="V10" i="6"/>
  <c r="O39" i="6"/>
  <c r="Q33" i="6"/>
  <c r="N37" i="6"/>
  <c r="Q34" i="6"/>
  <c r="P38" i="6"/>
  <c r="F29" i="8"/>
  <c r="N36" i="6"/>
  <c r="N38" i="6"/>
  <c r="H40" i="6"/>
  <c r="Q37" i="6"/>
  <c r="N60" i="8"/>
  <c r="X60" i="8"/>
  <c r="N39" i="6"/>
  <c r="P36" i="6"/>
  <c r="N31" i="6"/>
  <c r="P37" i="6"/>
  <c r="O33" i="6"/>
  <c r="Q31" i="6"/>
  <c r="O38" i="6"/>
  <c r="Q35" i="6"/>
  <c r="O34" i="6"/>
  <c r="Q39" i="6"/>
  <c r="P35" i="6"/>
  <c r="U24" i="6"/>
  <c r="U16" i="6"/>
  <c r="U18" i="6"/>
  <c r="E34" i="8"/>
  <c r="U22" i="6"/>
  <c r="V53" i="6" a="1"/>
  <c r="Z53" i="6" s="1"/>
  <c r="Q38" i="6"/>
  <c r="F31" i="8"/>
  <c r="N101" i="9"/>
  <c r="X101" i="9"/>
  <c r="O31" i="6"/>
  <c r="O37" i="6"/>
  <c r="P39" i="6"/>
  <c r="U21" i="6"/>
  <c r="U10" i="6"/>
  <c r="G34" i="8"/>
  <c r="E60" i="8"/>
  <c r="E101" i="9"/>
  <c r="G35" i="8"/>
  <c r="H39" i="5"/>
  <c r="H41" i="5"/>
  <c r="P39" i="5"/>
  <c r="P29" i="5"/>
  <c r="G41" i="6"/>
  <c r="G37" i="6"/>
  <c r="G39" i="6"/>
  <c r="V42" i="6" a="1"/>
  <c r="G33" i="6"/>
  <c r="V31" i="6" a="1"/>
  <c r="G35" i="6"/>
  <c r="L39" i="5"/>
  <c r="L41" i="5"/>
  <c r="M39" i="5"/>
  <c r="M41" i="5"/>
  <c r="O39" i="5"/>
  <c r="O41" i="5"/>
  <c r="K39" i="5"/>
  <c r="K41" i="5"/>
  <c r="N39" i="5"/>
  <c r="N41" i="5"/>
  <c r="J39" i="5"/>
  <c r="J41" i="5"/>
  <c r="I39" i="5"/>
  <c r="I41" i="5"/>
  <c r="F63" i="9" l="1"/>
  <c r="F72" i="9"/>
  <c r="F71" i="9"/>
  <c r="F65" i="9"/>
  <c r="F67" i="9"/>
  <c r="F64" i="9"/>
  <c r="F34" i="9"/>
  <c r="F34" i="14"/>
  <c r="F68" i="14" s="1"/>
  <c r="F36" i="9"/>
  <c r="F36" i="14"/>
  <c r="F70" i="14" s="1"/>
  <c r="F35" i="9"/>
  <c r="F35" i="14"/>
  <c r="F69" i="14" s="1"/>
  <c r="V15" i="6"/>
  <c r="F68" i="9"/>
  <c r="F34" i="13"/>
  <c r="F68" i="13" s="1"/>
  <c r="F70" i="9"/>
  <c r="F36" i="13"/>
  <c r="F70" i="13" s="1"/>
  <c r="F35" i="13"/>
  <c r="F69" i="13" s="1"/>
  <c r="P40" i="6"/>
  <c r="V18" i="6"/>
  <c r="Q41" i="6" a="1"/>
  <c r="Q41" i="6" s="1"/>
  <c r="V17" i="6"/>
  <c r="O41" i="6" a="1"/>
  <c r="O41" i="6" s="1"/>
  <c r="AB53" i="6"/>
  <c r="P41" i="6" a="1"/>
  <c r="P41" i="6" s="1"/>
  <c r="V23" i="6"/>
  <c r="AC53" i="6"/>
  <c r="AA53" i="6"/>
  <c r="W53" i="6"/>
  <c r="Y53" i="6"/>
  <c r="V53" i="6"/>
  <c r="X53" i="6"/>
  <c r="AE53" i="6"/>
  <c r="AD53" i="6"/>
  <c r="V19" i="6"/>
  <c r="V24" i="6"/>
  <c r="V22" i="6"/>
  <c r="V20" i="6"/>
  <c r="V21" i="6"/>
  <c r="V16" i="6"/>
  <c r="AD42" i="6"/>
  <c r="V42" i="6"/>
  <c r="AA42" i="6"/>
  <c r="W42" i="6"/>
  <c r="X42" i="6"/>
  <c r="Y42" i="6"/>
  <c r="Z42" i="6"/>
  <c r="AC42" i="6"/>
  <c r="AE42" i="6"/>
  <c r="AB42" i="6"/>
  <c r="AC31" i="6"/>
  <c r="AD31" i="6"/>
  <c r="AE31" i="6"/>
  <c r="Z31" i="6"/>
  <c r="AA31" i="6"/>
  <c r="V31" i="6"/>
  <c r="Y31" i="6"/>
  <c r="W31" i="6"/>
  <c r="X31" i="6"/>
  <c r="AB31" i="6"/>
  <c r="F69" i="9" l="1"/>
  <c r="X35" i="6"/>
  <c r="X34" i="6"/>
  <c r="X33" i="6"/>
  <c r="X32" i="6"/>
  <c r="X46" i="6" s="1"/>
  <c r="AA33" i="6"/>
  <c r="AA32" i="6"/>
  <c r="AA46" i="6" s="1"/>
  <c r="AA35" i="6"/>
  <c r="AA34" i="6"/>
  <c r="AC43" i="6"/>
  <c r="AC55" i="6"/>
  <c r="AC45" i="6"/>
  <c r="AC57" i="6"/>
  <c r="AC44" i="6"/>
  <c r="AC56" i="6"/>
  <c r="AC54" i="6"/>
  <c r="Z35" i="6"/>
  <c r="Z32" i="6"/>
  <c r="Z46" i="6" s="1"/>
  <c r="Z34" i="6"/>
  <c r="Z33" i="6"/>
  <c r="Z45" i="6"/>
  <c r="Z57" i="6"/>
  <c r="Z44" i="6"/>
  <c r="Z56" i="6"/>
  <c r="Z55" i="6"/>
  <c r="Z43" i="6"/>
  <c r="Z54" i="6"/>
  <c r="AE33" i="6"/>
  <c r="AE32" i="6"/>
  <c r="AE46" i="6" s="1"/>
  <c r="AE35" i="6"/>
  <c r="AE34" i="6"/>
  <c r="Y44" i="6"/>
  <c r="Y56" i="6"/>
  <c r="Y43" i="6"/>
  <c r="Y55" i="6"/>
  <c r="Y54" i="6"/>
  <c r="Y45" i="6"/>
  <c r="Y57" i="6"/>
  <c r="AD32" i="6"/>
  <c r="AD46" i="6" s="1"/>
  <c r="AD34" i="6"/>
  <c r="AD35" i="6"/>
  <c r="AD33" i="6"/>
  <c r="X45" i="6"/>
  <c r="X57" i="6"/>
  <c r="X44" i="6"/>
  <c r="X56" i="6"/>
  <c r="X43" i="6"/>
  <c r="X55" i="6"/>
  <c r="X54" i="6"/>
  <c r="Y35" i="6"/>
  <c r="Y34" i="6"/>
  <c r="Y33" i="6"/>
  <c r="Y32" i="6"/>
  <c r="Y46" i="6" s="1"/>
  <c r="AB54" i="6"/>
  <c r="AB45" i="6"/>
  <c r="AB57" i="6"/>
  <c r="AB44" i="6"/>
  <c r="AB56" i="6"/>
  <c r="AB55" i="6"/>
  <c r="AB43" i="6"/>
  <c r="V35" i="6"/>
  <c r="V34" i="6"/>
  <c r="V33" i="6"/>
  <c r="V32" i="6"/>
  <c r="V46" i="6" s="1"/>
  <c r="AC34" i="6"/>
  <c r="AC35" i="6"/>
  <c r="AC32" i="6"/>
  <c r="AC46" i="6" s="1"/>
  <c r="AC33" i="6"/>
  <c r="W56" i="6"/>
  <c r="W43" i="6"/>
  <c r="W55" i="6"/>
  <c r="W54" i="6"/>
  <c r="W45" i="6"/>
  <c r="W57" i="6"/>
  <c r="W44" i="6"/>
  <c r="W35" i="6"/>
  <c r="W34" i="6"/>
  <c r="W33" i="6"/>
  <c r="W32" i="6"/>
  <c r="W46" i="6" s="1"/>
  <c r="AE44" i="6"/>
  <c r="AE56" i="6"/>
  <c r="AE45" i="6"/>
  <c r="AE57" i="6"/>
  <c r="AE43" i="6"/>
  <c r="AE55" i="6"/>
  <c r="AE54" i="6"/>
  <c r="AA45" i="6"/>
  <c r="AA57" i="6"/>
  <c r="AA44" i="6"/>
  <c r="AA56" i="6"/>
  <c r="AA43" i="6"/>
  <c r="AA55" i="6"/>
  <c r="AA54" i="6"/>
  <c r="V44" i="6"/>
  <c r="V56" i="6"/>
  <c r="V45" i="6"/>
  <c r="V43" i="6"/>
  <c r="V55" i="6"/>
  <c r="V54" i="6"/>
  <c r="V57" i="6"/>
  <c r="AB33" i="6"/>
  <c r="AB32" i="6"/>
  <c r="AB46" i="6" s="1"/>
  <c r="AB34" i="6"/>
  <c r="AB35" i="6"/>
  <c r="AD54" i="6"/>
  <c r="AD56" i="6"/>
  <c r="AD44" i="6"/>
  <c r="AD57" i="6"/>
  <c r="AD45" i="6"/>
  <c r="AD43" i="6"/>
  <c r="AD55" i="6"/>
  <c r="AB58" i="6" l="1"/>
  <c r="T21" i="6" s="1"/>
  <c r="AC58" i="6"/>
  <c r="T22" i="6" s="1"/>
  <c r="AA58" i="6"/>
  <c r="T20" i="6" s="1"/>
  <c r="X58" i="6"/>
  <c r="T17" i="6" s="1"/>
  <c r="AB36" i="6"/>
  <c r="O21" i="6" s="1"/>
  <c r="AA47" i="6"/>
  <c r="S20" i="6" s="1"/>
  <c r="V58" i="6"/>
  <c r="T15" i="6" s="1"/>
  <c r="AE58" i="6"/>
  <c r="T24" i="6" s="1"/>
  <c r="Z58" i="6"/>
  <c r="T19" i="6" s="1"/>
  <c r="V47" i="6"/>
  <c r="S15" i="6" s="1"/>
  <c r="W58" i="6"/>
  <c r="T16" i="6" s="1"/>
  <c r="Z47" i="6"/>
  <c r="S19" i="6" s="1"/>
  <c r="AB47" i="6"/>
  <c r="S21" i="6" s="1"/>
  <c r="X47" i="6"/>
  <c r="S17" i="6" s="1"/>
  <c r="AE47" i="6"/>
  <c r="S24" i="6" s="1"/>
  <c r="AC36" i="6"/>
  <c r="O22" i="6" s="1"/>
  <c r="Y47" i="6"/>
  <c r="S18" i="6" s="1"/>
  <c r="Z36" i="6"/>
  <c r="O19" i="6" s="1"/>
  <c r="AD47" i="6"/>
  <c r="S23" i="6" s="1"/>
  <c r="Y58" i="6"/>
  <c r="T18" i="6" s="1"/>
  <c r="W36" i="6"/>
  <c r="O16" i="6" s="1"/>
  <c r="AD36" i="6"/>
  <c r="O23" i="6" s="1"/>
  <c r="AA36" i="6"/>
  <c r="O20" i="6" s="1"/>
  <c r="Y36" i="6"/>
  <c r="O18" i="6" s="1"/>
  <c r="AE36" i="6"/>
  <c r="O24" i="6" s="1"/>
  <c r="X36" i="6"/>
  <c r="O17" i="6" s="1"/>
  <c r="AD58" i="6"/>
  <c r="T23" i="6" s="1"/>
  <c r="W47" i="6"/>
  <c r="S16" i="6" s="1"/>
  <c r="V36" i="6"/>
  <c r="O15" i="6" s="1"/>
  <c r="AC47" i="6"/>
  <c r="S22" i="6" s="1"/>
  <c r="H12" i="5"/>
  <c r="G11" i="5"/>
  <c r="P10" i="5"/>
  <c r="N10" i="5"/>
  <c r="H11" i="5"/>
  <c r="J10" i="5"/>
  <c r="K11" i="5"/>
  <c r="L11" i="5"/>
  <c r="H10" i="5"/>
  <c r="O10" i="5"/>
  <c r="P11" i="5"/>
  <c r="K12" i="5"/>
  <c r="G12" i="5"/>
  <c r="L12" i="5"/>
  <c r="I12" i="5"/>
  <c r="G10" i="5"/>
  <c r="I10" i="5"/>
  <c r="O11" i="5"/>
  <c r="N11" i="5"/>
  <c r="J12" i="5"/>
  <c r="L10" i="5"/>
  <c r="K10" i="5"/>
  <c r="M10" i="5"/>
  <c r="I11" i="5"/>
  <c r="M12" i="5"/>
  <c r="N12" i="5"/>
  <c r="J11" i="5"/>
  <c r="P12" i="5"/>
  <c r="O12" i="5"/>
  <c r="M11" i="5"/>
  <c r="L13" i="5" l="1"/>
  <c r="L16" i="5"/>
  <c r="L9" i="5"/>
  <c r="L14" i="5"/>
  <c r="P21" i="6"/>
  <c r="R21" i="6" s="1"/>
  <c r="P9" i="5"/>
  <c r="P16" i="5"/>
  <c r="P30" i="5" s="1"/>
  <c r="P24" i="5"/>
  <c r="P14" i="5"/>
  <c r="P28" i="5" s="1"/>
  <c r="P13" i="5"/>
  <c r="P27" i="5" s="1"/>
  <c r="P25" i="5"/>
  <c r="M9" i="5"/>
  <c r="M16" i="5"/>
  <c r="M14" i="5"/>
  <c r="M13" i="5"/>
  <c r="K9" i="5"/>
  <c r="K16" i="5"/>
  <c r="K14" i="5"/>
  <c r="K13" i="5"/>
  <c r="G14" i="5"/>
  <c r="G9" i="5"/>
  <c r="G13" i="5"/>
  <c r="G16" i="5"/>
  <c r="I9" i="5"/>
  <c r="I16" i="5"/>
  <c r="I13" i="5"/>
  <c r="I14" i="5"/>
  <c r="P26" i="5"/>
  <c r="N9" i="5"/>
  <c r="N14" i="5"/>
  <c r="N16" i="5"/>
  <c r="N13" i="5"/>
  <c r="O9" i="5"/>
  <c r="O16" i="5"/>
  <c r="O14" i="5"/>
  <c r="O13" i="5"/>
  <c r="H16" i="5"/>
  <c r="H14" i="5"/>
  <c r="H9" i="5"/>
  <c r="H13" i="5"/>
  <c r="J13" i="5"/>
  <c r="J14" i="5"/>
  <c r="J9" i="5"/>
  <c r="J16" i="5"/>
  <c r="P22" i="6"/>
  <c r="P17" i="6"/>
  <c r="P24" i="6"/>
  <c r="P18" i="6"/>
  <c r="P20" i="6"/>
  <c r="P23" i="6"/>
  <c r="P16" i="6"/>
  <c r="P15" i="6"/>
  <c r="P19" i="6"/>
  <c r="C38" i="6" l="1"/>
  <c r="L28" i="5" a="1"/>
  <c r="L28" i="5" s="1"/>
  <c r="L30" i="5" a="1"/>
  <c r="L30" i="5" s="1"/>
  <c r="L27" i="5" a="1"/>
  <c r="L27" i="5" s="1"/>
  <c r="L26" i="5" a="1"/>
  <c r="L26" i="5" s="1"/>
  <c r="L23" i="5" a="1"/>
  <c r="L23" i="5" s="1"/>
  <c r="L24" i="5" a="1"/>
  <c r="L24" i="5" s="1"/>
  <c r="L29" i="5" a="1"/>
  <c r="L29" i="5" s="1"/>
  <c r="N24" i="5" a="1"/>
  <c r="N24" i="5" s="1"/>
  <c r="L17" i="5"/>
  <c r="F45" i="5" s="1"/>
  <c r="F55" i="5" s="1"/>
  <c r="G55" i="5" s="1"/>
  <c r="J37" i="6" s="1"/>
  <c r="L25" i="5" a="1"/>
  <c r="L25" i="5" s="1"/>
  <c r="H24" i="5" a="1"/>
  <c r="H24" i="5" s="1"/>
  <c r="K25" i="5" a="1"/>
  <c r="K25" i="5" s="1"/>
  <c r="G30" i="5" a="1"/>
  <c r="G30" i="5" s="1"/>
  <c r="K24" i="5" a="1"/>
  <c r="K24" i="5" s="1"/>
  <c r="I27" i="5" a="1"/>
  <c r="I27" i="5" s="1"/>
  <c r="J24" i="5" a="1"/>
  <c r="J24" i="5" s="1"/>
  <c r="K30" i="5" a="1"/>
  <c r="K30" i="5" s="1"/>
  <c r="N27" i="5" a="1"/>
  <c r="N27" i="5" s="1"/>
  <c r="G25" i="5" a="1"/>
  <c r="G25" i="5" s="1"/>
  <c r="M30" i="5" a="1"/>
  <c r="M30" i="5" s="1"/>
  <c r="O17" i="5"/>
  <c r="O23" i="5" a="1"/>
  <c r="O23" i="5" s="1"/>
  <c r="O29" i="5" a="1"/>
  <c r="O29" i="5" s="1"/>
  <c r="J28" i="5" a="1"/>
  <c r="J28" i="5" s="1"/>
  <c r="I30" i="5" a="1"/>
  <c r="I30" i="5" s="1"/>
  <c r="M23" i="5" a="1"/>
  <c r="M23" i="5" s="1"/>
  <c r="M17" i="5"/>
  <c r="M29" i="5" a="1"/>
  <c r="M29" i="5" s="1"/>
  <c r="M25" i="5" a="1"/>
  <c r="M25" i="5" s="1"/>
  <c r="M26" i="5" a="1"/>
  <c r="M26" i="5" s="1"/>
  <c r="E38" i="6"/>
  <c r="I38" i="6"/>
  <c r="C40" i="6"/>
  <c r="R23" i="6"/>
  <c r="J27" i="5" a="1"/>
  <c r="J27" i="5" s="1"/>
  <c r="I24" i="5" a="1"/>
  <c r="I24" i="5" s="1"/>
  <c r="I17" i="5"/>
  <c r="I23" i="5" a="1"/>
  <c r="I23" i="5" s="1"/>
  <c r="I26" i="5" a="1"/>
  <c r="I26" i="5" s="1"/>
  <c r="I29" i="5" a="1"/>
  <c r="I29" i="5" s="1"/>
  <c r="J25" i="5" a="1"/>
  <c r="J25" i="5" s="1"/>
  <c r="H25" i="5" a="1"/>
  <c r="H25" i="5" s="1"/>
  <c r="H27" i="5" a="1"/>
  <c r="H27" i="5" s="1"/>
  <c r="C41" i="6"/>
  <c r="R24" i="6"/>
  <c r="H23" i="5" a="1"/>
  <c r="H23" i="5" s="1"/>
  <c r="H17" i="5"/>
  <c r="H29" i="5" a="1"/>
  <c r="H29" i="5" s="1"/>
  <c r="N30" i="5" a="1"/>
  <c r="N30" i="5" s="1"/>
  <c r="G27" i="5" a="1"/>
  <c r="G27" i="5" s="1"/>
  <c r="K27" i="5" a="1"/>
  <c r="K27" i="5" s="1"/>
  <c r="G24" i="5" a="1"/>
  <c r="G24" i="5" s="1"/>
  <c r="C34" i="6"/>
  <c r="R17" i="6"/>
  <c r="H28" i="5" a="1"/>
  <c r="H28" i="5" s="1"/>
  <c r="N28" i="5" a="1"/>
  <c r="N28" i="5" s="1"/>
  <c r="G29" i="5" a="1"/>
  <c r="G29" i="5" s="1"/>
  <c r="G26" i="5" a="1"/>
  <c r="G26" i="5" s="1"/>
  <c r="G23" i="5" a="1"/>
  <c r="G23" i="5" s="1"/>
  <c r="G17" i="5"/>
  <c r="K28" i="5" a="1"/>
  <c r="K28" i="5" s="1"/>
  <c r="H30" i="5" a="1"/>
  <c r="H30" i="5" s="1"/>
  <c r="N23" i="5" a="1"/>
  <c r="N23" i="5" s="1"/>
  <c r="N17" i="5"/>
  <c r="N29" i="5" a="1"/>
  <c r="N29" i="5" s="1"/>
  <c r="N26" i="5" a="1"/>
  <c r="N26" i="5" s="1"/>
  <c r="G28" i="5" a="1"/>
  <c r="G28" i="5" s="1"/>
  <c r="C37" i="6"/>
  <c r="R20" i="6"/>
  <c r="O24" i="5" a="1"/>
  <c r="O24" i="5" s="1"/>
  <c r="O25" i="5" a="1"/>
  <c r="O25" i="5" s="1"/>
  <c r="K29" i="5" a="1"/>
  <c r="K29" i="5" s="1"/>
  <c r="K17" i="5"/>
  <c r="K23" i="5" a="1"/>
  <c r="K23" i="5" s="1"/>
  <c r="P17" i="5"/>
  <c r="P23" i="5"/>
  <c r="P31" i="5" s="1"/>
  <c r="C35" i="6"/>
  <c r="R18" i="6"/>
  <c r="C39" i="6"/>
  <c r="R22" i="6"/>
  <c r="R19" i="6"/>
  <c r="C36" i="6"/>
  <c r="O27" i="5" a="1"/>
  <c r="O27" i="5" s="1"/>
  <c r="J26" i="5" a="1"/>
  <c r="J26" i="5" s="1"/>
  <c r="H26" i="5" a="1"/>
  <c r="H26" i="5" s="1"/>
  <c r="M24" i="5" a="1"/>
  <c r="M24" i="5" s="1"/>
  <c r="I25" i="5" a="1"/>
  <c r="I25" i="5" s="1"/>
  <c r="C32" i="6"/>
  <c r="R15" i="6"/>
  <c r="O28" i="5" a="1"/>
  <c r="O28" i="5" s="1"/>
  <c r="K26" i="5" a="1"/>
  <c r="K26" i="5" s="1"/>
  <c r="M27" i="5" a="1"/>
  <c r="M27" i="5" s="1"/>
  <c r="N25" i="5" a="1"/>
  <c r="N25" i="5" s="1"/>
  <c r="J17" i="5"/>
  <c r="J23" i="5" a="1"/>
  <c r="J23" i="5" s="1"/>
  <c r="J29" i="5" a="1"/>
  <c r="J29" i="5" s="1"/>
  <c r="C33" i="6"/>
  <c r="R16" i="6"/>
  <c r="J30" i="5" a="1"/>
  <c r="J30" i="5" s="1"/>
  <c r="O30" i="5" a="1"/>
  <c r="O30" i="5" s="1"/>
  <c r="I28" i="5" a="1"/>
  <c r="I28" i="5" s="1"/>
  <c r="M28" i="5" a="1"/>
  <c r="M28" i="5" s="1"/>
  <c r="O26" i="5" a="1"/>
  <c r="O26" i="5" s="1"/>
  <c r="D32" i="9" l="1"/>
  <c r="D66" i="9" s="1"/>
  <c r="D32" i="14"/>
  <c r="D66" i="14" s="1"/>
  <c r="D31" i="9"/>
  <c r="D31" i="14"/>
  <c r="D65" i="14" s="1"/>
  <c r="D37" i="9"/>
  <c r="D71" i="9" s="1"/>
  <c r="D37" i="14"/>
  <c r="D71" i="14" s="1"/>
  <c r="D29" i="9"/>
  <c r="D29" i="14"/>
  <c r="D63" i="14" s="1"/>
  <c r="D36" i="9"/>
  <c r="D70" i="9" s="1"/>
  <c r="D36" i="14"/>
  <c r="D70" i="14" s="1"/>
  <c r="L35" i="9"/>
  <c r="L69" i="9" s="1"/>
  <c r="L35" i="14"/>
  <c r="D33" i="9"/>
  <c r="D67" i="9" s="1"/>
  <c r="D33" i="14"/>
  <c r="D67" i="14" s="1"/>
  <c r="D30" i="9"/>
  <c r="D30" i="14"/>
  <c r="D64" i="14" s="1"/>
  <c r="D34" i="9"/>
  <c r="D68" i="9" s="1"/>
  <c r="D34" i="14"/>
  <c r="D68" i="14" s="1"/>
  <c r="D38" i="9"/>
  <c r="D38" i="14"/>
  <c r="D72" i="14" s="1"/>
  <c r="D35" i="9"/>
  <c r="D69" i="9" s="1"/>
  <c r="D35" i="14"/>
  <c r="D69" i="14" s="1"/>
  <c r="D38" i="13"/>
  <c r="D37" i="13"/>
  <c r="D36" i="13"/>
  <c r="D35" i="13"/>
  <c r="D34" i="13"/>
  <c r="D33" i="13"/>
  <c r="D32" i="13"/>
  <c r="L35" i="13"/>
  <c r="J18" i="10"/>
  <c r="L18" i="10" s="1"/>
  <c r="D31" i="13"/>
  <c r="J16" i="10"/>
  <c r="L16" i="10" s="1"/>
  <c r="D29" i="13"/>
  <c r="J17" i="10"/>
  <c r="M17" i="10" s="1"/>
  <c r="D30" i="13"/>
  <c r="J24" i="10"/>
  <c r="L24" i="10" s="1"/>
  <c r="J25" i="10"/>
  <c r="L25" i="10" s="1"/>
  <c r="J21" i="10"/>
  <c r="M21" i="10" s="1"/>
  <c r="J23" i="10"/>
  <c r="M23" i="10" s="1"/>
  <c r="J22" i="10"/>
  <c r="L22" i="10" s="1"/>
  <c r="M7" i="5"/>
  <c r="M21" i="5" s="1"/>
  <c r="J20" i="10"/>
  <c r="J19" i="10"/>
  <c r="D31" i="8"/>
  <c r="D29" i="8"/>
  <c r="D30" i="8"/>
  <c r="L31" i="5"/>
  <c r="I31" i="5"/>
  <c r="G31" i="5"/>
  <c r="E33" i="6"/>
  <c r="L30" i="14" s="1"/>
  <c r="I33" i="6"/>
  <c r="K31" i="5"/>
  <c r="F46" i="5"/>
  <c r="F56" i="5" s="1"/>
  <c r="G56" i="5" s="1"/>
  <c r="J38" i="6" s="1"/>
  <c r="F42" i="5"/>
  <c r="F52" i="5" s="1"/>
  <c r="G52" i="5" s="1"/>
  <c r="F34" i="6" s="1"/>
  <c r="R31" i="8" s="1"/>
  <c r="K7" i="5"/>
  <c r="K21" i="5" s="1"/>
  <c r="H31" i="5"/>
  <c r="E36" i="6"/>
  <c r="I36" i="6"/>
  <c r="E37" i="6"/>
  <c r="I37" i="6"/>
  <c r="E41" i="6"/>
  <c r="I41" i="6"/>
  <c r="I40" i="6"/>
  <c r="E40" i="6"/>
  <c r="M31" i="5"/>
  <c r="F43" i="5"/>
  <c r="F53" i="5" s="1"/>
  <c r="G53" i="5" s="1"/>
  <c r="J35" i="6" s="1"/>
  <c r="E39" i="6"/>
  <c r="I39" i="6"/>
  <c r="F37" i="6"/>
  <c r="L7" i="5"/>
  <c r="L21" i="5" s="1"/>
  <c r="P7" i="5"/>
  <c r="P21" i="5" s="1"/>
  <c r="O7" i="5"/>
  <c r="O21" i="5" s="1"/>
  <c r="J31" i="5"/>
  <c r="O31" i="5"/>
  <c r="F44" i="5"/>
  <c r="F54" i="5" s="1"/>
  <c r="G54" i="5" s="1"/>
  <c r="J36" i="6" s="1"/>
  <c r="F40" i="5"/>
  <c r="F50" i="5" s="1"/>
  <c r="G50" i="5" s="1"/>
  <c r="F32" i="6" s="1"/>
  <c r="R29" i="8" s="1"/>
  <c r="E35" i="6"/>
  <c r="I35" i="6"/>
  <c r="E34" i="6"/>
  <c r="L31" i="14" s="1"/>
  <c r="I34" i="6"/>
  <c r="F48" i="5"/>
  <c r="F58" i="5" s="1"/>
  <c r="G58" i="5" s="1"/>
  <c r="F40" i="6" s="1"/>
  <c r="H7" i="5"/>
  <c r="H21" i="5" s="1"/>
  <c r="F41" i="5"/>
  <c r="F51" i="5" s="1"/>
  <c r="G51" i="5" s="1"/>
  <c r="J33" i="6" s="1"/>
  <c r="I7" i="5"/>
  <c r="I21" i="5" s="1"/>
  <c r="E32" i="6"/>
  <c r="L29" i="14" s="1"/>
  <c r="I32" i="6"/>
  <c r="G7" i="5"/>
  <c r="G21" i="5" s="1"/>
  <c r="F47" i="5"/>
  <c r="F57" i="5" s="1"/>
  <c r="G57" i="5" s="1"/>
  <c r="F39" i="6" s="1"/>
  <c r="N7" i="5"/>
  <c r="N21" i="5" s="1"/>
  <c r="J7" i="5"/>
  <c r="J21" i="5" s="1"/>
  <c r="F49" i="5"/>
  <c r="F59" i="5" s="1"/>
  <c r="G59" i="5" s="1"/>
  <c r="F41" i="6" s="1"/>
  <c r="N31" i="5"/>
  <c r="D72" i="9" l="1"/>
  <c r="R37" i="9"/>
  <c r="R71" i="9" s="1"/>
  <c r="R34" i="9"/>
  <c r="R68" i="9" s="1"/>
  <c r="R36" i="9"/>
  <c r="R70" i="9" s="1"/>
  <c r="R38" i="9"/>
  <c r="R72" i="9" s="1"/>
  <c r="L36" i="9"/>
  <c r="L70" i="9" s="1"/>
  <c r="L36" i="14"/>
  <c r="L34" i="9"/>
  <c r="L68" i="9" s="1"/>
  <c r="L34" i="14"/>
  <c r="L64" i="14"/>
  <c r="L63" i="14"/>
  <c r="R29" i="14"/>
  <c r="R63" i="14" s="1"/>
  <c r="L32" i="9"/>
  <c r="L66" i="9" s="1"/>
  <c r="L32" i="14"/>
  <c r="L38" i="9"/>
  <c r="L72" i="9" s="1"/>
  <c r="L38" i="14"/>
  <c r="L33" i="9"/>
  <c r="L67" i="9" s="1"/>
  <c r="L33" i="14"/>
  <c r="L69" i="14"/>
  <c r="L68" i="14"/>
  <c r="R34" i="14"/>
  <c r="R68" i="14" s="1"/>
  <c r="L67" i="14"/>
  <c r="L70" i="14"/>
  <c r="R36" i="14"/>
  <c r="R70" i="14" s="1"/>
  <c r="L71" i="14"/>
  <c r="R37" i="14"/>
  <c r="R71" i="14" s="1"/>
  <c r="L66" i="14"/>
  <c r="L72" i="14"/>
  <c r="R38" i="14"/>
  <c r="R72" i="14" s="1"/>
  <c r="L65" i="14"/>
  <c r="R31" i="14"/>
  <c r="R65" i="14" s="1"/>
  <c r="L37" i="9"/>
  <c r="L71" i="9" s="1"/>
  <c r="L37" i="14"/>
  <c r="R31" i="9"/>
  <c r="R65" i="9" s="1"/>
  <c r="R29" i="9"/>
  <c r="R63" i="9" s="1"/>
  <c r="L31" i="13"/>
  <c r="L31" i="9"/>
  <c r="L65" i="9" s="1"/>
  <c r="L30" i="13"/>
  <c r="L30" i="9"/>
  <c r="L64" i="9" s="1"/>
  <c r="L29" i="13"/>
  <c r="L29" i="9"/>
  <c r="L63" i="9" s="1"/>
  <c r="R38" i="13"/>
  <c r="R37" i="13"/>
  <c r="R34" i="13"/>
  <c r="K23" i="10"/>
  <c r="M18" i="10"/>
  <c r="K34" i="6" s="1"/>
  <c r="M24" i="10"/>
  <c r="K40" i="6" s="1"/>
  <c r="L17" i="10"/>
  <c r="R29" i="13"/>
  <c r="L38" i="13"/>
  <c r="L34" i="13"/>
  <c r="R36" i="13"/>
  <c r="M16" i="10"/>
  <c r="K32" i="6" s="1"/>
  <c r="L33" i="13"/>
  <c r="R31" i="13"/>
  <c r="L32" i="13"/>
  <c r="L37" i="13"/>
  <c r="L23" i="10"/>
  <c r="L36" i="13"/>
  <c r="K21" i="10"/>
  <c r="K24" i="10"/>
  <c r="L21" i="10"/>
  <c r="M22" i="10"/>
  <c r="K38" i="6" s="1"/>
  <c r="K25" i="10"/>
  <c r="M25" i="10"/>
  <c r="K41" i="6" s="1"/>
  <c r="K16" i="10"/>
  <c r="K18" i="10"/>
  <c r="L20" i="10"/>
  <c r="M20" i="10"/>
  <c r="K36" i="6" s="1"/>
  <c r="L19" i="10"/>
  <c r="M19" i="10"/>
  <c r="K35" i="6" s="1"/>
  <c r="D64" i="9"/>
  <c r="D63" i="9"/>
  <c r="D65" i="9"/>
  <c r="F38" i="6"/>
  <c r="R35" i="9" s="1"/>
  <c r="R69" i="9" s="1"/>
  <c r="L30" i="8"/>
  <c r="L29" i="8"/>
  <c r="L31" i="8"/>
  <c r="F36" i="6"/>
  <c r="R33" i="9" s="1"/>
  <c r="R67" i="9" s="1"/>
  <c r="J34" i="6"/>
  <c r="J39" i="6"/>
  <c r="J32" i="6"/>
  <c r="J41" i="6"/>
  <c r="F35" i="6"/>
  <c r="R32" i="9" s="1"/>
  <c r="R66" i="9" s="1"/>
  <c r="F33" i="6"/>
  <c r="R30" i="14" s="1"/>
  <c r="R64" i="14" s="1"/>
  <c r="K33" i="6"/>
  <c r="J40" i="6"/>
  <c r="K39" i="6"/>
  <c r="K37" i="6"/>
  <c r="R33" i="14" l="1"/>
  <c r="R67" i="14" s="1"/>
  <c r="R35" i="14"/>
  <c r="R69" i="14" s="1"/>
  <c r="R32" i="14"/>
  <c r="R66" i="14" s="1"/>
  <c r="R30" i="13"/>
  <c r="R30" i="9"/>
  <c r="R64" i="9" s="1"/>
  <c r="R32" i="13"/>
  <c r="K22" i="10"/>
  <c r="R35" i="13"/>
  <c r="K20" i="10"/>
  <c r="R33" i="13"/>
  <c r="K17" i="10"/>
  <c r="K19" i="10"/>
  <c r="R30" i="8"/>
  <c r="D65" i="13" l="1"/>
  <c r="L65" i="13" s="1"/>
  <c r="D63" i="13"/>
  <c r="L63" i="13" s="1"/>
  <c r="D68" i="13"/>
  <c r="L68" i="13" s="1"/>
  <c r="D69" i="13"/>
  <c r="L69" i="13" s="1"/>
  <c r="D70" i="13"/>
  <c r="L70" i="13" s="1"/>
  <c r="D72" i="13"/>
  <c r="L72" i="13" s="1"/>
  <c r="D71" i="13"/>
  <c r="L71" i="13" s="1"/>
  <c r="R65" i="13"/>
  <c r="D67" i="13" l="1"/>
  <c r="L67" i="13" s="1"/>
  <c r="D64" i="13"/>
  <c r="L64" i="13" s="1"/>
  <c r="D66" i="13"/>
  <c r="L66" i="13" s="1"/>
  <c r="R72" i="13"/>
  <c r="R64" i="13"/>
  <c r="R66" i="13"/>
  <c r="R63" i="13"/>
  <c r="R71" i="13" l="1"/>
  <c r="R70" i="13"/>
  <c r="R67" i="13"/>
  <c r="R68" i="13"/>
  <c r="R6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Irina Olegovna Skvortsova</author>
  </authors>
  <commentList>
    <comment ref="G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Irina Olegovna Skvortsova:</t>
        </r>
        <r>
          <rPr>
            <sz val="9"/>
            <color indexed="81"/>
            <rFont val="Tahoma"/>
            <family val="2"/>
          </rPr>
          <t xml:space="preserve">
8 en la fórmula, 
es el número de línea hoja Excel encabezados esta tabla.</t>
        </r>
      </text>
    </comment>
  </commentList>
</comments>
</file>

<file path=xl/sharedStrings.xml><?xml version="1.0" encoding="utf-8"?>
<sst xmlns="http://schemas.openxmlformats.org/spreadsheetml/2006/main" count="1998" uniqueCount="1604">
  <si>
    <t>Firma:</t>
  </si>
  <si>
    <t>NI-MC-T-1325-2023</t>
  </si>
  <si>
    <t>FECHA</t>
  </si>
  <si>
    <t xml:space="preserve">EMITIÓ </t>
  </si>
  <si>
    <r>
      <t>9.</t>
    </r>
    <r>
      <rPr>
        <b/>
        <sz val="7"/>
        <color theme="1"/>
        <rFont val="Times New Roman"/>
        <family val="1"/>
      </rPr>
      <t xml:space="preserve">    </t>
    </r>
    <r>
      <rPr>
        <b/>
        <sz val="10"/>
        <color theme="1"/>
        <rFont val="Arial"/>
        <family val="2"/>
      </rPr>
      <t>NÚMERO DE CERTIFICADO</t>
    </r>
  </si>
  <si>
    <t>REVISADO Y APROBADO</t>
  </si>
  <si>
    <r>
      <t>8.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 xml:space="preserve"> REALIZADO POR </t>
    </r>
  </si>
  <si>
    <r>
      <t>7.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 xml:space="preserve"> OBSERVACIONES</t>
    </r>
  </si>
  <si>
    <t>NI-MCPT-</t>
  </si>
  <si>
    <r>
      <t>6.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>DESCRIPCIÓN DE LOS PATRONES UTILIZADOS</t>
    </r>
  </si>
  <si>
    <t>NI-MCIT-T-01 Instrucción para calibración de termómetros</t>
  </si>
  <si>
    <r>
      <t>5.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>DESCRIPCIÓN DEL METODO</t>
    </r>
  </si>
  <si>
    <t>Indicación del termómetro</t>
  </si>
  <si>
    <t>Indicación del patrón</t>
  </si>
  <si>
    <t>Linealidad</t>
  </si>
  <si>
    <r>
      <t>4.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>RESULTADOS DE LA CALIBRACIÓN</t>
    </r>
  </si>
  <si>
    <t>Finales</t>
  </si>
  <si>
    <t>NI-MCPPT-06</t>
  </si>
  <si>
    <t>Iniciales</t>
  </si>
  <si>
    <t>t estabilización [minutos]</t>
  </si>
  <si>
    <t>Barómetro código</t>
  </si>
  <si>
    <t>PA
(hPa)</t>
  </si>
  <si>
    <t>Higrotermómetro código:</t>
  </si>
  <si>
    <t>HR (%):</t>
  </si>
  <si>
    <t>T. A. (ºC):</t>
  </si>
  <si>
    <t>Condiciones Ambientales</t>
  </si>
  <si>
    <r>
      <t>3.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>CONDICIONES AMBIENTALES</t>
    </r>
  </si>
  <si>
    <t>Digital</t>
  </si>
  <si>
    <t>Analógico</t>
  </si>
  <si>
    <t>Resolución</t>
  </si>
  <si>
    <t>Código</t>
  </si>
  <si>
    <t>Rango de medida</t>
  </si>
  <si>
    <t>Modelo</t>
  </si>
  <si>
    <t>No de serie</t>
  </si>
  <si>
    <t>Unidad</t>
  </si>
  <si>
    <t>Fabricante/Marca</t>
  </si>
  <si>
    <t>Termómetro Analógico</t>
  </si>
  <si>
    <t>Descripción dispositivo</t>
  </si>
  <si>
    <r>
      <t>2.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>INFORMACIÓN EQUIPO</t>
    </r>
  </si>
  <si>
    <t>NI-CS-0063-23</t>
  </si>
  <si>
    <t>NI-CS-</t>
  </si>
  <si>
    <t>Laboratorio</t>
  </si>
  <si>
    <t>Lugar de calibración</t>
  </si>
  <si>
    <t>Fecha</t>
  </si>
  <si>
    <t xml:space="preserve">Agricola Nicavista </t>
  </si>
  <si>
    <t>Empresa</t>
  </si>
  <si>
    <r>
      <t>1.</t>
    </r>
    <r>
      <rPr>
        <b/>
        <sz val="9"/>
        <color theme="1"/>
        <rFont val="Times New Roman"/>
        <family val="1"/>
      </rPr>
      <t xml:space="preserve">    </t>
    </r>
    <r>
      <rPr>
        <b/>
        <sz val="9"/>
        <color theme="1"/>
        <rFont val="Arial"/>
        <family val="2"/>
      </rPr>
      <t>INFORMACIÓN DEL CLIENTE</t>
    </r>
  </si>
  <si>
    <t>No aplica</t>
  </si>
  <si>
    <t>No</t>
  </si>
  <si>
    <t>Sí</t>
  </si>
  <si>
    <t>Talleres abiertos, salas de fábricas</t>
  </si>
  <si>
    <t>Lugares sin ventanas en el centro de un edificio</t>
  </si>
  <si>
    <t>Una oficina o un laboratorio cerrados con ventanas</t>
  </si>
  <si>
    <t>in situ</t>
  </si>
  <si>
    <t>lab. Metrocal</t>
  </si>
  <si>
    <t>Baño de líquido</t>
  </si>
  <si>
    <t>Incubadora</t>
  </si>
  <si>
    <t>Baño María</t>
  </si>
  <si>
    <t>Sensor Termocupla</t>
  </si>
  <si>
    <t>Sensor Termopar</t>
  </si>
  <si>
    <t>Sensor de RTD</t>
  </si>
  <si>
    <t>Transmisores de Temperatura</t>
  </si>
  <si>
    <t>Termoregistrador</t>
  </si>
  <si>
    <t>Termo Balanza</t>
  </si>
  <si>
    <t>Termómetro Líquido en Vidrio</t>
  </si>
  <si>
    <t>Termómetro Infrarrojo</t>
  </si>
  <si>
    <t>Termómetro Bimetálico</t>
  </si>
  <si>
    <t>Termómetro Digital</t>
  </si>
  <si>
    <t>Datalogger</t>
  </si>
  <si>
    <t>Exactitud medición PB ±</t>
  </si>
  <si>
    <t>Celda condicional</t>
  </si>
  <si>
    <t>Promedio presión barométrica, hPa</t>
  </si>
  <si>
    <t>Presión barométrica final, hPa</t>
  </si>
  <si>
    <t>Resultados de cálculos</t>
  </si>
  <si>
    <t>Presión barométrica inicial, hPa</t>
  </si>
  <si>
    <t>Resolución higrotermometro HR %</t>
  </si>
  <si>
    <t>Celdas fuente listas despl.</t>
  </si>
  <si>
    <t>Exactitud medición HR ± %</t>
  </si>
  <si>
    <t>Promedio humedad relativa, %</t>
  </si>
  <si>
    <t>Incertidumbre fabricante ±</t>
  </si>
  <si>
    <t>Fórmulas de búsqueda</t>
  </si>
  <si>
    <t>Humedad relativa final, %</t>
  </si>
  <si>
    <t>Humedad relativa inicial, %</t>
  </si>
  <si>
    <r>
      <t xml:space="preserve">Resolución temperatura higrotm. 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</t>
    </r>
  </si>
  <si>
    <t>Serie</t>
  </si>
  <si>
    <t>Ing. Fredman A. Méndez M.</t>
  </si>
  <si>
    <t>Director calidad</t>
  </si>
  <si>
    <r>
      <t xml:space="preserve">Exactitud med. temp. ambiental </t>
    </r>
    <r>
      <rPr>
        <sz val="11"/>
        <color theme="1"/>
        <rFont val="Calibri"/>
        <family val="2"/>
      </rPr>
      <t xml:space="preserve">± </t>
    </r>
    <r>
      <rPr>
        <vertAlign val="superscript"/>
        <sz val="11"/>
        <color theme="1"/>
        <rFont val="Calibri"/>
        <family val="2"/>
      </rPr>
      <t>0</t>
    </r>
    <r>
      <rPr>
        <sz val="11"/>
        <color theme="1"/>
        <rFont val="Calibri"/>
        <family val="2"/>
      </rPr>
      <t>C</t>
    </r>
  </si>
  <si>
    <t>Director técnico</t>
  </si>
  <si>
    <t>Promedio temperaturas, °C</t>
  </si>
  <si>
    <t>Fabricante / Marca</t>
  </si>
  <si>
    <t>Aprobada por</t>
  </si>
  <si>
    <t>Temperatura ambiental final, °C</t>
  </si>
  <si>
    <t>Objeto de calibración</t>
  </si>
  <si>
    <t xml:space="preserve">Fecha de aprobación </t>
  </si>
  <si>
    <t>Temperatura ambiental inicial, °C</t>
  </si>
  <si>
    <t>Código de identificación</t>
  </si>
  <si>
    <t>Fecha de validación</t>
  </si>
  <si>
    <t>Higrotermometro marca</t>
  </si>
  <si>
    <t>Fecha de calibración</t>
  </si>
  <si>
    <t>Fecha de revisión</t>
  </si>
  <si>
    <t>Dirección del solicitante</t>
  </si>
  <si>
    <t>Higrotermometro código</t>
  </si>
  <si>
    <t>Código de servicio</t>
  </si>
  <si>
    <t xml:space="preserve">Versión </t>
  </si>
  <si>
    <t>Solicitante</t>
  </si>
  <si>
    <t>Identificación del certificado</t>
  </si>
  <si>
    <t>NI-R02-MCIT-T-01</t>
  </si>
  <si>
    <t>Detalles</t>
  </si>
  <si>
    <t>Cliente</t>
  </si>
  <si>
    <t>Condiciones ambientales</t>
  </si>
  <si>
    <t>Certificado Balanza</t>
  </si>
  <si>
    <t>Hoja de cálculo</t>
  </si>
  <si>
    <t>k</t>
  </si>
  <si>
    <t>¥</t>
  </si>
  <si>
    <t>neff</t>
  </si>
  <si>
    <t>Factor de covertura, k, para diferentes grados efectivos de libertad, neff</t>
  </si>
  <si>
    <r>
      <t>v</t>
    </r>
    <r>
      <rPr>
        <i/>
        <vertAlign val="subscript"/>
        <sz val="11"/>
        <color theme="1"/>
        <rFont val="Aptos Narrow"/>
        <family val="2"/>
        <scheme val="minor"/>
      </rPr>
      <t>eff</t>
    </r>
  </si>
  <si>
    <t>Grados efectivos de libertad punto 10</t>
  </si>
  <si>
    <t>Grados efectivos de libertad punto 9</t>
  </si>
  <si>
    <t>Grados efectivos de libertad punto 8</t>
  </si>
  <si>
    <t>Grados efectivos de libertad punto 7</t>
  </si>
  <si>
    <t>Grados efectivos de libertad punto 6</t>
  </si>
  <si>
    <t>Grados efectivos de libertad punto 5</t>
  </si>
  <si>
    <t>Grados efectivos de libertad punto 4</t>
  </si>
  <si>
    <t>Grados efectivos de libertad punto 3</t>
  </si>
  <si>
    <t>Grados efectivos de libertad punto 2</t>
  </si>
  <si>
    <t>Grados efectivos de libertad punto 1</t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</si>
  <si>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c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(y)</t>
    </r>
  </si>
  <si>
    <t>Incertidumbre combinada punto 10</t>
  </si>
  <si>
    <t>Incertidumbre combinada punto 9</t>
  </si>
  <si>
    <t>Incertidumbre combinada punto 8</t>
  </si>
  <si>
    <t>Incertidumbre combinada punto 7</t>
  </si>
  <si>
    <t>Incertidumbre combinada punto 6</t>
  </si>
  <si>
    <t>Incertidumbre combinada punto 5</t>
  </si>
  <si>
    <t>Incertidumbre combinada punto 4</t>
  </si>
  <si>
    <t>Incertidumbre combinada punto 3</t>
  </si>
  <si>
    <t>Incertidumbre combinada punto 2</t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</si>
  <si>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10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</si>
  <si>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9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</si>
  <si>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8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</si>
  <si>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7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</si>
  <si>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6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</si>
  <si>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5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</si>
  <si>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4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</si>
  <si>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3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</si>
  <si>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2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</si>
  <si>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1</t>
    </r>
    <r>
      <rPr>
        <i/>
        <vertAlign val="superscript"/>
        <sz val="11"/>
        <color theme="1"/>
        <rFont val="Aptos Narrow"/>
        <family val="2"/>
        <scheme val="minor"/>
      </rPr>
      <t>4</t>
    </r>
    <r>
      <rPr>
        <i/>
        <sz val="11"/>
        <color theme="1"/>
        <rFont val="Aptos Narrow"/>
        <family val="2"/>
        <scheme val="minor"/>
      </rPr>
      <t>/v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</si>
  <si>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t>Incertidumbre combinada punto 1</t>
  </si>
  <si>
    <t>®</t>
  </si>
  <si>
    <r>
      <t>s(x</t>
    </r>
    <r>
      <rPr>
        <i/>
        <vertAlign val="subscript"/>
        <sz val="11"/>
        <color theme="1"/>
        <rFont val="Aptos Narrow"/>
        <family val="2"/>
        <scheme val="minor"/>
      </rPr>
      <t>i</t>
    </r>
    <r>
      <rPr>
        <i/>
        <sz val="11"/>
        <color theme="1"/>
        <rFont val="Aptos Narrow"/>
        <family val="2"/>
        <scheme val="minor"/>
      </rPr>
      <t>)/</t>
    </r>
    <r>
      <rPr>
        <i/>
        <sz val="11"/>
        <color theme="1"/>
        <rFont val="Symbol"/>
        <family val="1"/>
        <charset val="2"/>
      </rPr>
      <t>Ö</t>
    </r>
    <r>
      <rPr>
        <i/>
        <sz val="9"/>
        <color theme="1"/>
        <rFont val="Calibri"/>
        <family val="2"/>
      </rPr>
      <t>n</t>
    </r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</si>
  <si>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i</t>
    </r>
    <r>
      <rPr>
        <i/>
        <sz val="11"/>
        <color theme="1"/>
        <rFont val="Aptos Narrow"/>
        <family val="2"/>
        <scheme val="minor"/>
      </rPr>
      <t>(y)=u(δI</t>
    </r>
    <r>
      <rPr>
        <i/>
        <vertAlign val="subscript"/>
        <sz val="11"/>
        <color theme="1"/>
        <rFont val="Aptos Narrow"/>
        <family val="2"/>
        <scheme val="minor"/>
      </rPr>
      <t>rep</t>
    </r>
    <r>
      <rPr>
        <i/>
        <sz val="11"/>
        <color theme="1"/>
        <rFont val="Aptos Narrow"/>
        <family val="2"/>
        <scheme val="minor"/>
      </rPr>
      <t>)</t>
    </r>
  </si>
  <si>
    <t>Incertidumbre estandar</t>
  </si>
  <si>
    <t>n-1</t>
  </si>
  <si>
    <r>
      <t>v</t>
    </r>
    <r>
      <rPr>
        <i/>
        <vertAlign val="subscript"/>
        <sz val="11"/>
        <color theme="1"/>
        <rFont val="Aptos Narrow"/>
        <family val="2"/>
        <scheme val="minor"/>
      </rPr>
      <t>i</t>
    </r>
  </si>
  <si>
    <t>Grados libertad</t>
  </si>
  <si>
    <t>-</t>
  </si>
  <si>
    <t>n</t>
  </si>
  <si>
    <t>Cantidad mediciones</t>
  </si>
  <si>
    <t>Valor</t>
  </si>
  <si>
    <t>Formula</t>
  </si>
  <si>
    <t>Variable</t>
  </si>
  <si>
    <t>Descripción</t>
  </si>
  <si>
    <t>Cálculo grados efectivos de libertad</t>
  </si>
  <si>
    <t>Contribuciones incert. combinada</t>
  </si>
  <si>
    <t>Rectang.</t>
  </si>
  <si>
    <r>
      <t>u(</t>
    </r>
    <r>
      <rPr>
        <sz val="10"/>
        <rFont val="Symbol"/>
        <family val="1"/>
        <charset val="2"/>
      </rPr>
      <t>d</t>
    </r>
    <r>
      <rPr>
        <i/>
        <sz val="8.8000000000000007"/>
        <rFont val="Calibri"/>
        <family val="2"/>
      </rPr>
      <t>P</t>
    </r>
    <r>
      <rPr>
        <i/>
        <vertAlign val="subscript"/>
        <sz val="8.8000000000000007"/>
        <rFont val="Calibri"/>
        <family val="2"/>
      </rPr>
      <t>t</t>
    </r>
    <r>
      <rPr>
        <i/>
        <sz val="8.8000000000000007"/>
        <rFont val="Calibri"/>
        <family val="2"/>
      </rPr>
      <t>)</t>
    </r>
  </si>
  <si>
    <t>Influencia ambiental</t>
  </si>
  <si>
    <r>
      <t>u(T</t>
    </r>
    <r>
      <rPr>
        <i/>
        <vertAlign val="subscript"/>
        <sz val="10"/>
        <rFont val="Calibri"/>
        <family val="2"/>
      </rPr>
      <t>rep</t>
    </r>
    <r>
      <rPr>
        <i/>
        <sz val="10"/>
        <rFont val="Calibri"/>
        <family val="2"/>
      </rPr>
      <t>)</t>
    </r>
  </si>
  <si>
    <t>Repetibilidad del instrumento</t>
  </si>
  <si>
    <r>
      <t>u(δT</t>
    </r>
    <r>
      <rPr>
        <i/>
        <vertAlign val="subscript"/>
        <sz val="10"/>
        <rFont val="Calibri"/>
        <family val="2"/>
      </rPr>
      <t>d</t>
    </r>
    <r>
      <rPr>
        <i/>
        <sz val="10"/>
        <rFont val="Calibri"/>
        <family val="2"/>
      </rPr>
      <t>)</t>
    </r>
  </si>
  <si>
    <t>Resolución del instrumento</t>
  </si>
  <si>
    <r>
      <t>u(δM</t>
    </r>
    <r>
      <rPr>
        <i/>
        <vertAlign val="subscript"/>
        <sz val="10"/>
        <rFont val="Calibri"/>
        <family val="2"/>
      </rPr>
      <t>iso</t>
    </r>
    <r>
      <rPr>
        <i/>
        <sz val="10"/>
        <rFont val="Calibri"/>
        <family val="2"/>
      </rPr>
      <t>)</t>
    </r>
  </si>
  <si>
    <t>Caracerisiticas medio isotermo</t>
  </si>
  <si>
    <r>
      <t>u(</t>
    </r>
    <r>
      <rPr>
        <sz val="10"/>
        <rFont val="Symbol"/>
        <family val="1"/>
        <charset val="2"/>
      </rPr>
      <t>d</t>
    </r>
    <r>
      <rPr>
        <i/>
        <sz val="8.8000000000000007"/>
        <rFont val="Calibri"/>
        <family val="2"/>
      </rPr>
      <t>P</t>
    </r>
    <r>
      <rPr>
        <i/>
        <vertAlign val="subscript"/>
        <sz val="8.8000000000000007"/>
        <rFont val="Calibri"/>
        <family val="2"/>
      </rPr>
      <t>der.</t>
    </r>
    <r>
      <rPr>
        <i/>
        <sz val="8.8000000000000007"/>
        <rFont val="Calibri"/>
        <family val="2"/>
      </rPr>
      <t>)</t>
    </r>
  </si>
  <si>
    <t>Deriva patrón</t>
  </si>
  <si>
    <t>Triangular</t>
  </si>
  <si>
    <r>
      <t>u(</t>
    </r>
    <r>
      <rPr>
        <sz val="10"/>
        <rFont val="Symbol"/>
        <family val="1"/>
        <charset val="2"/>
      </rPr>
      <t>d</t>
    </r>
    <r>
      <rPr>
        <i/>
        <sz val="8.8000000000000007"/>
        <rFont val="Calibri"/>
        <family val="2"/>
      </rPr>
      <t>P</t>
    </r>
    <r>
      <rPr>
        <i/>
        <vertAlign val="subscript"/>
        <sz val="8.8000000000000007"/>
        <rFont val="Calibri"/>
        <family val="2"/>
      </rPr>
      <t>int.</t>
    </r>
    <r>
      <rPr>
        <i/>
        <sz val="8.8000000000000007"/>
        <rFont val="Calibri"/>
        <family val="2"/>
      </rPr>
      <t>)</t>
    </r>
  </si>
  <si>
    <t xml:space="preserve">Interpolación corrección del patrón </t>
  </si>
  <si>
    <t>Normal2</t>
  </si>
  <si>
    <r>
      <t>u(</t>
    </r>
    <r>
      <rPr>
        <sz val="10"/>
        <rFont val="Symbol"/>
        <family val="1"/>
        <charset val="2"/>
      </rPr>
      <t>d</t>
    </r>
    <r>
      <rPr>
        <i/>
        <sz val="8.8000000000000007"/>
        <rFont val="Calibri"/>
        <family val="2"/>
      </rPr>
      <t>P</t>
    </r>
    <r>
      <rPr>
        <i/>
        <vertAlign val="subscript"/>
        <sz val="8.8000000000000007"/>
        <rFont val="Calibri"/>
        <family val="2"/>
      </rPr>
      <t>ref.</t>
    </r>
    <r>
      <rPr>
        <i/>
        <sz val="8.8000000000000007"/>
        <rFont val="Calibri"/>
        <family val="2"/>
      </rPr>
      <t>)</t>
    </r>
  </si>
  <si>
    <t>Incertidumbre calibración del patron</t>
  </si>
  <si>
    <r>
      <t>u(</t>
    </r>
    <r>
      <rPr>
        <sz val="10"/>
        <rFont val="Symbol"/>
        <family val="1"/>
        <charset val="2"/>
      </rPr>
      <t>d</t>
    </r>
    <r>
      <rPr>
        <i/>
        <sz val="8.8000000000000007"/>
        <rFont val="Calibri"/>
        <family val="2"/>
      </rPr>
      <t>P</t>
    </r>
    <r>
      <rPr>
        <i/>
        <vertAlign val="subscript"/>
        <sz val="8.8000000000000007"/>
        <rFont val="Calibri"/>
        <family val="2"/>
      </rPr>
      <t>d</t>
    </r>
    <r>
      <rPr>
        <i/>
        <sz val="8.8000000000000007"/>
        <rFont val="Calibri"/>
        <family val="2"/>
      </rPr>
      <t>)</t>
    </r>
  </si>
  <si>
    <t>Resolución del patrón</t>
  </si>
  <si>
    <t>p10 (%)</t>
  </si>
  <si>
    <t>p9 (%)</t>
  </si>
  <si>
    <t>p8 (%)</t>
  </si>
  <si>
    <t>p7 (%)</t>
  </si>
  <si>
    <t>p6 (%)</t>
  </si>
  <si>
    <t>p5 (%)</t>
  </si>
  <si>
    <t>p4 (%)</t>
  </si>
  <si>
    <t>p3 (%)</t>
  </si>
  <si>
    <t>p2 (%)</t>
  </si>
  <si>
    <t>p1 (%)</t>
  </si>
  <si>
    <r>
      <t>Coef. c</t>
    </r>
    <r>
      <rPr>
        <b/>
        <vertAlign val="subscript"/>
        <sz val="10"/>
        <rFont val="Aptos Narrow"/>
        <family val="2"/>
        <scheme val="minor"/>
      </rPr>
      <t>i</t>
    </r>
  </si>
  <si>
    <t>Divisor</t>
  </si>
  <si>
    <t>Distrib.</t>
  </si>
  <si>
    <t>Símbolo</t>
  </si>
  <si>
    <t>Fuente de incertidumbre</t>
  </si>
  <si>
    <t>Componentes incertidumbre combinada todos los puntos calibración</t>
  </si>
  <si>
    <t>suma cuadr.</t>
  </si>
  <si>
    <t>Raíz de la</t>
  </si>
  <si>
    <t>Total</t>
  </si>
  <si>
    <t>Normal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</si>
  <si>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</si>
  <si>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</si>
  <si>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</si>
  <si>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</si>
  <si>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</si>
  <si>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</si>
  <si>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</si>
  <si>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</si>
  <si>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</si>
  <si>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</si>
  <si>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min</t>
  </si>
  <si>
    <r>
      <t>t</t>
    </r>
    <r>
      <rPr>
        <i/>
        <vertAlign val="subscript"/>
        <sz val="10"/>
        <color theme="1"/>
        <rFont val="Arial"/>
        <family val="2"/>
      </rPr>
      <t>amb.</t>
    </r>
  </si>
  <si>
    <t>Tiempo ambientación</t>
  </si>
  <si>
    <t>que es la línea de los encabezados de la tabla.</t>
  </si>
  <si>
    <t>°C</t>
  </si>
  <si>
    <r>
      <rPr>
        <sz val="10"/>
        <color theme="1"/>
        <rFont val="Symbol"/>
        <family val="1"/>
        <charset val="2"/>
      </rPr>
      <t>D</t>
    </r>
    <r>
      <rPr>
        <i/>
        <sz val="10"/>
        <color theme="1"/>
        <rFont val="Arial"/>
        <family val="2"/>
      </rPr>
      <t>T</t>
    </r>
  </si>
  <si>
    <t>Dif. temps. entre ambiente y patrón</t>
  </si>
  <si>
    <t>componer las fórmulas, ya que hacen referencia en la octava línea de esta hoja de Excel,</t>
  </si>
  <si>
    <t>Parámetro</t>
  </si>
  <si>
    <r>
      <rPr>
        <u/>
        <sz val="11"/>
        <color theme="1"/>
        <rFont val="Aptos Narrow"/>
        <family val="2"/>
        <scheme val="minor"/>
      </rPr>
      <t>Nota de mantenimiento de la hoja:</t>
    </r>
    <r>
      <rPr>
        <sz val="11"/>
        <color theme="1"/>
        <rFont val="Aptos Narrow"/>
        <family val="2"/>
        <scheme val="minor"/>
      </rPr>
      <t xml:space="preserve"> si mueve la tabla de componentes de incertidumbre, tiene que</t>
    </r>
  </si>
  <si>
    <t>Presupuesto de incertidumbre expandida</t>
  </si>
  <si>
    <t>Termistor</t>
  </si>
  <si>
    <t>Bimetal</t>
  </si>
  <si>
    <t xml:space="preserve">TC </t>
  </si>
  <si>
    <t>RTD</t>
  </si>
  <si>
    <t>Sensor</t>
  </si>
  <si>
    <t>°F</t>
  </si>
  <si>
    <t>K</t>
  </si>
  <si>
    <t>Unidades</t>
  </si>
  <si>
    <t>NI-MCPT-41</t>
  </si>
  <si>
    <t>NI-MCPT-38</t>
  </si>
  <si>
    <t>NI-MCPT-37</t>
  </si>
  <si>
    <t>y</t>
  </si>
  <si>
    <t>y2</t>
  </si>
  <si>
    <t>x2</t>
  </si>
  <si>
    <t>y1</t>
  </si>
  <si>
    <t>x1</t>
  </si>
  <si>
    <t>x</t>
  </si>
  <si>
    <t>Punto</t>
  </si>
  <si>
    <t>Interpolación deriva patrón</t>
  </si>
  <si>
    <t>De acuerdo a lo establecido en NTON 07-004-01 Norma Metrológica del Sistema Internacional de Unidades (SI).</t>
  </si>
  <si>
    <t>El factor de conversión al SI corresponde a T(K) = t(°C) + 273,15</t>
  </si>
  <si>
    <t>La indicación de temperatura de referencia y del equipo, corresponden al promedio de 3 mediciones .</t>
  </si>
  <si>
    <t>La corrección corresponde al valor del patrón menos las indicación del equipo.</t>
  </si>
  <si>
    <t>Observaciones</t>
  </si>
  <si>
    <r>
      <t>R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=</t>
    </r>
  </si>
  <si>
    <t>Número puntos de calib.</t>
  </si>
  <si>
    <t>Interpolación incertidumbre patrón</t>
  </si>
  <si>
    <r>
      <t>Incertidumbre certificado U</t>
    </r>
    <r>
      <rPr>
        <vertAlign val="subscript"/>
        <sz val="11"/>
        <color theme="1"/>
        <rFont val="Aptos Narrow"/>
        <family val="2"/>
        <scheme val="minor"/>
      </rPr>
      <t xml:space="preserve">95 </t>
    </r>
  </si>
  <si>
    <t>Correccion Certificado</t>
  </si>
  <si>
    <t>Temperatura de calibración</t>
  </si>
  <si>
    <t>#</t>
  </si>
  <si>
    <t>CMC</t>
  </si>
  <si>
    <t>Incertidumbre expandida k=2</t>
  </si>
  <si>
    <t>Corrección</t>
  </si>
  <si>
    <t>Temperatura de referencia</t>
  </si>
  <si>
    <t>Patrón</t>
  </si>
  <si>
    <t>Tabla de resultados de la calibración</t>
  </si>
  <si>
    <t>Interpolación corrección patrón</t>
  </si>
  <si>
    <t>Interpolación corrección y deriva patrón</t>
  </si>
  <si>
    <t>Exactitud cond.termicas 2do. Patron</t>
  </si>
  <si>
    <t>Exactitud cond.termicas 1er. Patron</t>
  </si>
  <si>
    <t>Incertid. patrón</t>
  </si>
  <si>
    <t>Corrección de medición</t>
  </si>
  <si>
    <t>Promedio equipo</t>
  </si>
  <si>
    <t>Patrón corregido</t>
  </si>
  <si>
    <t>Corrección patrón</t>
  </si>
  <si>
    <t>Promedio Patrón</t>
  </si>
  <si>
    <t>Desviación estándar</t>
  </si>
  <si>
    <t>Equipo</t>
  </si>
  <si>
    <t>Interpolación</t>
  </si>
  <si>
    <t>Repetibilidad</t>
  </si>
  <si>
    <t>Incertidumbre combinada med. Isotermo</t>
  </si>
  <si>
    <t>Gradiente</t>
  </si>
  <si>
    <t>Decim.:</t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</si>
  <si>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tºC</t>
    </r>
    <r>
      <rPr>
        <b/>
        <sz val="11"/>
        <color theme="1"/>
        <rFont val="Aptos Narrow"/>
        <family val="2"/>
        <scheme val="minor"/>
      </rPr>
      <t xml:space="preserve"> [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C]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</si>
  <si>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 xml:space="preserve">t% </t>
    </r>
    <r>
      <rPr>
        <b/>
        <sz val="11"/>
        <color theme="1"/>
        <rFont val="Aptos Narrow"/>
        <family val="2"/>
        <scheme val="minor"/>
      </rPr>
      <t>[%]</t>
    </r>
  </si>
  <si>
    <r>
      <t>t</t>
    </r>
    <r>
      <rPr>
        <b/>
        <i/>
        <vertAlign val="subscript"/>
        <sz val="11"/>
        <color theme="1"/>
        <rFont val="Aptos Narrow"/>
        <family val="2"/>
        <scheme val="minor"/>
      </rPr>
      <t>max</t>
    </r>
    <r>
      <rPr>
        <b/>
        <sz val="11"/>
        <color theme="1"/>
        <rFont val="Aptos Narrow"/>
        <family val="2"/>
        <scheme val="minor"/>
      </rPr>
      <t xml:space="preserve"> [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C]</t>
    </r>
  </si>
  <si>
    <r>
      <t>t</t>
    </r>
    <r>
      <rPr>
        <b/>
        <i/>
        <vertAlign val="subscript"/>
        <sz val="11"/>
        <color theme="1"/>
        <rFont val="Aptos Narrow"/>
        <family val="2"/>
        <scheme val="minor"/>
      </rPr>
      <t xml:space="preserve">min </t>
    </r>
    <r>
      <rPr>
        <b/>
        <sz val="11"/>
        <color theme="1"/>
        <rFont val="Aptos Narrow"/>
        <family val="2"/>
        <scheme val="minor"/>
      </rPr>
      <t>[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C]</t>
    </r>
  </si>
  <si>
    <t xml:space="preserve">Efecto de carga
</t>
  </si>
  <si>
    <t>Tipo de sonda</t>
  </si>
  <si>
    <r>
      <t>Coeficiente de temperatura k</t>
    </r>
    <r>
      <rPr>
        <vertAlign val="subscript"/>
        <sz val="11"/>
        <color theme="1"/>
        <rFont val="Aptos Narrow"/>
        <family val="2"/>
        <scheme val="minor"/>
      </rPr>
      <t>t%</t>
    </r>
    <r>
      <rPr>
        <sz val="11"/>
        <color theme="1"/>
        <rFont val="Aptos Narrow"/>
        <family val="2"/>
        <scheme val="minor"/>
      </rPr>
      <t>[%]/100*Medición[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C]+k</t>
    </r>
    <r>
      <rPr>
        <vertAlign val="subscript"/>
        <sz val="11"/>
        <color theme="1"/>
        <rFont val="Aptos Narrow"/>
        <family val="2"/>
        <scheme val="minor"/>
      </rPr>
      <t>tºC</t>
    </r>
    <r>
      <rPr>
        <sz val="11"/>
        <color theme="1"/>
        <rFont val="Aptos Narrow"/>
        <family val="2"/>
        <scheme val="minor"/>
      </rPr>
      <t>[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C]</t>
    </r>
  </si>
  <si>
    <t>Estabilidad</t>
  </si>
  <si>
    <t>Unidad de medida</t>
  </si>
  <si>
    <t>Uniformidad radial</t>
  </si>
  <si>
    <t>Resolución patrón</t>
  </si>
  <si>
    <t>Rango de medida (min.|max.)</t>
  </si>
  <si>
    <t>Uniformidad axial</t>
  </si>
  <si>
    <t>NI-MCPT-05</t>
  </si>
  <si>
    <t>Patrón utilizado</t>
  </si>
  <si>
    <t>Division de escala</t>
  </si>
  <si>
    <t>Histeresis</t>
  </si>
  <si>
    <t>Datos del patrón</t>
  </si>
  <si>
    <t>Datos del equipo calibración</t>
  </si>
  <si>
    <r>
      <t>Incertidubre Estandar [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C]</t>
    </r>
  </si>
  <si>
    <r>
      <t>Especificación fabricante [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C]</t>
    </r>
  </si>
  <si>
    <t>Componente incertidumbre</t>
  </si>
  <si>
    <t>Determinación intervalos de medida de certificados</t>
  </si>
  <si>
    <t>Características medio isotermo (Pozo seco NI-MCPT-37)</t>
  </si>
  <si>
    <r>
      <t>1K=5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F/9</t>
    </r>
  </si>
  <si>
    <t>K=C= 5(°F + 459,67) /9 = (°F + 459,67) / 1,8</t>
  </si>
  <si>
    <r>
      <t>1K=1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</t>
    </r>
  </si>
  <si>
    <t>K = °C + 273,15</t>
  </si>
  <si>
    <t>Código del Certificado</t>
  </si>
  <si>
    <t>Identificación del Equipo</t>
  </si>
  <si>
    <t>Fecha de Calibración</t>
  </si>
  <si>
    <t xml:space="preserve"> .................Fin del certificado................</t>
  </si>
  <si>
    <t>Nulo sin sello y firma</t>
  </si>
  <si>
    <t>Director Técnico</t>
  </si>
  <si>
    <t>reproduce en su totalidad.</t>
  </si>
  <si>
    <t>Este certificado de calibración no debe ser reproducido sin la aprobación del laboratorio, excepto cuando se</t>
  </si>
  <si>
    <t>especificadas al momento de realizar el servicio.</t>
  </si>
  <si>
    <t>Los resultados emitidos en este certificado corresponden únicamente al objeto calibrado y a las magnitudes</t>
  </si>
  <si>
    <t>Es responsabilidad del encargado del instrumento establecer la frecuencia del servicio de calibración.</t>
  </si>
  <si>
    <t>Barómetro</t>
  </si>
  <si>
    <t>Higrotermometro</t>
  </si>
  <si>
    <t>Próx.calibr.</t>
  </si>
  <si>
    <t>Trazabilidad</t>
  </si>
  <si>
    <t>Marca</t>
  </si>
  <si>
    <t>Descripción de patrones utilizados</t>
  </si>
  <si>
    <t>Identificación del certificado:</t>
  </si>
  <si>
    <t>La incertidumbre de las medición se obtuvo multiplicando la incertidumbre estándar combinada por un factor de cobertura k = 2, con el que se alcanza un nivel de confianza de al menos 95 %. La incertidumbre estándar de la medición se determinó conforme a la Guía para la Expresión de la Incertidumbre de la Medida, BIPM-IEC-IFCC-ISO-IUPAC-IUPAP-OIML, en la cual se toma en cuenta la incertidumbre de los patrones, del método de calibración, de las condiciones durante la calibración y del equipo sujeto a calibración.</t>
  </si>
  <si>
    <t>Incertidumbre de los datos</t>
  </si>
  <si>
    <t>Las pruebas se realizaron según NI-MCIT-T-01 Instrucción para calibración de termómetros.</t>
  </si>
  <si>
    <t>Método de calibración</t>
  </si>
  <si>
    <t>%</t>
  </si>
  <si>
    <t>% ±</t>
  </si>
  <si>
    <t>Humedad relativa:</t>
  </si>
  <si>
    <t>°C ±</t>
  </si>
  <si>
    <t>Temperatura:</t>
  </si>
  <si>
    <t>Incertidumbre expandida K = 2</t>
  </si>
  <si>
    <t>Indicación del Termómetro</t>
  </si>
  <si>
    <t>Resultados de la calibración</t>
  </si>
  <si>
    <t>Lugar de calibración:</t>
  </si>
  <si>
    <t>Dirección del solicitante:</t>
  </si>
  <si>
    <t>Solicitante:</t>
  </si>
  <si>
    <t>Código de identificación:</t>
  </si>
  <si>
    <t>Resolución:</t>
  </si>
  <si>
    <t>Rango de medida:</t>
  </si>
  <si>
    <t>Modelo:</t>
  </si>
  <si>
    <t>Serie:</t>
  </si>
  <si>
    <t>Fabricante/Marca:</t>
  </si>
  <si>
    <t>Objeto de calibración:</t>
  </si>
  <si>
    <t>Fecha de emisión del certificado:</t>
  </si>
  <si>
    <t>Fecha de calibración:</t>
  </si>
  <si>
    <t>Código de servicio:</t>
  </si>
  <si>
    <t>Resultados en Unidad del Sistema Internacional de Unidades</t>
  </si>
  <si>
    <t>Punto 10</t>
  </si>
  <si>
    <t>Punto 9</t>
  </si>
  <si>
    <t>Punto 8</t>
  </si>
  <si>
    <t>Punto 7</t>
  </si>
  <si>
    <t>Punto 6</t>
  </si>
  <si>
    <t>Punto 5</t>
  </si>
  <si>
    <t>Punto 4</t>
  </si>
  <si>
    <t>Punto 3</t>
  </si>
  <si>
    <t>Punto 2</t>
  </si>
  <si>
    <t>Punto 1</t>
  </si>
  <si>
    <t>CMC min</t>
  </si>
  <si>
    <r>
      <t>U</t>
    </r>
    <r>
      <rPr>
        <i/>
        <vertAlign val="subscript"/>
        <sz val="11"/>
        <color theme="1"/>
        <rFont val="Aptos Narrow"/>
        <family val="2"/>
        <scheme val="minor"/>
      </rPr>
      <t>95</t>
    </r>
    <r>
      <rPr>
        <i/>
        <sz val="11"/>
        <color theme="1"/>
        <rFont val="Aptos Narrow"/>
        <family val="2"/>
        <scheme val="minor"/>
      </rPr>
      <t>=ku</t>
    </r>
    <r>
      <rPr>
        <i/>
        <vertAlign val="subscript"/>
        <sz val="11"/>
        <color theme="1"/>
        <rFont val="Aptos Narrow"/>
        <family val="2"/>
        <scheme val="minor"/>
      </rPr>
      <t>n</t>
    </r>
    <r>
      <rPr>
        <i/>
        <sz val="11"/>
        <color theme="1"/>
        <rFont val="Aptos Narrow"/>
        <family val="2"/>
        <scheme val="minor"/>
      </rPr>
      <t>(E)</t>
    </r>
  </si>
  <si>
    <r>
      <t>m</t>
    </r>
    <r>
      <rPr>
        <i/>
        <vertAlign val="subscript"/>
        <sz val="11"/>
        <color theme="1"/>
        <rFont val="Aptos Narrow"/>
        <family val="2"/>
        <scheme val="minor"/>
      </rPr>
      <t>c</t>
    </r>
  </si>
  <si>
    <t>Punto #</t>
  </si>
  <si>
    <t>Todo en [°C]</t>
  </si>
  <si>
    <t>Expresada como función</t>
  </si>
  <si>
    <t>Valor Nominal</t>
  </si>
  <si>
    <t>y = 8,0080E-05x + 3,7196E-01</t>
  </si>
  <si>
    <t>0,3920 a 0,4000</t>
  </si>
  <si>
    <t>CMC (ºC)</t>
  </si>
  <si>
    <t>max (ºC)</t>
  </si>
  <si>
    <t>min (ºC)</t>
  </si>
  <si>
    <t>y = 4,6113E-05x + 4,8473E-02</t>
  </si>
  <si>
    <t>0,0554 a 0,0600</t>
  </si>
  <si>
    <t>y = 5.8817E-04x + 9.1763E-02</t>
  </si>
  <si>
    <t>0,08 a 0,18</t>
  </si>
  <si>
    <r>
      <t>a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</si>
  <si>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</si>
  <si>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</si>
  <si>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</si>
  <si>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0</t>
    </r>
  </si>
  <si>
    <t>max.</t>
  </si>
  <si>
    <t>min.</t>
  </si>
  <si>
    <t>Rango de Temperatura</t>
  </si>
  <si>
    <t>Todo en [ºC]</t>
  </si>
  <si>
    <t>Incertidumbre</t>
  </si>
  <si>
    <t>Rango</t>
  </si>
  <si>
    <t>CMC's Temperatura</t>
  </si>
  <si>
    <t>Canal 2</t>
  </si>
  <si>
    <t>Termómetro digital</t>
  </si>
  <si>
    <t>Canal 1</t>
  </si>
  <si>
    <t>ST-4</t>
  </si>
  <si>
    <t>Medidor de temperatura dual</t>
  </si>
  <si>
    <t>Indicador</t>
  </si>
  <si>
    <t>Techne</t>
  </si>
  <si>
    <t>Baño de bloque seco</t>
  </si>
  <si>
    <t xml:space="preserve">con sonda flexible </t>
  </si>
  <si>
    <t xml:space="preserve">de alta temperatura </t>
  </si>
  <si>
    <t xml:space="preserve">Registrador de datos </t>
  </si>
  <si>
    <t xml:space="preserve">de precisión </t>
  </si>
  <si>
    <t xml:space="preserve">de referencia secundaria </t>
  </si>
  <si>
    <t xml:space="preserve">Estándar de temperatura </t>
  </si>
  <si>
    <t/>
  </si>
  <si>
    <t>Chub-E4</t>
  </si>
  <si>
    <t xml:space="preserve">Termómetro de estándares </t>
  </si>
  <si>
    <t>Deriva</t>
  </si>
  <si>
    <r>
      <t>Certif.ant U</t>
    </r>
    <r>
      <rPr>
        <vertAlign val="subscript"/>
        <sz val="11"/>
        <color theme="1"/>
        <rFont val="Aptos Narrow"/>
        <family val="2"/>
        <scheme val="minor"/>
      </rPr>
      <t xml:space="preserve">95 </t>
    </r>
  </si>
  <si>
    <t>Correccion.ant</t>
  </si>
  <si>
    <t>t calibr.ant</t>
  </si>
  <si>
    <r>
      <t>Certif.act U</t>
    </r>
    <r>
      <rPr>
        <vertAlign val="subscript"/>
        <sz val="11"/>
        <color theme="1"/>
        <rFont val="Aptos Narrow"/>
        <family val="2"/>
        <scheme val="minor"/>
      </rPr>
      <t xml:space="preserve">95 </t>
    </r>
  </si>
  <si>
    <t>Correccion.act</t>
  </si>
  <si>
    <t>t calibr.act</t>
  </si>
  <si>
    <t>Nombre</t>
  </si>
  <si>
    <t>Código Patrón</t>
  </si>
  <si>
    <r>
      <t>Todo en [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C]</t>
    </r>
  </si>
  <si>
    <t xml:space="preserve">Certificado anterior </t>
  </si>
  <si>
    <t>Certificado actual</t>
  </si>
  <si>
    <t>Datos certificados patrones</t>
  </si>
  <si>
    <r>
      <rPr>
        <u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para el patrón NI-MCPT-40 La exactitud minima de la fábrica es 0.2%+0.3</t>
    </r>
    <r>
      <rPr>
        <sz val="11"/>
        <color theme="1"/>
        <rFont val="Calibri"/>
        <family val="2"/>
      </rPr>
      <t>°</t>
    </r>
    <r>
      <rPr>
        <sz val="11"/>
        <color theme="1"/>
        <rFont val="Aptos Narrow"/>
        <family val="2"/>
        <scheme val="minor"/>
      </rPr>
      <t>C</t>
    </r>
  </si>
  <si>
    <t>SCM-00039466</t>
  </si>
  <si>
    <t>SCM Metrología y Laboratorios</t>
  </si>
  <si>
    <t>Termocupla K (cobre)</t>
  </si>
  <si>
    <t>54-IIB</t>
  </si>
  <si>
    <t>Fluke</t>
  </si>
  <si>
    <t>NI-MCPT-40-2</t>
  </si>
  <si>
    <t>NI-MCPT-40-1</t>
  </si>
  <si>
    <t>NI-MCPT-36</t>
  </si>
  <si>
    <t>20190626-49-2</t>
  </si>
  <si>
    <t>Pozo Seco con sensor RTD</t>
  </si>
  <si>
    <t>CE350</t>
  </si>
  <si>
    <t>NI-MC-T-116-2019</t>
  </si>
  <si>
    <t>Metrocal</t>
  </si>
  <si>
    <t>OM-CP-HITEMP140PT</t>
  </si>
  <si>
    <t>Omega</t>
  </si>
  <si>
    <t xml:space="preserve">Registrador de datos de alta temperatura con sonda flexible </t>
  </si>
  <si>
    <t>NI-MCPT-06</t>
  </si>
  <si>
    <t>SCM-00039472</t>
  </si>
  <si>
    <t>PRT</t>
  </si>
  <si>
    <t>5627A</t>
  </si>
  <si>
    <t>AccuMac/Fluke</t>
  </si>
  <si>
    <t>20180507-28-1</t>
  </si>
  <si>
    <t>A68120</t>
  </si>
  <si>
    <t>LACOMET</t>
  </si>
  <si>
    <t>5615-9</t>
  </si>
  <si>
    <t xml:space="preserve">Estándar de temperatura de referencia secundaria </t>
  </si>
  <si>
    <t>NI-MCPT-02</t>
  </si>
  <si>
    <t>PRT/RTD, Termistor, Termopar</t>
  </si>
  <si>
    <t>Termómetro de estándares Chub-E4</t>
  </si>
  <si>
    <t>NI-MCPT-01</t>
  </si>
  <si>
    <t>Certificado</t>
  </si>
  <si>
    <t>Fecha calib.</t>
  </si>
  <si>
    <t>t max</t>
  </si>
  <si>
    <t>t min</t>
  </si>
  <si>
    <r>
      <t>Coeficiente temp. +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 a medición</t>
    </r>
  </si>
  <si>
    <t>Coeficiente temp. % de medición</t>
  </si>
  <si>
    <t>t max. ±</t>
  </si>
  <si>
    <r>
      <t xml:space="preserve">t min. </t>
    </r>
    <r>
      <rPr>
        <sz val="11"/>
        <color theme="1"/>
        <rFont val="Aptos Narrow"/>
        <family val="2"/>
        <scheme val="minor"/>
      </rPr>
      <t>±</t>
    </r>
  </si>
  <si>
    <t>t max.</t>
  </si>
  <si>
    <t>t min.</t>
  </si>
  <si>
    <t>Tipo</t>
  </si>
  <si>
    <t>rango optimo t</t>
  </si>
  <si>
    <t>Exactitud fabrica</t>
  </si>
  <si>
    <t>Intervalo de medida cert.</t>
  </si>
  <si>
    <t>Funcionamiento</t>
  </si>
  <si>
    <t>Patrones</t>
  </si>
  <si>
    <t>SCM Metrología y Laboratorios SCM-00039471</t>
  </si>
  <si>
    <t>Extech</t>
  </si>
  <si>
    <t>SCM Metrología y Laboratorios SCM-00039467</t>
  </si>
  <si>
    <t xml:space="preserve">Fluke 971 </t>
  </si>
  <si>
    <t>NI-MCPPT-05</t>
  </si>
  <si>
    <t>SCM Metrología y Laboratorios 20190513-102-3</t>
  </si>
  <si>
    <t>NI-MCPPT-04</t>
  </si>
  <si>
    <t>SCM Metrología y Laboratorios SCM-00039468</t>
  </si>
  <si>
    <t xml:space="preserve">Testo 608-H1 </t>
  </si>
  <si>
    <t>NI-MCPPT-02</t>
  </si>
  <si>
    <t>SCM Metrología y Laboratorios 20181106-28-2</t>
  </si>
  <si>
    <t>NI-MCPPT-01</t>
  </si>
  <si>
    <t>Exactitud ±% HR</t>
  </si>
  <si>
    <r>
      <t>Exactitud</t>
    </r>
    <r>
      <rPr>
        <sz val="11"/>
        <color theme="1"/>
        <rFont val="Aptos Narrow"/>
        <family val="2"/>
        <scheme val="minor"/>
      </rPr>
      <t>± &lt;45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</t>
    </r>
  </si>
  <si>
    <t>Exactitud ± % HR</t>
  </si>
  <si>
    <r>
      <t>Exactitud ± &lt;45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</t>
    </r>
  </si>
  <si>
    <t>Resolución RH %</t>
  </si>
  <si>
    <r>
      <t xml:space="preserve">Resolución t 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</t>
    </r>
  </si>
  <si>
    <r>
      <t xml:space="preserve">t max 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</t>
    </r>
  </si>
  <si>
    <t>Laboratorio/Certificado</t>
  </si>
  <si>
    <t>Fecha Calibración</t>
  </si>
  <si>
    <t>Fabricante</t>
  </si>
  <si>
    <t>Higrotermómetro</t>
  </si>
  <si>
    <t>Km 48 ½ carretera Masaya- Tipitapa</t>
  </si>
  <si>
    <t>EINS,S.A</t>
  </si>
  <si>
    <t>Managua, Nicaragua</t>
  </si>
  <si>
    <t>Zecalconsa</t>
  </si>
  <si>
    <t>Zona Franca Las Mercedes, Km 12 ½ Carretera Norte, Módulo # 30-31</t>
  </si>
  <si>
    <t>YS Textiles, S.A.</t>
  </si>
  <si>
    <t xml:space="preserve">Yudis Francisco Trujillo </t>
  </si>
  <si>
    <t>Catarina, Masaya</t>
  </si>
  <si>
    <t>Yolanda Eugenia Sevilla Luco</t>
  </si>
  <si>
    <t>km 90,5 Carretera Managua - León</t>
  </si>
  <si>
    <t>Yazaki de Nicaragua S.A.</t>
  </si>
  <si>
    <t>Km 12.5 Carretera Norte, Zona Franca Industrial Las Mercedes, Módulo 33</t>
  </si>
  <si>
    <t>WOOJOO TEXTIL NICARAGUA S.A</t>
  </si>
  <si>
    <t>km 8 Carretera Norte, 500 m Sur,Parque Industrial El Transito, Bodega 16B</t>
  </si>
  <si>
    <t>WeAreInk S.A.</t>
  </si>
  <si>
    <t>Km 114.5 Carretera Sur 2 km al Oeste camino Viejo a San Juan</t>
  </si>
  <si>
    <t>Vestas Nicaragua, S.A</t>
  </si>
  <si>
    <t>De la plaza Agusto Cesar Sandino 400 mts al sur El Sauce, León. </t>
  </si>
  <si>
    <t>Unión de Cooperativas Agropecuarias de El Sauce, R.L.</t>
  </si>
  <si>
    <t>Empalme de Boaco, km 74.5 carretera Managua el Rama</t>
  </si>
  <si>
    <t>Unión de Cooperativa de Servicios Agropecuarios Tierra Nueva RL</t>
  </si>
  <si>
    <t>km 12,5 Carretera Norte</t>
  </si>
  <si>
    <t>Universidad Nacional Agraria</t>
  </si>
  <si>
    <t>Estelí, De Comercial Erwin 200 m Sur, 50 m Oeste</t>
  </si>
  <si>
    <t>Universal Leaf Nicaragua S.A.</t>
  </si>
  <si>
    <t>Tipitapa, complejo Astro Nicaragua módulo 8</t>
  </si>
  <si>
    <t>Universal Design Nicaragua S.A.</t>
  </si>
  <si>
    <t>De Enel Central 2,5 km al Sur. Villa Fontana</t>
  </si>
  <si>
    <t>UNAN-Managua</t>
  </si>
  <si>
    <t>km 119,7 Carretera a Sébaco-Matagalpa</t>
  </si>
  <si>
    <t>UCCEI R.L</t>
  </si>
  <si>
    <t>Nagarote</t>
  </si>
  <si>
    <t>Tubal S.A.</t>
  </si>
  <si>
    <t>Km 9 ½  carretera Nueva a Leon, Frente a Residencial Satelite de Asososca, Complejo de Bodegas Martinez</t>
  </si>
  <si>
    <t>TRANSCARGO LTD</t>
  </si>
  <si>
    <t>Cementerio milagro de Dios 4c Este. 1c al sur 2c este 1c sur 2c este</t>
  </si>
  <si>
    <t xml:space="preserve">Transporte la Luz </t>
  </si>
  <si>
    <t xml:space="preserve">km 8 Carretera Norte   </t>
  </si>
  <si>
    <t>Transportes Tical S.A.</t>
  </si>
  <si>
    <t xml:space="preserve">km 19 Carretera vieja a Tipitapa  </t>
  </si>
  <si>
    <t>Tipitapa Power Company</t>
  </si>
  <si>
    <t>km 5,5  Carretera Norte, Puente desnivel 400 m al Lago Frente a pinturas Sur</t>
  </si>
  <si>
    <t>Texnica Internacional S.A.</t>
  </si>
  <si>
    <t>km 104,5 Carretera Sebaco a Estelí</t>
  </si>
  <si>
    <t>Terraexport S.A. (Planta Matagalpa)</t>
  </si>
  <si>
    <t>Km 7.5 Carretera Norte, Shell Waspan, 1 C al Sur, 2 C al Este</t>
  </si>
  <si>
    <t>Ternium Internacional Nicaragua, S.A</t>
  </si>
  <si>
    <t>km 47,5 Carretera Tipitapa-Masaya</t>
  </si>
  <si>
    <t>Tecshoes Latinoamérica</t>
  </si>
  <si>
    <t>Mansión Teodolinda 300 metros sur -Bolonia</t>
  </si>
  <si>
    <t>Tecno Diagnostica Nicaragua S.A.</t>
  </si>
  <si>
    <t>Managua</t>
  </si>
  <si>
    <t>Tecniprocesos de Nicaragua S.A.</t>
  </si>
  <si>
    <t>Centro Sor María Romero 200 m Oeste, Estelí</t>
  </si>
  <si>
    <t>Tabacos Valle de Jalapa S.A.</t>
  </si>
  <si>
    <t>Salida Norte a Condega, Contiguo a Petronic</t>
  </si>
  <si>
    <t>Tabacos del Sol</t>
  </si>
  <si>
    <t>Estelí, km 147 Carretera Panamericana Norte, Frente Operaciones Policía Nacional</t>
  </si>
  <si>
    <t>Tabacos Cubanica S.A.</t>
  </si>
  <si>
    <t>De La Rotonda El Cepad 100 m Este, Estelí</t>
  </si>
  <si>
    <t>Tabacos Asociados de Nicaragua S.A.</t>
  </si>
  <si>
    <t>Surtidora El Oriental 50 m Este, Estelí</t>
  </si>
  <si>
    <t>Tabacalera Tavicusa S,A.</t>
  </si>
  <si>
    <t>Estelí</t>
  </si>
  <si>
    <t>Tabacalera Perdomo S.A</t>
  </si>
  <si>
    <t>De La Rotonda El Cepad 200 m Norte, 50 m Este, Barrio Dios Proveera de Estelí</t>
  </si>
  <si>
    <t>Tabacalera Oliva de Estelí S.A.</t>
  </si>
  <si>
    <t>Comercial Erwin 100 m Sur 50 m Oeste, Estelí</t>
  </si>
  <si>
    <t>Tabacalera Cubana Nicaragüense S.A.</t>
  </si>
  <si>
    <t>De estación de servicio UNO salida Norte, 800 m Norte, Carretera Miraflor-Estelí</t>
  </si>
  <si>
    <t>Tabacalera A.J Fernandez Cigars de Nicaragua S.A.</t>
  </si>
  <si>
    <t>Del Empalme Piedras Blanca, 5km al oeste carretera a Puerto Sandino, junto a subestación Enatrel, Nagarote-Nicaragua</t>
  </si>
  <si>
    <t>SCMI Construction INC</t>
  </si>
  <si>
    <t>Lomas del Valle N°13 B</t>
  </si>
  <si>
    <t>SPRL S.A.</t>
  </si>
  <si>
    <t>Edificio Torres Zamora oficina 7</t>
  </si>
  <si>
    <t xml:space="preserve">Sovereign Logistics </t>
  </si>
  <si>
    <t>Residencial Rubenia, Hotel Estrella 2c. al este, 2c. al sur, casa H-28</t>
  </si>
  <si>
    <t>Soluciones Ingenieriles, Diseño y Ventas S.A. (SIDVSA)</t>
  </si>
  <si>
    <t xml:space="preserve">3 Cruces, 400 m oeste, San Marcos   </t>
  </si>
  <si>
    <t>Sol Orgánica S.A.</t>
  </si>
  <si>
    <t>km 12,5 Carretera Nueva León, Entrada a Xiloa 300 m Hacia La Laguna</t>
  </si>
  <si>
    <t>Simplemente Madera Millworks S.A.</t>
  </si>
  <si>
    <t>Km 45 Carretera la Boquita Carazo</t>
  </si>
  <si>
    <t>Signature Apparel Group, S.A</t>
  </si>
  <si>
    <t>Villa 9 de Junio, del Monumento 300 m Este, Mano Derecha</t>
  </si>
  <si>
    <t>SIHSO, S.A.</t>
  </si>
  <si>
    <t>Km 11.5 Carretera a Masaya, Contiguo a Pricemart</t>
  </si>
  <si>
    <t>Scientific Instruments</t>
  </si>
  <si>
    <t>Casa Pellas Acahualinca 2 c arriba 1c Sur</t>
  </si>
  <si>
    <t>Servilab Nicaragua</t>
  </si>
  <si>
    <t xml:space="preserve">Villa Reconciliación de la Bloquera Howard 2c Al Sur. </t>
  </si>
  <si>
    <t>Servicios técnicos de basculas</t>
  </si>
  <si>
    <t>km. 4,4 Carretera Norte, frente donde fue el grupo Q, sobre la calle marginal</t>
  </si>
  <si>
    <t>Servibasculas Nicaragua S.A.</t>
  </si>
  <si>
    <t>Ofiplaza El Retiro, Edificio 8, Suite 812, Rotonda del Periodista 150 m Sur</t>
  </si>
  <si>
    <t>Seijiro Yazawa Iwai Nicaragua S.A.</t>
  </si>
  <si>
    <t>Estación de servicio UNO, salida norte 800 m norte, Carretera Miraflor -Estelí</t>
  </si>
  <si>
    <t>San Lotano Cigars S.A.</t>
  </si>
  <si>
    <t>Corinto, Chinandega, Nicaragua</t>
  </si>
  <si>
    <t>SAMSA Nicaragua S. A.</t>
  </si>
  <si>
    <t>Pista La Sabana Frente a Supermercados La Colonia a un costado del bar La Barra</t>
  </si>
  <si>
    <t>Salud Digna para Todos S.A.</t>
  </si>
  <si>
    <t>km 10 Carretera Sur, 1c oeste, 1c norte, 3c oeste</t>
  </si>
  <si>
    <t>Salsas Especiales S.A. (SAESA)</t>
  </si>
  <si>
    <t>De Alke Carretera a Masaya 100 m abajo, 100 Sur, 50 m abajo, contiguo a La Embajada de Chile, Los Robles</t>
  </si>
  <si>
    <t>Salinera de Nicaragua S.A.</t>
  </si>
  <si>
    <t>km 116 Carretera Managua-Matagalpa, Comarca quebrada onda</t>
  </si>
  <si>
    <t>Sajonia Estate Coffee</t>
  </si>
  <si>
    <t>Valle de Esquipulas, de las cuatro esquinas de las Enrramadas 150 m Oeste</t>
  </si>
  <si>
    <t>Sahlman Seafoods of Nicaragua S.A.</t>
  </si>
  <si>
    <t>km 48,5 Carretera Tipitapa Masaya frente a Astro Cartón</t>
  </si>
  <si>
    <t>Sae A Technotex S.A.</t>
  </si>
  <si>
    <t>km 14 Carretera Nueva a León</t>
  </si>
  <si>
    <t>Sacos de Nicaragua S.A.</t>
  </si>
  <si>
    <t>Km 13 Carretera a Masaya</t>
  </si>
  <si>
    <t>Sabina de Ingenieria S.A</t>
  </si>
  <si>
    <t>Km 8 Carretera Norte, de donde fue la Kativo, 500 mts al Sur, Parque Industrial el Tránsito. Nave No. 9</t>
  </si>
  <si>
    <t>R-PAC Nicaragua S.A.</t>
  </si>
  <si>
    <t>km 189,5 Carretera El Viejo-Potosí 12 km Este</t>
  </si>
  <si>
    <t>Royal Shrimp S.A.</t>
  </si>
  <si>
    <t xml:space="preserve">    333</t>
  </si>
  <si>
    <t>De la Subasta 1200 metros al lago</t>
  </si>
  <si>
    <t>Roo Hsing Co. Nicaragua S.A.</t>
  </si>
  <si>
    <t xml:space="preserve">    332</t>
  </si>
  <si>
    <t>Beneficio de café picasa, Km.117 carretera- Sebaco matagalpa frente al beneficio la providencia</t>
  </si>
  <si>
    <t>ARTURO JOSE CASTELLON LOTHROP </t>
  </si>
  <si>
    <t xml:space="preserve">    331</t>
  </si>
  <si>
    <t>ROGER CASTELLON ORUE</t>
  </si>
  <si>
    <t xml:space="preserve">    330</t>
  </si>
  <si>
    <t>km 16 Carretera Masaya-Ticuantepe</t>
  </si>
  <si>
    <t>Rodríguez y asociados</t>
  </si>
  <si>
    <t xml:space="preserve">    329</t>
  </si>
  <si>
    <t>Puerto Cabezas, Nicaragua</t>
  </si>
  <si>
    <t>Rocedes S.A.</t>
  </si>
  <si>
    <t xml:space="preserve">    328</t>
  </si>
  <si>
    <t>Parque Industrial Las Mercedes, km 12,5 Carretera Norte</t>
  </si>
  <si>
    <t>Rey de los Camarones, S.A</t>
  </si>
  <si>
    <t>km 12,5 Carretera Norte, Parque Industrial Las Mercedes, modulo # 15</t>
  </si>
  <si>
    <t>Rexcielo S.A.</t>
  </si>
  <si>
    <t xml:space="preserve">    327</t>
  </si>
  <si>
    <t>Km. 11.5 Carretera a Masaya, Complejo OFINOVA, Ofibodegas 7 y 8, Costado Sur de Pricesmart</t>
  </si>
  <si>
    <t>RETECSA</t>
  </si>
  <si>
    <t xml:space="preserve">    326</t>
  </si>
  <si>
    <t>Del arbolito 200 m al oeste, Managua.</t>
  </si>
  <si>
    <t>Reencauchadora Santa Ana</t>
  </si>
  <si>
    <t xml:space="preserve">    325</t>
  </si>
  <si>
    <t>Km 17 Carretera Nueva a León Bodegas Grupo Prolacsa, 800 mts al Norte</t>
  </si>
  <si>
    <t>Recicladora y Exportadores Cielo, S.A</t>
  </si>
  <si>
    <t xml:space="preserve">    324</t>
  </si>
  <si>
    <t>Distrito VI, Barrio Villa Reconciliación, de los semáforos del Mayoreo 4 cuadras al Oeste (sobre la pista), mano derecha, en la propia esquina, portón verde grande.</t>
  </si>
  <si>
    <t>Recycling</t>
  </si>
  <si>
    <t xml:space="preserve">    323</t>
  </si>
  <si>
    <t>De donde fue La Kativo, 500 m Sur</t>
  </si>
  <si>
    <t>Rainbow Apparel Trading S.A.</t>
  </si>
  <si>
    <t xml:space="preserve">    322</t>
  </si>
  <si>
    <t>Pista Suburbana, 293 Camino a San Isidro 3.4 al Sur, Managua.</t>
  </si>
  <si>
    <t>Químicas Veterinarias, S.A</t>
  </si>
  <si>
    <t xml:space="preserve">    321</t>
  </si>
  <si>
    <t>Estelí costado Norte de la Universidad Farem</t>
  </si>
  <si>
    <t>Puros de Estelí Nicaragua S.A.</t>
  </si>
  <si>
    <t xml:space="preserve">    320</t>
  </si>
  <si>
    <t>Base cuesta del plomo, Refinería, Managua</t>
  </si>
  <si>
    <t>Puma Energy Bahamas S.A.</t>
  </si>
  <si>
    <t xml:space="preserve">    319</t>
  </si>
  <si>
    <t>km 26,5 Carretera Panamericana Norte</t>
  </si>
  <si>
    <t>Protena S.A.</t>
  </si>
  <si>
    <t xml:space="preserve">    318</t>
  </si>
  <si>
    <t>Km 15 1/2 carretera vieja a Tipitapa, frente a la entrada de Cofradia</t>
  </si>
  <si>
    <t>Promotora Agropecuaria San Pedro, S.A</t>
  </si>
  <si>
    <t xml:space="preserve">    317</t>
  </si>
  <si>
    <t>Km 18 1/2 Carretera Nueva a León. Enabas los Brasiles</t>
  </si>
  <si>
    <t>Programa Mundial de Alimentos</t>
  </si>
  <si>
    <t xml:space="preserve">    316</t>
  </si>
  <si>
    <t>km 15.5 Carretera vieja a Tipitapa 1400 mts al sur Camino a Cofradía, Tipitapa</t>
  </si>
  <si>
    <t>Productos e Inversiones Industriales S.A</t>
  </si>
  <si>
    <t xml:space="preserve">    315</t>
  </si>
  <si>
    <t>De La Aldea Santa Elena Choluteca, Honduras, km 2 Carretera hacia Balneario Cedeño</t>
  </si>
  <si>
    <t>Productos Frescos del Mar San Carlos</t>
  </si>
  <si>
    <t xml:space="preserve">    314</t>
  </si>
  <si>
    <t>De los semaforos del Hospital La Mascota 250 vrs arriba</t>
  </si>
  <si>
    <t>Productos El Sol S.A.</t>
  </si>
  <si>
    <t xml:space="preserve">    313</t>
  </si>
  <si>
    <t>km 7,5 Carretera Norte</t>
  </si>
  <si>
    <t>Productos del Aire Nicaragua S.A.</t>
  </si>
  <si>
    <t xml:space="preserve">    312</t>
  </si>
  <si>
    <t>Productores de Mariscos de Nicaragua S.A.</t>
  </si>
  <si>
    <t xml:space="preserve">    311</t>
  </si>
  <si>
    <t>De gasolinera UNO Norte 400 m al Noreste, Esteli</t>
  </si>
  <si>
    <t>Procesadora de Nicaragua, S.A</t>
  </si>
  <si>
    <t xml:space="preserve">    310</t>
  </si>
  <si>
    <t>Del puesto de buses (terminal) Masatepe 800 m Sur</t>
  </si>
  <si>
    <t>Procesadora de Huevo S.A</t>
  </si>
  <si>
    <t xml:space="preserve">    309</t>
  </si>
  <si>
    <t>Km. 11 Carretera Nueva a Leon 700 mtros abajo 150 mtrs al sur</t>
  </si>
  <si>
    <t>Prevasa</t>
  </si>
  <si>
    <t xml:space="preserve">    308</t>
  </si>
  <si>
    <t>km 17,5 Carretera Nueva a León</t>
  </si>
  <si>
    <t xml:space="preserve">Precon Nicaragua S.A. </t>
  </si>
  <si>
    <t xml:space="preserve">    307</t>
  </si>
  <si>
    <t xml:space="preserve">km 114 Carretera León-Malpaisillo     </t>
  </si>
  <si>
    <t>Polaris Energy Nicaragua S.A.</t>
  </si>
  <si>
    <t xml:space="preserve">    306</t>
  </si>
  <si>
    <t>Estación de bombeo ENACA, León</t>
  </si>
  <si>
    <t>Plomeria Sirias</t>
  </si>
  <si>
    <t xml:space="preserve">    305</t>
  </si>
  <si>
    <t>km 13,5 Carretera Sur, de la Iglesia Monte Tabor 500 m Sur, Entrada a la muela</t>
  </si>
  <si>
    <t>PLEICSA</t>
  </si>
  <si>
    <t xml:space="preserve">    304</t>
  </si>
  <si>
    <t>km 90.6 By Pass ½ KM al Este Carretera Comarca Chacraseca, León- Nicaragua</t>
  </si>
  <si>
    <t>Plastimaq Nicaragua, S.A.</t>
  </si>
  <si>
    <t xml:space="preserve">    303</t>
  </si>
  <si>
    <t>Las Colinas 2da entrada del Kinder Montesori 100 m Este, 100 m Norte, 500 m Este</t>
  </si>
  <si>
    <t>Plantel Los Angeles</t>
  </si>
  <si>
    <t xml:space="preserve">    302</t>
  </si>
  <si>
    <t>Miramar Punta La Flor</t>
  </si>
  <si>
    <t>Peninsula Maritime Corp. S.A.</t>
  </si>
  <si>
    <t xml:space="preserve">    301</t>
  </si>
  <si>
    <t>km 23,5 Carretera Sur, El Crucero.</t>
  </si>
  <si>
    <t xml:space="preserve">Panzyma Laboratories S.A. </t>
  </si>
  <si>
    <t xml:space="preserve">    300</t>
  </si>
  <si>
    <t>km 148,5 Carretera El Viejo-Potosí Chinandega</t>
  </si>
  <si>
    <t>Pantaleón Ingenio Monte Rosa</t>
  </si>
  <si>
    <t xml:space="preserve">    299</t>
  </si>
  <si>
    <t>PAME, S.A</t>
  </si>
  <si>
    <t xml:space="preserve">    298</t>
  </si>
  <si>
    <t>Rio San Juan, Nicaragua</t>
  </si>
  <si>
    <t>PALCASA</t>
  </si>
  <si>
    <t xml:space="preserve">    297</t>
  </si>
  <si>
    <t>Corn Island, Nicaragua, Bolonia, Esquina Norte de Canal 2, 50 m Este, Managua</t>
  </si>
  <si>
    <t>Pacific Seafoods de Nicaragua S.A.</t>
  </si>
  <si>
    <t xml:space="preserve">    296</t>
  </si>
  <si>
    <t>km 123 Carretera Panamericana contiguo al campo de futbol, La Trinidad Estelí</t>
  </si>
  <si>
    <t>ORTYCAST</t>
  </si>
  <si>
    <t xml:space="preserve">    295</t>
  </si>
  <si>
    <t>Cuerpo de Bomberos 175 m oeste, Managua</t>
  </si>
  <si>
    <t>Orgoma-Nicaragua</t>
  </si>
  <si>
    <t xml:space="preserve">    294</t>
  </si>
  <si>
    <t>Semaforos Delicias del Volga, 200 m Norte, 200 m Oeste</t>
  </si>
  <si>
    <t>Optima Industrial S.A.</t>
  </si>
  <si>
    <t xml:space="preserve">    293</t>
  </si>
  <si>
    <t>km 48,2 Carretera a Nandaime, Granada Nicaragua</t>
  </si>
  <si>
    <t>Opportunity International Nicaragua, INC</t>
  </si>
  <si>
    <t xml:space="preserve">    292</t>
  </si>
  <si>
    <t>Residencial Las Colinas 2da entrada, Avenida Paseo del club, frente a La Estación de Bomberos</t>
  </si>
  <si>
    <t>OIRSA-LNDVMA</t>
  </si>
  <si>
    <t xml:space="preserve">    291</t>
  </si>
  <si>
    <t>Reparto San Juan casa #190, Gimnasio Hércules 200 m Sur, 200 m arriba, 50 m Sur</t>
  </si>
  <si>
    <t>Oil Test Internacional de Nicaragua S.A</t>
  </si>
  <si>
    <t xml:space="preserve">    290</t>
  </si>
  <si>
    <t>km 10,5 Carretera Norte, 800 m al norte</t>
  </si>
  <si>
    <t xml:space="preserve">Nuevo Carnic S.A. </t>
  </si>
  <si>
    <t xml:space="preserve">    289</t>
  </si>
  <si>
    <t>km 42 Carretera Panamericana Norte</t>
  </si>
  <si>
    <t>Novaterra S.A.</t>
  </si>
  <si>
    <t xml:space="preserve">    288</t>
  </si>
  <si>
    <t>KM 7 1/2 Carretera Norte, Estación de servicio UNO , 150 metros al sur</t>
  </si>
  <si>
    <t>NIMAC</t>
  </si>
  <si>
    <t xml:space="preserve">    287</t>
  </si>
  <si>
    <t>km 20,3 Carretera Nueva a León, Mateare</t>
  </si>
  <si>
    <t>Nilac S.A</t>
  </si>
  <si>
    <t>Jícaro-Nueva Segovia. De la Alcaldía Municipal 1C al Norte, 1C al Este Esquina Opuesta Ministerio de la Familia.</t>
  </si>
  <si>
    <t>Nicoz Resources S.A</t>
  </si>
  <si>
    <t xml:space="preserve">    286</t>
  </si>
  <si>
    <t>Del portón de Chichigalpa 5 km. al Sur.</t>
  </si>
  <si>
    <t>Nicaragua Sugar States Limited</t>
  </si>
  <si>
    <t xml:space="preserve">    285</t>
  </si>
  <si>
    <t>km 123, Carretera Panamericana Sur, del empalme de La Virgen, 400 mts al sur Rivas, Nicaragua</t>
  </si>
  <si>
    <t>Nicaragua Operación y Mantenimiento S.A.</t>
  </si>
  <si>
    <t xml:space="preserve">    284</t>
  </si>
  <si>
    <t>Chinandega, Nicaragua</t>
  </si>
  <si>
    <t>Nicaragua Banana Corp, S.A</t>
  </si>
  <si>
    <t xml:space="preserve">    283</t>
  </si>
  <si>
    <t>De donde fue la Rolter 2C al Norte 2C al Oeste, 1C al Norte.</t>
  </si>
  <si>
    <t>Nicaragua American Cigars S.A.</t>
  </si>
  <si>
    <t xml:space="preserve">    282</t>
  </si>
  <si>
    <t>Rotonda el CEPAD 100 m este, 25 m sur</t>
  </si>
  <si>
    <t>Nicamex Seafood S.A</t>
  </si>
  <si>
    <t xml:space="preserve">    281</t>
  </si>
  <si>
    <t>Gasolinera Uno Plaza El Sol 100 m sur, 150 m oeste. Casa # 113 contiguo a SEVASA Los Robles</t>
  </si>
  <si>
    <t>Nicamex S.A.</t>
  </si>
  <si>
    <t xml:space="preserve">    280</t>
  </si>
  <si>
    <t>km 182 Carretera Panamericana  Norte, Condega, Estelí</t>
  </si>
  <si>
    <t>Nica Beef Packers S.A.</t>
  </si>
  <si>
    <t xml:space="preserve">    279</t>
  </si>
  <si>
    <t>km 12,5 Carretera Norte, Parque Industrial Las Mercedes, modulo # 3738</t>
  </si>
  <si>
    <t>Next Nivel S.A.</t>
  </si>
  <si>
    <t xml:space="preserve">    278</t>
  </si>
  <si>
    <t>Nicaragua</t>
  </si>
  <si>
    <t xml:space="preserve">Natalia Molina </t>
  </si>
  <si>
    <t xml:space="preserve">    277</t>
  </si>
  <si>
    <t>Contiguo a entrada a Masaya</t>
  </si>
  <si>
    <t>Narcy´s / Papa John´s</t>
  </si>
  <si>
    <t xml:space="preserve">    276</t>
  </si>
  <si>
    <t>De los semaforos de la entrada a Sabana Grande 200mts al Este, mano derecha sobre la pista portón crema - Bodegas generales</t>
  </si>
  <si>
    <t>Mt Cargo Express Nicaragua, S.A</t>
  </si>
  <si>
    <t xml:space="preserve">    275</t>
  </si>
  <si>
    <t>Puente Desnivel Portezuelo 900 mts al Norte</t>
  </si>
  <si>
    <t>Mundotex de Nicaragua, S.A</t>
  </si>
  <si>
    <t xml:space="preserve">    274</t>
  </si>
  <si>
    <t>km 116 Carretera Sebaco-Matagalpa</t>
  </si>
  <si>
    <t>Multiagro &amp; Cia Ltda Beneficio de Café El taburete</t>
  </si>
  <si>
    <t xml:space="preserve">    273</t>
  </si>
  <si>
    <t>km 122 Carretera Sebaco-Matagalpa</t>
  </si>
  <si>
    <t>Multiagro &amp; Cia Ltda Beneficio de Café El Galpón</t>
  </si>
  <si>
    <t xml:space="preserve">    272</t>
  </si>
  <si>
    <t>Ingenio Monte Rosa, de la terminal de buses 2 C. Este, el viejo Chinandega</t>
  </si>
  <si>
    <t>Muliservicios Hernández</t>
  </si>
  <si>
    <t xml:space="preserve">    271</t>
  </si>
  <si>
    <t>Bo. Altagracia, Frente al costado Norte Restaurante El Eskimo, edificio de una planta color blanco, portones negros, Managua</t>
  </si>
  <si>
    <t>Mudanzas Mundiales S.A.</t>
  </si>
  <si>
    <t xml:space="preserve">    270</t>
  </si>
  <si>
    <t>Granada, Parque Sandino 1 c al Sur.</t>
  </si>
  <si>
    <t>Mombacho Cigars</t>
  </si>
  <si>
    <t xml:space="preserve">    269</t>
  </si>
  <si>
    <t>Centro Richardson, Contiguo al Banco Central, Carretera Sur</t>
  </si>
  <si>
    <t>Morris Sallick Industrial Supplies S.A.</t>
  </si>
  <si>
    <t xml:space="preserve">    268</t>
  </si>
  <si>
    <t>Final Calle Inmaculada, Granada</t>
  </si>
  <si>
    <t>Molinos de Nicaragua S.A. (MONISA)</t>
  </si>
  <si>
    <t xml:space="preserve">    267</t>
  </si>
  <si>
    <t xml:space="preserve">km 15,2 Carretera a Masaya </t>
  </si>
  <si>
    <t>Molinos de Nicaragua S.A.</t>
  </si>
  <si>
    <t xml:space="preserve">    266</t>
  </si>
  <si>
    <t>Frente Al Estadio de Béisbol Denis Martinez</t>
  </si>
  <si>
    <t>Ministerio de Transporte e Infraestructura</t>
  </si>
  <si>
    <t xml:space="preserve">    265</t>
  </si>
  <si>
    <t>Miguel Marcenaro</t>
  </si>
  <si>
    <t xml:space="preserve">    264</t>
  </si>
  <si>
    <t>km  36,5 Carretera Masaya – Tipitapa Comunidad de Guanacastillo</t>
  </si>
  <si>
    <t>Metalinspec S.A. de CV - Monterrey Mexico</t>
  </si>
  <si>
    <t xml:space="preserve">    263</t>
  </si>
  <si>
    <t>MEDLAB</t>
  </si>
  <si>
    <t xml:space="preserve">    262</t>
  </si>
  <si>
    <t>Zona Franca Las Mercedes, km 12,5 Carretera Norte</t>
  </si>
  <si>
    <t xml:space="preserve">Medisut S.A.  </t>
  </si>
  <si>
    <t xml:space="preserve">    261</t>
  </si>
  <si>
    <t>Mayacero de Nicaragua</t>
  </si>
  <si>
    <t xml:space="preserve">    260</t>
  </si>
  <si>
    <t>km 115 Carretera Sébaco - Matagalpa</t>
  </si>
  <si>
    <t>Matagalpa Coffee Group S.A.</t>
  </si>
  <si>
    <t xml:space="preserve">    259</t>
  </si>
  <si>
    <t>km 130 Carretera Managua a Juigalpa</t>
  </si>
  <si>
    <t>Matadero Central, S.A.</t>
  </si>
  <si>
    <t xml:space="preserve">    258</t>
  </si>
  <si>
    <t>km 16,5 Carretera Nueva a León 800 m Norte Ciudad Sandino, Nicaragua</t>
  </si>
  <si>
    <t>Matadero Cacique</t>
  </si>
  <si>
    <t xml:space="preserve">    257</t>
  </si>
  <si>
    <t>Armando Guido 2C al Sur, 90 varas al este.</t>
  </si>
  <si>
    <t>Marvin José Sánchez Espinoza</t>
  </si>
  <si>
    <t xml:space="preserve">    256</t>
  </si>
  <si>
    <t>De los semaforos del Jonathan González 20 mts al sur.</t>
  </si>
  <si>
    <t>Marsa, S.A</t>
  </si>
  <si>
    <t xml:space="preserve">    255</t>
  </si>
  <si>
    <t xml:space="preserve">km 16.8 Carretera Ticuantepe, Pozo Enacal  </t>
  </si>
  <si>
    <t>Margumar</t>
  </si>
  <si>
    <t xml:space="preserve">    254</t>
  </si>
  <si>
    <t xml:space="preserve"> Km 8 carretera sur enfrente de los tanques de ENACAL</t>
  </si>
  <si>
    <t>MANUQUINSA (H&amp;H Manufacturas Químicas y Servicios S.A.)</t>
  </si>
  <si>
    <t xml:space="preserve">    253</t>
  </si>
  <si>
    <t>Comunidad de El Jicaral, León</t>
  </si>
  <si>
    <t>Mangosa</t>
  </si>
  <si>
    <t xml:space="preserve">    252</t>
  </si>
  <si>
    <t>Reemplazo de Hospital Regional Nuevo Amanecer de la Región Autónoma de la Costa Caribe Norte, Puerto Cabezas</t>
  </si>
  <si>
    <t>MAKIBER S.A.</t>
  </si>
  <si>
    <t xml:space="preserve">    251</t>
  </si>
  <si>
    <t>Del Granjero de Masatepe 3 km al norte</t>
  </si>
  <si>
    <t>LUNIC S.A</t>
  </si>
  <si>
    <t xml:space="preserve">    250</t>
  </si>
  <si>
    <t>De Los Semáforos del Hotel Fronteras 800 m Oeste, Ocotal-Nueva Segovia</t>
  </si>
  <si>
    <t>Luis Emilio Valladarez</t>
  </si>
  <si>
    <t xml:space="preserve">    249</t>
  </si>
  <si>
    <t>Lomas de Tiscapa, antiguo Hospital Militar</t>
  </si>
  <si>
    <t>Luis Alberto Chavez</t>
  </si>
  <si>
    <t xml:space="preserve">    248</t>
  </si>
  <si>
    <t>Beneficio Las Segovias, Semáforos Hotel Frontera 800 m Oeste, 125 vrs Sur, 25 vrs Oeste, Ocotal, Nueva Segovia</t>
  </si>
  <si>
    <t>Luis Alberto Balladarez</t>
  </si>
  <si>
    <t xml:space="preserve">    247</t>
  </si>
  <si>
    <t>Barrio Acahualinca, Bodega No.8</t>
  </si>
  <si>
    <t>Logistica Ecológica, S.A</t>
  </si>
  <si>
    <t xml:space="preserve">    246</t>
  </si>
  <si>
    <t>Edificio Delta km 5,5 Carretera a Masaya</t>
  </si>
  <si>
    <t>LOGICOM Logistica Comercial S.A.</t>
  </si>
  <si>
    <t xml:space="preserve">    245</t>
  </si>
  <si>
    <t>Carretera Panamericana, km 153 Estelí, Nicaragua</t>
  </si>
  <si>
    <t>Las Limas, S,A</t>
  </si>
  <si>
    <t xml:space="preserve">    244</t>
  </si>
  <si>
    <t>km 151 Carretera Chinandega al Guasuale, 2 km oeste</t>
  </si>
  <si>
    <t>Langostinos de Centroamérica, S.A.</t>
  </si>
  <si>
    <t xml:space="preserve">    243</t>
  </si>
  <si>
    <t>Km 36,5 Carretera Masaya-Tipitapa, Nicaragua</t>
  </si>
  <si>
    <t>Lanco Nicaragua S.A.</t>
  </si>
  <si>
    <t xml:space="preserve">    242</t>
  </si>
  <si>
    <t>km 3.5 Carretera Panamericana Norte, Managua, Nicaragua</t>
  </si>
  <si>
    <t>LANAMET-MIFIC</t>
  </si>
  <si>
    <t xml:space="preserve">    241</t>
  </si>
  <si>
    <t>Carretera Panamericana Norte km 35 1/2 Banda Este, San Benito Tipitapa</t>
  </si>
  <si>
    <t>Lala Nicaragua, S.A (Planta San Benito)</t>
  </si>
  <si>
    <t xml:space="preserve">    240</t>
  </si>
  <si>
    <t>18 y 19 Avenida Sur Oeste, Altagracia, Managua</t>
  </si>
  <si>
    <t>Lala Nicaragua, S.A (Planta Altagracia)</t>
  </si>
  <si>
    <t xml:space="preserve">    239</t>
  </si>
  <si>
    <t xml:space="preserve">Jinotega </t>
  </si>
  <si>
    <t>Lácteos la Norteña</t>
  </si>
  <si>
    <t xml:space="preserve">    238</t>
  </si>
  <si>
    <t>km 222 Carretera Panamericana hacia la frontera del Espino, 100 mts al Oeste, Somoto, Madriz</t>
  </si>
  <si>
    <t>Lácteos Froilan</t>
  </si>
  <si>
    <t xml:space="preserve">    237</t>
  </si>
  <si>
    <t>Santo Tomas-Chontales, de la Pepsi 3 c. al sur</t>
  </si>
  <si>
    <t>Lácteos las Mesas</t>
  </si>
  <si>
    <t xml:space="preserve">    236</t>
  </si>
  <si>
    <t>35 m Oeste, de la Iglesia Católica, Casa #035, Río Segundo, Alajuela, Costa Rica</t>
  </si>
  <si>
    <t>Labs de Costa Rica S.A.</t>
  </si>
  <si>
    <t xml:space="preserve">    235</t>
  </si>
  <si>
    <t>km 138 Carretera a Corinto, Chinandega</t>
  </si>
  <si>
    <t>Laboratorios Servicios Agroindustriales S. A. (SERAGRO)</t>
  </si>
  <si>
    <t xml:space="preserve">    234</t>
  </si>
  <si>
    <t>km 4 Carretera Norte, Managua.</t>
  </si>
  <si>
    <t>Laboratorios Ramos S.A.</t>
  </si>
  <si>
    <t xml:space="preserve">    233</t>
  </si>
  <si>
    <t>km 83 Carretera León</t>
  </si>
  <si>
    <t>Laboratorios Químicos S.A.</t>
  </si>
  <si>
    <t xml:space="preserve">    232</t>
  </si>
  <si>
    <t>Carretera Masaya km 45,5 Granada</t>
  </si>
  <si>
    <t>Laboratorios Ceguel</t>
  </si>
  <si>
    <t>km 5,5 Carretera a Masaya</t>
  </si>
  <si>
    <t>Laboratorios Bengoechea S.A.</t>
  </si>
  <si>
    <t xml:space="preserve">    231</t>
  </si>
  <si>
    <t>Bo. Casimiro Sotelo Enel Central 300 vrs Sur, Managua</t>
  </si>
  <si>
    <t>Laboratorio Nacional de Residuos Químicos y Biológicos</t>
  </si>
  <si>
    <t xml:space="preserve">    230</t>
  </si>
  <si>
    <t>km 12,7 Carretera Sur, Comarca San José de Las Cañadas, Managua</t>
  </si>
  <si>
    <t>Laboratorio Nacional de Diagnostico Veterinario y Microbiología de los Alimentos</t>
  </si>
  <si>
    <t xml:space="preserve">    229</t>
  </si>
  <si>
    <t>Laboratorio Nacional de Diagnostico Fitosanitario de Calidad y Semilla</t>
  </si>
  <si>
    <t xml:space="preserve">    228</t>
  </si>
  <si>
    <t>Reciento Universitario "Ruben Darío", de La Biblioteca Central Salomón de la Selva 100 m Oeste</t>
  </si>
  <si>
    <t>Laboratorio de Física de Radiaciones y Metrología UNAN-Managua</t>
  </si>
  <si>
    <t xml:space="preserve">    227</t>
  </si>
  <si>
    <t>km 95,5 Carretera León-Chinandega Nicaragua</t>
  </si>
  <si>
    <t>Laboratorio de Análisis S.A.</t>
  </si>
  <si>
    <t xml:space="preserve">    226</t>
  </si>
  <si>
    <t>Esquina de Los Bancos 50 m Sur, Chinandega</t>
  </si>
  <si>
    <t>Laboratorio Clinico San Angel</t>
  </si>
  <si>
    <t xml:space="preserve">    225</t>
  </si>
  <si>
    <t>AV. 20 SE Ciudad Jardin, K-15, Managua</t>
  </si>
  <si>
    <t>Laboratorio Ambiental Pronic</t>
  </si>
  <si>
    <t xml:space="preserve">    224</t>
  </si>
  <si>
    <t>Rotonda Rubén Darío 100 m al Sur 50 m al Oeste</t>
  </si>
  <si>
    <t>Labnicsa</t>
  </si>
  <si>
    <t xml:space="preserve">    223</t>
  </si>
  <si>
    <t>Km 217 Crretera al Rama La Gateada Chontales</t>
  </si>
  <si>
    <t>La Montaña, S.A</t>
  </si>
  <si>
    <t xml:space="preserve">    222</t>
  </si>
  <si>
    <t>Mina La India, km 174 Carretera León-San Isidro</t>
  </si>
  <si>
    <t>La India Gold S.A.</t>
  </si>
  <si>
    <t xml:space="preserve">    221</t>
  </si>
  <si>
    <t>Carretera Norte ,km 7,5 Parque Industrial El Transito, Managua</t>
  </si>
  <si>
    <t>Kufferath Nicaragua S.A.</t>
  </si>
  <si>
    <t xml:space="preserve">    220</t>
  </si>
  <si>
    <t>Frente Iglesia el Calvario 75 varas abajo, Chinandega</t>
  </si>
  <si>
    <t>Kuali prosis</t>
  </si>
  <si>
    <t xml:space="preserve">    219</t>
  </si>
  <si>
    <t>Edificio el Centro 1. Segundo piso, Contiguo a Casa Pellas Plaza España.</t>
  </si>
  <si>
    <t>Korea Nicaragua, S.A</t>
  </si>
  <si>
    <t xml:space="preserve">km 2 Carretera a Sabana Grande    </t>
  </si>
  <si>
    <t>Kola Shaler Industrial S.A.</t>
  </si>
  <si>
    <t xml:space="preserve">    218</t>
  </si>
  <si>
    <t>Km 14 1/2 Carretera Nueva a León, Zona Franca Saratoga</t>
  </si>
  <si>
    <t>Kentex, S.A</t>
  </si>
  <si>
    <t xml:space="preserve">    217</t>
  </si>
  <si>
    <t>Iglesia Don Bosco 500 m al oeste, Villa Don Bosco, casa No. D-56</t>
  </si>
  <si>
    <t>José Wilfredo Solís Díaz</t>
  </si>
  <si>
    <t xml:space="preserve">    216</t>
  </si>
  <si>
    <t>De dónde fue la clínica Santa María 20 vrs arriba.</t>
  </si>
  <si>
    <t>José Francisco Blanco Cordero</t>
  </si>
  <si>
    <t xml:space="preserve">    215</t>
  </si>
  <si>
    <t>Somoto</t>
  </si>
  <si>
    <t>Josué Arauz</t>
  </si>
  <si>
    <t xml:space="preserve">    214</t>
  </si>
  <si>
    <t>Portón del Cementerio 50 m Sur, Telica León</t>
  </si>
  <si>
    <t>José Alfredo Vargas</t>
  </si>
  <si>
    <t xml:space="preserve">    213</t>
  </si>
  <si>
    <t>Ciudad el Doral, km 19,5 carretera nueva a León</t>
  </si>
  <si>
    <t>Jaime Herrera</t>
  </si>
  <si>
    <t xml:space="preserve">    212</t>
  </si>
  <si>
    <t>Puente El Edén 100 m norte, 100 m este, 75 m norte</t>
  </si>
  <si>
    <t>Iprocen S.A.</t>
  </si>
  <si>
    <t xml:space="preserve">    211</t>
  </si>
  <si>
    <t>De la rotonda de Villa Fontana Norte 200 m Sur 200 m Oeste Condominio Los Soveche, Apartamento 1 Managua</t>
  </si>
  <si>
    <t>Investigación y Control de Calidad S.A. - Nicaragua</t>
  </si>
  <si>
    <t xml:space="preserve">    210</t>
  </si>
  <si>
    <t>Boulevar de Las Brisas, entrada Inst. Ramirez Goyena 1 C al Oeste, 1 C al Sur, Managua, Nicaragua.</t>
  </si>
  <si>
    <t>Inversiones y productos de Centroamerica S.A.</t>
  </si>
  <si>
    <t xml:space="preserve">    209</t>
  </si>
  <si>
    <t>Semaforos del Club Terraza, 75 vrs Sur, Edificio Discover II-3er piso</t>
  </si>
  <si>
    <t>Inversiones Vargas S.A.</t>
  </si>
  <si>
    <t xml:space="preserve">    208</t>
  </si>
  <si>
    <t>Empalme cuesta el plomo 300 m al este 400 m al norte</t>
  </si>
  <si>
    <t>Inversiones Secoya S.A.</t>
  </si>
  <si>
    <t xml:space="preserve">    207</t>
  </si>
  <si>
    <t>Km 15 1/2 Carretera Nueva a Tipitapa, Managua.</t>
  </si>
  <si>
    <t>Inversiones Nicafish</t>
  </si>
  <si>
    <t xml:space="preserve">    206</t>
  </si>
  <si>
    <t>km 26,5 Carretera Tipitapa - Masaya</t>
  </si>
  <si>
    <t xml:space="preserve">Inversiones en Concreto S.A. </t>
  </si>
  <si>
    <t xml:space="preserve">    205</t>
  </si>
  <si>
    <t>De la UdeM 200 m Este 50 m Sur</t>
  </si>
  <si>
    <t>Intesal S.A.</t>
  </si>
  <si>
    <t xml:space="preserve">    204</t>
  </si>
  <si>
    <t>Calle Nueva, de donde fue el Resturante Bohemio 50 m Oeste, Corinto, Nicaragua</t>
  </si>
  <si>
    <t>Intertek Caleb Brett Panama, Inc.</t>
  </si>
  <si>
    <t xml:space="preserve">    203</t>
  </si>
  <si>
    <t>km 12,5 Carretera Norte, Zona Franca Industrial Las Mercedes, módulos 32-33 y 45</t>
  </si>
  <si>
    <t>Internacional de Textiles S.A.</t>
  </si>
  <si>
    <t xml:space="preserve">    202</t>
  </si>
  <si>
    <t>Paso a Desnivel Portezuelo 300 m Norte</t>
  </si>
  <si>
    <t>Insumos Disagro S.A.</t>
  </si>
  <si>
    <t xml:space="preserve">    201</t>
  </si>
  <si>
    <t>Rotonda Centroamérica 350 metros al oeste. Managua, Nicaragua</t>
  </si>
  <si>
    <t>INSUMA-Institutos De Suelos Y Materiales</t>
  </si>
  <si>
    <t>Frente al portón Lugo Renta Car, Bolonia</t>
  </si>
  <si>
    <t>Instituto Nicaraguense de Energía, INE</t>
  </si>
  <si>
    <t>Canal 2; 200 m al oeste; 150 m al sur; Residencial Bolonia; 48 15 Av. Suroeste.</t>
  </si>
  <si>
    <t>Instituto Nicaragüense del Cemento y del Concreto (INCYC)</t>
  </si>
  <si>
    <t xml:space="preserve">    200</t>
  </si>
  <si>
    <t>km 6 Carretera Norte, Managua.</t>
  </si>
  <si>
    <t>Instituto Mechnikov S.A.</t>
  </si>
  <si>
    <t xml:space="preserve">    199</t>
  </si>
  <si>
    <t>Del restaurante Summer 1,5 C. Norte, Casa M/I No. 128. Los Robles III Etapa</t>
  </si>
  <si>
    <t>Instituto de Ciencias Sostenible</t>
  </si>
  <si>
    <t xml:space="preserve">    198</t>
  </si>
  <si>
    <t>Semaforos Colegio Americano, 100m oeste 600m norte, Managua Nicaragua</t>
  </si>
  <si>
    <t>Inspectorate America corp</t>
  </si>
  <si>
    <t xml:space="preserve">    197</t>
  </si>
  <si>
    <t>Km 19 1/2 Carretera Vieja a Tipitapa</t>
  </si>
  <si>
    <t>Innova Industrias, S.A</t>
  </si>
  <si>
    <t xml:space="preserve">    196</t>
  </si>
  <si>
    <t>INELCON, S.A</t>
  </si>
  <si>
    <t xml:space="preserve">    195</t>
  </si>
  <si>
    <t>Los semáforos de claro Villa Fontana, 100 m al este 150 m al norte</t>
  </si>
  <si>
    <t>Ingenieros Consultores Centroamericanos  S.A.</t>
  </si>
  <si>
    <t xml:space="preserve">    194</t>
  </si>
  <si>
    <t>De la rotonda de Bello Horizonte 1 c al este, 1 c al sur, 0.5 c al este, 1 c al sur, casa BIV40, Managua, Nicaragua</t>
  </si>
  <si>
    <t>Ingenieria de Calidad, S.A</t>
  </si>
  <si>
    <t xml:space="preserve">    193</t>
  </si>
  <si>
    <t>Hotel Bermúdez 40 vrs al Oeste, 2do piso, Modulo 1, Matagalpa</t>
  </si>
  <si>
    <t>Ingeniería y Controles Automatizados S.A</t>
  </si>
  <si>
    <t xml:space="preserve">    192</t>
  </si>
  <si>
    <t>Residencial Mayales, casa N° 62, Esquipulas</t>
  </si>
  <si>
    <t>INPESA</t>
  </si>
  <si>
    <t xml:space="preserve">    191</t>
  </si>
  <si>
    <t>Del madroño 1 cuadra abajo, 2 al lago.</t>
  </si>
  <si>
    <t>Ingenieria de Materiales y Pavimento</t>
  </si>
  <si>
    <t xml:space="preserve">    190</t>
  </si>
  <si>
    <t>Rotonda la Virgen, 100 metros al Norte, 30 metros al oeste, Managua</t>
  </si>
  <si>
    <t>Ingenieria de Materiales, S.A</t>
  </si>
  <si>
    <t xml:space="preserve">    189</t>
  </si>
  <si>
    <t>Km 43.5 Carretera Panamericana Norte</t>
  </si>
  <si>
    <t>Ingemann Food Nicaragua, S.A</t>
  </si>
  <si>
    <t xml:space="preserve">    188</t>
  </si>
  <si>
    <t>Ingemann Fine Cocoa, S.A</t>
  </si>
  <si>
    <t xml:space="preserve">    187</t>
  </si>
  <si>
    <t>De La Parmalat 500 m lago, 200 m arriba</t>
  </si>
  <si>
    <t>Industrias Toro S.A.</t>
  </si>
  <si>
    <t xml:space="preserve">    186</t>
  </si>
  <si>
    <t>Costado Sur Iglesia San Sebastian, León-Nicaragua.</t>
  </si>
  <si>
    <t>Industrias Mantica S.A.</t>
  </si>
  <si>
    <t xml:space="preserve">    185</t>
  </si>
  <si>
    <t>Banpro Ciudad Jardin 100 m Norte, 100 Este</t>
  </si>
  <si>
    <t>Industrias Edison S.A.</t>
  </si>
  <si>
    <t xml:space="preserve">    184</t>
  </si>
  <si>
    <t xml:space="preserve">km 7 Carretera Sur, contiguo a UNO 7 Sur  </t>
  </si>
  <si>
    <t>Industrias Delmor S.A.</t>
  </si>
  <si>
    <t xml:space="preserve">    183</t>
  </si>
  <si>
    <t>Industrias Cárnicas Integradas, S.A.</t>
  </si>
  <si>
    <t xml:space="preserve">    182</t>
  </si>
  <si>
    <t>km 67,5 Carretera Panamericana Sur</t>
  </si>
  <si>
    <t>Industrial Comercial San Martin, S.A.</t>
  </si>
  <si>
    <t xml:space="preserve">    181</t>
  </si>
  <si>
    <t>Km 12.5 Carretera Norte Parque Industrial las Mercedes Módulo 10</t>
  </si>
  <si>
    <t>Industria Textilera Sil, S.A</t>
  </si>
  <si>
    <t xml:space="preserve">    180</t>
  </si>
  <si>
    <t>Banpro 100 m al Este, 10 vrs al Sur, Matagalpa-Nicaragua</t>
  </si>
  <si>
    <t>Industria Robelo Camacho S.A.</t>
  </si>
  <si>
    <t xml:space="preserve">    179</t>
  </si>
  <si>
    <t>Km 29 Carretera Masaya Tipitapa. Finca Ave Azul</t>
  </si>
  <si>
    <t>Industrias Nicaraguenses Diversificadas, S.A (Pixca)</t>
  </si>
  <si>
    <t xml:space="preserve">    178</t>
  </si>
  <si>
    <t>km 4,5 Carretera Norte</t>
  </si>
  <si>
    <t>Industria Nacional de Refrescos, S.A. (FEMSA)</t>
  </si>
  <si>
    <t xml:space="preserve">    177</t>
  </si>
  <si>
    <t>km 11 Carretera Nueva a León 300 m Oeste, 100 m Sur</t>
  </si>
  <si>
    <t>Industria de Envases Tecnificados S.A.</t>
  </si>
  <si>
    <t xml:space="preserve">    176</t>
  </si>
  <si>
    <t xml:space="preserve">km 5,5 Carretera Norte </t>
  </si>
  <si>
    <t xml:space="preserve">Industria Cerámica Centroamericana, S.A </t>
  </si>
  <si>
    <t xml:space="preserve">    175</t>
  </si>
  <si>
    <t>km 30 Carretera Managua-Granada</t>
  </si>
  <si>
    <t>Incasa</t>
  </si>
  <si>
    <t xml:space="preserve">    174</t>
  </si>
  <si>
    <t>km 9,5 Carretera a Masaya, contiguo al Hospital Vivian Pellas</t>
  </si>
  <si>
    <t>INBRA-Instituto Nicaragüense de Biotecnología y Reproducción Animal</t>
  </si>
  <si>
    <t xml:space="preserve">    173</t>
  </si>
  <si>
    <t>Frente al Restaurante El Pullazo, Las Tejas km 125, Carretera Matagalpa Sebaco</t>
  </si>
  <si>
    <t>Impexca S.A.</t>
  </si>
  <si>
    <t>km 6,5 Carretera Norte, Contiguo a Bodega Pollo Estrella</t>
  </si>
  <si>
    <t>Impelsa</t>
  </si>
  <si>
    <t xml:space="preserve">    172</t>
  </si>
  <si>
    <t>Veracruz, Managua</t>
  </si>
  <si>
    <t>ICTSA CONSULTORES</t>
  </si>
  <si>
    <t xml:space="preserve">    171</t>
  </si>
  <si>
    <t>Pista a la Refinería #22, Frente al BAC Las Brisas</t>
  </si>
  <si>
    <t>ICABALCETA CONSULTORES</t>
  </si>
  <si>
    <t xml:space="preserve">    170</t>
  </si>
  <si>
    <t>km 9,8 Carretera a Masaya 250 m Oeste</t>
  </si>
  <si>
    <t>Hospital Metropolitano S.A</t>
  </si>
  <si>
    <t xml:space="preserve">    169</t>
  </si>
  <si>
    <t>km 12,5 Carretera Norte, Parque Industrial Las Mercedes, modulo # 35</t>
  </si>
  <si>
    <t>Hialpesa Nicaragua S.A.</t>
  </si>
  <si>
    <t xml:space="preserve">    168</t>
  </si>
  <si>
    <t>Terminar de la Ruta 118, 1 1/2 al sur, Managua</t>
  </si>
  <si>
    <t>Harley Moreno</t>
  </si>
  <si>
    <t xml:space="preserve">    167</t>
  </si>
  <si>
    <t>Niquinohomo, Km. 53 carretera hacia Catarina, costado este del nuevo cementerio</t>
  </si>
  <si>
    <t>Hansae International S.A</t>
  </si>
  <si>
    <t xml:space="preserve">    166</t>
  </si>
  <si>
    <t>De donde fueron las delicias del volga 2c ½ al lago a mano derecha</t>
  </si>
  <si>
    <t>Hanon Tercero Metals LTD</t>
  </si>
  <si>
    <t xml:space="preserve">    165</t>
  </si>
  <si>
    <t xml:space="preserve">Hannes Schwarzberger </t>
  </si>
  <si>
    <t xml:space="preserve">    164</t>
  </si>
  <si>
    <t>Km 14,5 Carrtera Nueva a León</t>
  </si>
  <si>
    <t>Handsome Nica S.A.</t>
  </si>
  <si>
    <t xml:space="preserve">    163</t>
  </si>
  <si>
    <t>Selva Negra, Matagalpa</t>
  </si>
  <si>
    <t>Hacienda la Hammonia y Cia. Ltda</t>
  </si>
  <si>
    <t xml:space="preserve">    162</t>
  </si>
  <si>
    <t>Pista Sabana Grande 150 m Sur</t>
  </si>
  <si>
    <t>Gunnar James</t>
  </si>
  <si>
    <t xml:space="preserve">    161</t>
  </si>
  <si>
    <t>Masatepe - Estación de Buses 800mts al sur.</t>
  </si>
  <si>
    <t>Grupo Industrial el Granjero</t>
  </si>
  <si>
    <t xml:space="preserve">    160</t>
  </si>
  <si>
    <t>Altamira del BDF 100 m al Lago 50 m Oeste, Managua - Nicaragua</t>
  </si>
  <si>
    <t>Grupo FLOTEC S.A.</t>
  </si>
  <si>
    <t xml:space="preserve">    159</t>
  </si>
  <si>
    <t>km 122 1/2 Carretera Managua - Matagalpa, entrada a Tejerina 500 m norte.</t>
  </si>
  <si>
    <t>Grupo Fhelca S.A.</t>
  </si>
  <si>
    <t xml:space="preserve">    158</t>
  </si>
  <si>
    <t>Semáforos Hospital Vivian Pellas 100 metros al Oeste. Managua-Reparto Elizabeth Casa #103</t>
  </si>
  <si>
    <t>Grupo Delpin Nicaragua, S.A</t>
  </si>
  <si>
    <t xml:space="preserve">    157</t>
  </si>
  <si>
    <t>Puerto Sandino</t>
  </si>
  <si>
    <t>Grupo CYMCA S.A.</t>
  </si>
  <si>
    <t xml:space="preserve">    156</t>
  </si>
  <si>
    <t>Del portón del antiguo Hospital Militar 200 m al lago</t>
  </si>
  <si>
    <t>Grupo ACISA</t>
  </si>
  <si>
    <t xml:space="preserve">    155</t>
  </si>
  <si>
    <t>Portón Principal Hospital Bautista 100 m Sur, 8 m Oeste</t>
  </si>
  <si>
    <t>Gran Costa Nicaragua S.A.</t>
  </si>
  <si>
    <t xml:space="preserve">    154</t>
  </si>
  <si>
    <t xml:space="preserve">km 124 Carretera a León, Chinandega   </t>
  </si>
  <si>
    <t>Gildan Activewear Chinandega S.A</t>
  </si>
  <si>
    <t xml:space="preserve">    153</t>
  </si>
  <si>
    <t xml:space="preserve">km 45 Carretera a San Marcos    </t>
  </si>
  <si>
    <t>Gildan Activewear San Marcos II, S.A.</t>
  </si>
  <si>
    <t xml:space="preserve">    152</t>
  </si>
  <si>
    <t>km 109,5 Carretera Panamericana Sur 300 m oeste</t>
  </si>
  <si>
    <t>Gildan Activewear Rivas II, S.A.</t>
  </si>
  <si>
    <t xml:space="preserve">    151</t>
  </si>
  <si>
    <t>Gerardo Ferrufino</t>
  </si>
  <si>
    <t xml:space="preserve">    150</t>
  </si>
  <si>
    <t>San Rafael del Sur, Nicaragua</t>
  </si>
  <si>
    <t>Generación Green Power S.A</t>
  </si>
  <si>
    <t xml:space="preserve">    149</t>
  </si>
  <si>
    <t>km 185 Carretera Jinotega San Rafael del Norte</t>
  </si>
  <si>
    <t>GChamorro Agroindustrial S.A.</t>
  </si>
  <si>
    <t xml:space="preserve">    148</t>
  </si>
  <si>
    <t>De donde fue La Pepsi 200 m Lago</t>
  </si>
  <si>
    <t>Gatornica-AB S.A.</t>
  </si>
  <si>
    <t xml:space="preserve">    147</t>
  </si>
  <si>
    <t>km 34,5 Carretera Vieja a León, 1 200 m Sur, Municipio Villa El Carmen. Managua</t>
  </si>
  <si>
    <t>Ganadería Integral Nicaragua S.A.</t>
  </si>
  <si>
    <t xml:space="preserve">    146</t>
  </si>
  <si>
    <t>KM 14.10 Carretera Norte, entrada a San Cristobal 626.50 metros al Sur</t>
  </si>
  <si>
    <t>GD MAQUILADOR DE NICARAGUA S.A</t>
  </si>
  <si>
    <t xml:space="preserve">    145</t>
  </si>
  <si>
    <t>Semáforos del Ministerio de Gobernacion 75 Varas al este frente a la Iglesia el Redentor</t>
  </si>
  <si>
    <t>Frío Industrial S.A.</t>
  </si>
  <si>
    <t xml:space="preserve">    144</t>
  </si>
  <si>
    <t>km 2,2 Carretera Norte</t>
  </si>
  <si>
    <t>Fracocsa</t>
  </si>
  <si>
    <t xml:space="preserve">    143</t>
  </si>
  <si>
    <t xml:space="preserve">Zona Franca Astro Nicaragua S.A. Nave 21E km 47,5 Carretera Tipitapa a Masaya Tipitapa Managua </t>
  </si>
  <si>
    <t>Finotex Nicaragua</t>
  </si>
  <si>
    <t xml:space="preserve">    142</t>
  </si>
  <si>
    <t>Reparto Serrano, De la Catedral Metropolitana 2c al lago,1/2c. abajo. Casa No.39</t>
  </si>
  <si>
    <t>FINISA</t>
  </si>
  <si>
    <t xml:space="preserve">    141</t>
  </si>
  <si>
    <t>Km 2 carretera norte, semáforos de la Dirección General de Contrataciones del Estado 1 c. al sur 1/2 c. al oeste, Managua</t>
  </si>
  <si>
    <t>Farmaquim</t>
  </si>
  <si>
    <t xml:space="preserve">    140</t>
  </si>
  <si>
    <t>km 121 Carretera Managua - Matagalpa</t>
  </si>
  <si>
    <t>Fara Coffee S.A.</t>
  </si>
  <si>
    <t xml:space="preserve">    139</t>
  </si>
  <si>
    <t>km 19,4 Carretera Masaya-Managua</t>
  </si>
  <si>
    <t>FACEMA S.A.</t>
  </si>
  <si>
    <t xml:space="preserve">    138</t>
  </si>
  <si>
    <t>Carretera Panamericana km 215,5 Somoto-Madriz</t>
  </si>
  <si>
    <t>Exportadora Panamericana Norte S.A.</t>
  </si>
  <si>
    <t xml:space="preserve">    137</t>
  </si>
  <si>
    <t>Esteli Horticultural S.A.</t>
  </si>
  <si>
    <t xml:space="preserve">    136</t>
  </si>
  <si>
    <t>Del tanque Enacal 75 m al Oeste.</t>
  </si>
  <si>
    <t>Ernesto Francisco Castellón</t>
  </si>
  <si>
    <t xml:space="preserve">    135</t>
  </si>
  <si>
    <t>Barrio La Fuente del Portón de La Escuela Normal  300 m Este  300 m Sur</t>
  </si>
  <si>
    <t>Ernesto Blake</t>
  </si>
  <si>
    <t xml:space="preserve">    134</t>
  </si>
  <si>
    <t>km 123 Carretera Panamericana Sur, del empalme de La Virgen, 400 m Sur, Rivas</t>
  </si>
  <si>
    <t>Eolo de Nicaragua S.A.</t>
  </si>
  <si>
    <t xml:space="preserve">    133</t>
  </si>
  <si>
    <t>Km 15.5 Carretera a Ticuantepe</t>
  </si>
  <si>
    <t>ENERGY LINDMAN ENTERPRISES CORP</t>
  </si>
  <si>
    <t xml:space="preserve">    132</t>
  </si>
  <si>
    <t xml:space="preserve">Pista de La Resistencia, Managua </t>
  </si>
  <si>
    <t>ENEL</t>
  </si>
  <si>
    <t xml:space="preserve">    131</t>
  </si>
  <si>
    <t>Segunda Entrada a Las Colinas, Iglesia Católica 100 m Norte 250 m Este</t>
  </si>
  <si>
    <t>Empresa Servicios Electrónicos Azocar S.A.</t>
  </si>
  <si>
    <t xml:space="preserve">    130</t>
  </si>
  <si>
    <t>Km 19 ctra. Vieja Tipitapa. Tipitapa - Nicaragua</t>
  </si>
  <si>
    <t>Empresa Energética Corinto, LTD</t>
  </si>
  <si>
    <t xml:space="preserve">    129</t>
  </si>
  <si>
    <t>Aldea Santa Elena, Desvío Carretera a Cedeño, Honduras, C.A.</t>
  </si>
  <si>
    <t>Empacadora de Camarones Santa Inés, S. de R.L de C.V</t>
  </si>
  <si>
    <t xml:space="preserve">    128</t>
  </si>
  <si>
    <t>Gasolinera UNO Waspan 700 mts al sur</t>
  </si>
  <si>
    <t>Embotelladora Nacional S.A.</t>
  </si>
  <si>
    <t xml:space="preserve">    127</t>
  </si>
  <si>
    <t>Rotonda El Güegüense, Managua</t>
  </si>
  <si>
    <t>Elvatron</t>
  </si>
  <si>
    <t xml:space="preserve">    126</t>
  </si>
  <si>
    <t>Ticuantepe, km 16.5</t>
  </si>
  <si>
    <t>Ecoquimica S.A.</t>
  </si>
  <si>
    <t xml:space="preserve">    125</t>
  </si>
  <si>
    <t>De la Óptica Nicaraguense, 3C al Este 1/2 C al Sur Residencial Bolonia. Managua, Nicaragua</t>
  </si>
  <si>
    <t>Electrónica Técnica, S.A</t>
  </si>
  <si>
    <t xml:space="preserve">    124</t>
  </si>
  <si>
    <t>Escuela Palo Solo 1 km Oeste, la Concepción - Masaya</t>
  </si>
  <si>
    <t>El Socorro Enterprises S.A.</t>
  </si>
  <si>
    <t xml:space="preserve">    123</t>
  </si>
  <si>
    <t>Eins S.A.</t>
  </si>
  <si>
    <t xml:space="preserve">    122</t>
  </si>
  <si>
    <t>Km 7.5 carretera norte, de la Kativo 50 metros al este. Managua, Nicaragua</t>
  </si>
  <si>
    <t>EDT Nicaragua, S.A</t>
  </si>
  <si>
    <t xml:space="preserve">    121</t>
  </si>
  <si>
    <t>Calle 27 de Mayo CST 100 m Sur 200 m Este, Managua</t>
  </si>
  <si>
    <t>Edisa</t>
  </si>
  <si>
    <t xml:space="preserve">    120</t>
  </si>
  <si>
    <t>La Paz Centro, cancha 100 m Oeste, 50 m Norte</t>
  </si>
  <si>
    <t>Eddy Job Pallais Vallecillo</t>
  </si>
  <si>
    <t xml:space="preserve">    119</t>
  </si>
  <si>
    <t>km 15,2 Carretera a Masaya</t>
  </si>
  <si>
    <t>E Chamorro Industrial S.A.</t>
  </si>
  <si>
    <t xml:space="preserve">    118</t>
  </si>
  <si>
    <t xml:space="preserve">km 15,2 Carretera Managua-Masaya </t>
  </si>
  <si>
    <t>Drogueria Rocha</t>
  </si>
  <si>
    <t xml:space="preserve">    117</t>
  </si>
  <si>
    <t>Donde fueron Las Aldeas SOS, Barrio Oscar Gamez N°2, Estelí</t>
  </si>
  <si>
    <t>Drew Estate Tobacco Company S.A.</t>
  </si>
  <si>
    <t xml:space="preserve">    116</t>
  </si>
  <si>
    <t>km 25,5 Carretera a Masaya</t>
  </si>
  <si>
    <t>Draexlmaier Partes Automotrices Nicaragua S.A</t>
  </si>
  <si>
    <t xml:space="preserve">    115</t>
  </si>
  <si>
    <t>Granada, de Laboratorio Ceguel 300 metros carretera los malacos</t>
  </si>
  <si>
    <t>Doselva, S.A</t>
  </si>
  <si>
    <t xml:space="preserve">    114</t>
  </si>
  <si>
    <t>Km 16  carretera nueva a Leon, detrás del cementerio los Brasiles</t>
  </si>
  <si>
    <t>Disnorte-Dissur</t>
  </si>
  <si>
    <t xml:space="preserve">    113</t>
  </si>
  <si>
    <t>Entrada Principal Oncológico 4c al Este, 4c al sur, Lomas de San Judas, Managua</t>
  </si>
  <si>
    <t>Distribuidora Internacional Medwell Nicaragua, S.A</t>
  </si>
  <si>
    <t xml:space="preserve">    112</t>
  </si>
  <si>
    <t>km 44,5 Carretera Vieja a León, Empalme El Transito, 5 km Sur.</t>
  </si>
  <si>
    <t>Distribuidora de Carbón El Milagrito</t>
  </si>
  <si>
    <t xml:space="preserve">    111</t>
  </si>
  <si>
    <t>Semáforos del seminario 1C al Norte, 1C Oeste. Casa esquinera – Managua, Nicaragua.</t>
  </si>
  <si>
    <t>Diseño y Supervisión, Control de Calidad, S.A (DYSCONCSA)</t>
  </si>
  <si>
    <t xml:space="preserve">    110</t>
  </si>
  <si>
    <t>Estación Uno plaza el sol 1 cuadra al sur y 1 1/2 media cuadra abajo</t>
  </si>
  <si>
    <t>Dimex Nicaragua S.A.</t>
  </si>
  <si>
    <t xml:space="preserve">    109</t>
  </si>
  <si>
    <t>Carretera Sur, km 7, 800 m al este</t>
  </si>
  <si>
    <t>Dicegsa</t>
  </si>
  <si>
    <t xml:space="preserve">    108</t>
  </si>
  <si>
    <t>Delicarnes, S.A</t>
  </si>
  <si>
    <t xml:space="preserve">    107</t>
  </si>
  <si>
    <t>Camino de oriente, edificio U frente al gimnasio Try Fitness</t>
  </si>
  <si>
    <t>DHL Global Forwarding Nicaragua S.A.</t>
  </si>
  <si>
    <t xml:space="preserve">    106</t>
  </si>
  <si>
    <t>Carretera Norte, km 12,5 Módulo 2. Zona Franca Las Mercedes</t>
  </si>
  <si>
    <t>Dasoltex S.A.</t>
  </si>
  <si>
    <t xml:space="preserve">    105</t>
  </si>
  <si>
    <t>km 243 Mulukukú, de la gasolinera puma 200 metros al norte</t>
  </si>
  <si>
    <t>Cruz Reyes y Cia Ltda.</t>
  </si>
  <si>
    <t xml:space="preserve">    104</t>
  </si>
  <si>
    <t>Km 252 carretera Managua a San miguelito, Rio San Juan</t>
  </si>
  <si>
    <t>Cruz y Medal</t>
  </si>
  <si>
    <t xml:space="preserve">    103</t>
  </si>
  <si>
    <t xml:space="preserve">km 62,5 Carretera a Montelimar         </t>
  </si>
  <si>
    <t xml:space="preserve">Corporación Montelimar S.A. </t>
  </si>
  <si>
    <t xml:space="preserve">    102</t>
  </si>
  <si>
    <t>km 132 Carretera a Corinto, De La Rotonda 300 m Sur, Frente a Aceitera El Real S.A</t>
  </si>
  <si>
    <t>Corporación Agroindustrial del Pacifico S.A</t>
  </si>
  <si>
    <t xml:space="preserve">    101</t>
  </si>
  <si>
    <t>Hospital España 5 km al Oeste</t>
  </si>
  <si>
    <t>COQUIMBA S.A.</t>
  </si>
  <si>
    <t xml:space="preserve">    100</t>
  </si>
  <si>
    <t>km 212.5 carretera hacia el Ayote. Santo Domingo, Chontales</t>
  </si>
  <si>
    <t>Cooserva R.L</t>
  </si>
  <si>
    <t xml:space="preserve">    99</t>
  </si>
  <si>
    <t>Nueva Guinea</t>
  </si>
  <si>
    <t>Coopreleche El Triunfo</t>
  </si>
  <si>
    <t xml:space="preserve">    98</t>
  </si>
  <si>
    <t>Carretera Panamericana Sur, Rivas, Nicaragua</t>
  </si>
  <si>
    <t>Cooperativa de Producción Industrial Nicarao, R.L.</t>
  </si>
  <si>
    <t xml:space="preserve">    97</t>
  </si>
  <si>
    <t>Km 185.5 Carretera Managua- El Rama</t>
  </si>
  <si>
    <t>Cooperativa Agropecuaria de Servicios Santo Tomás R.L</t>
  </si>
  <si>
    <t xml:space="preserve">    96</t>
  </si>
  <si>
    <t>kilometro 115 carretera a sebaco matagalpa.</t>
  </si>
  <si>
    <t>Cooperativa Integral de Productores Agroecológicos R.L.</t>
  </si>
  <si>
    <t xml:space="preserve">    95</t>
  </si>
  <si>
    <t>Km 184,5 Carretera Managua-San Pedro De Lovago</t>
  </si>
  <si>
    <t>Cooperativa Chontalac</t>
  </si>
  <si>
    <t xml:space="preserve">    94</t>
  </si>
  <si>
    <t>Km 108,5 carretera Managua - Matagalpa</t>
  </si>
  <si>
    <t>Coopagro R.L.</t>
  </si>
  <si>
    <t xml:space="preserve">    93</t>
  </si>
  <si>
    <t>km 82,5 Carretera León - Managua</t>
  </si>
  <si>
    <t>Consultoría y Construcción S.A.</t>
  </si>
  <si>
    <t xml:space="preserve">    92</t>
  </si>
  <si>
    <t>Rotonda Ticuantepe 8.5 km al Noreste, carretera hacia Veracruz</t>
  </si>
  <si>
    <t>Constructora MECO, S.A</t>
  </si>
  <si>
    <t xml:space="preserve">    91</t>
  </si>
  <si>
    <t>Chinandega</t>
  </si>
  <si>
    <t>Consorcio Europeo Hospital de Chinandega</t>
  </si>
  <si>
    <t xml:space="preserve">    90</t>
  </si>
  <si>
    <t>km 12 Carretera a Masaya</t>
  </si>
  <si>
    <t>Concretera Total S.A.</t>
  </si>
  <si>
    <t xml:space="preserve">    89</t>
  </si>
  <si>
    <t>Zona Franca Industrial las Mercedes, Módulo 16.</t>
  </si>
  <si>
    <t>Command Medical</t>
  </si>
  <si>
    <t xml:space="preserve">    88</t>
  </si>
  <si>
    <t>Complejo Agroindustrial</t>
  </si>
  <si>
    <t xml:space="preserve">    87</t>
  </si>
  <si>
    <t>km 119 Carretera a Chinandega, Gasolinera UNO</t>
  </si>
  <si>
    <t xml:space="preserve">Compañía Licorera de Nicaragua S.A.    </t>
  </si>
  <si>
    <t xml:space="preserve">    86</t>
  </si>
  <si>
    <t xml:space="preserve">km 6,5 Carretera Norte, Cruz Lorena 800 m norte </t>
  </si>
  <si>
    <t xml:space="preserve">Compañía Cervecera de Nicaragua S.A. </t>
  </si>
  <si>
    <t xml:space="preserve">    85</t>
  </si>
  <si>
    <t>Ingenio CASUR, km. 103 carretera Panamericana, Potosi (Rivas).</t>
  </si>
  <si>
    <t>Compañia Azucarera del Sur, S.A. (CASUR)</t>
  </si>
  <si>
    <t xml:space="preserve">    84</t>
  </si>
  <si>
    <t>km 139 carretera a Corinto</t>
  </si>
  <si>
    <t>Comercializadora de Maní S.A. (COMASA)</t>
  </si>
  <si>
    <t xml:space="preserve">    83</t>
  </si>
  <si>
    <t>De La Iglesia Las Palmas 30 m abajo, Managua</t>
  </si>
  <si>
    <t>Comercial MW S.A</t>
  </si>
  <si>
    <t xml:space="preserve">    82</t>
  </si>
  <si>
    <t>Beneficio Las Trincheras, puesto Norte, Jinotega</t>
  </si>
  <si>
    <t>Cojicafe-Beneficio Las Trincheras</t>
  </si>
  <si>
    <t xml:space="preserve">    81</t>
  </si>
  <si>
    <t>km 10,5 Carretera Norte, Frente a La Aduana Aérea, Managua</t>
  </si>
  <si>
    <t>Cocesna</t>
  </si>
  <si>
    <t xml:space="preserve">    80</t>
  </si>
  <si>
    <t>Hospital Monte España 300 m Norte</t>
  </si>
  <si>
    <t>CIRA/UNAN-Managua</t>
  </si>
  <si>
    <t xml:space="preserve">    79</t>
  </si>
  <si>
    <t>Universidad Centroamericana (UCA), Managua</t>
  </si>
  <si>
    <t>CIDEA UCA</t>
  </si>
  <si>
    <t xml:space="preserve">    78</t>
  </si>
  <si>
    <t>Planta Aguadora 200 m norte</t>
  </si>
  <si>
    <t xml:space="preserve">CIA. Centroamericana de Productos Lacteos S.A.   </t>
  </si>
  <si>
    <t xml:space="preserve">    77</t>
  </si>
  <si>
    <t>Cheolmin Park</t>
  </si>
  <si>
    <t xml:space="preserve">    76</t>
  </si>
  <si>
    <t>Puerto Sandino, el Empalme</t>
  </si>
  <si>
    <t>César Machado</t>
  </si>
  <si>
    <t xml:space="preserve">    75</t>
  </si>
  <si>
    <t>Parque Industrial San Cristobal, Calle Santa Rosa, Bethania, Ciudad de Panamá</t>
  </si>
  <si>
    <t>Cervecería Panamá Barú S.A</t>
  </si>
  <si>
    <t xml:space="preserve">    74</t>
  </si>
  <si>
    <t>Paso a desnivel Portezuelo, 150 m norte</t>
  </si>
  <si>
    <t>Cereales de Centroamérica S.A.</t>
  </si>
  <si>
    <t xml:space="preserve">    73</t>
  </si>
  <si>
    <t xml:space="preserve">km 46,5 Carretera Masaya-Tipitapa </t>
  </si>
  <si>
    <t>Centrolac, S.A</t>
  </si>
  <si>
    <t xml:space="preserve">    72</t>
  </si>
  <si>
    <t>Costado Oeste Colonia Primero de Mayo, Complejo Nacional de Salud Dra. Concepción Palacios.</t>
  </si>
  <si>
    <t>Centro Nacional de Diagnostico Y Referencia</t>
  </si>
  <si>
    <t xml:space="preserve">    71</t>
  </si>
  <si>
    <t>Central American Fisheries S.A.</t>
  </si>
  <si>
    <t xml:space="preserve">    70</t>
  </si>
  <si>
    <t>km 3,5 Carretera Sur, desvío a batahola</t>
  </si>
  <si>
    <t>Cemex Nicaragua S.A.</t>
  </si>
  <si>
    <t xml:space="preserve">    69</t>
  </si>
  <si>
    <t>km 95, Laboratorios Divina, 800 m oeste. León</t>
  </si>
  <si>
    <t>CEGA Nicaragua S.A.</t>
  </si>
  <si>
    <t xml:space="preserve">    68</t>
  </si>
  <si>
    <t>Tiscapa. Barrio Largaespada. Busto José Martí 3 C al Este y 1 C al Norte.</t>
  </si>
  <si>
    <t>CEFSA</t>
  </si>
  <si>
    <t xml:space="preserve">    67</t>
  </si>
  <si>
    <t>Planteles Claro, 25 m oeste No. 206</t>
  </si>
  <si>
    <t xml:space="preserve">Casa del Café S.A. </t>
  </si>
  <si>
    <t xml:space="preserve">    66</t>
  </si>
  <si>
    <t>Km 17 Carretera a Masaya</t>
  </si>
  <si>
    <t>Cargill de Nicaragua S.A.</t>
  </si>
  <si>
    <t xml:space="preserve">    65</t>
  </si>
  <si>
    <t>Km 7 1/2 Carretera Norte Edificio Fabrigas Copa Managua, Nicaragua</t>
  </si>
  <si>
    <t>Carbox de Nicaragua, S.A</t>
  </si>
  <si>
    <t xml:space="preserve">    64</t>
  </si>
  <si>
    <t>km 106 1/2 Carretera panaméricana- Rivas</t>
  </si>
  <si>
    <t>Campresa Mariscos Procesadores S.A.</t>
  </si>
  <si>
    <t xml:space="preserve">    63</t>
  </si>
  <si>
    <t>km 3,5 Carretera Norte. El Nuevo Diario 150 m oeste</t>
  </si>
  <si>
    <t>Cambridge Internacional,S.A.</t>
  </si>
  <si>
    <t xml:space="preserve">    62</t>
  </si>
  <si>
    <t xml:space="preserve">km 130 Carretera a Chinandega     </t>
  </si>
  <si>
    <t xml:space="preserve">Camanica Zona Franca, S.A.     </t>
  </si>
  <si>
    <t xml:space="preserve">    61</t>
  </si>
  <si>
    <t>Jinotega, Banpro 100 m Este</t>
  </si>
  <si>
    <t>Cafetalera La Bastilla S.A.</t>
  </si>
  <si>
    <t xml:space="preserve">    60</t>
  </si>
  <si>
    <t>Km 107 carretera a Matagalpa. Entrada a Chagüitillo 1,5 Km al norte. Matagalpa, Nicaragua.</t>
  </si>
  <si>
    <t>Cafetalera Castellon S.A.</t>
  </si>
  <si>
    <t xml:space="preserve">    59</t>
  </si>
  <si>
    <t>km 8,5 carretera norte, 800 m al norte</t>
  </si>
  <si>
    <t>Café Soluble S.A. (Planta)</t>
  </si>
  <si>
    <t xml:space="preserve">    58</t>
  </si>
  <si>
    <t>Café Soluble S.A. (Laboratorio Soluble)</t>
  </si>
  <si>
    <t xml:space="preserve">    57</t>
  </si>
  <si>
    <t>Café Soluble S.A. (Laboratorio Cereales)</t>
  </si>
  <si>
    <t xml:space="preserve">    56</t>
  </si>
  <si>
    <t>Burke Agro de Nicaragua S.A.</t>
  </si>
  <si>
    <t xml:space="preserve">    55</t>
  </si>
  <si>
    <t>km 10 Carretera Tola-Las Salinas, Rivas</t>
  </si>
  <si>
    <t>Brito Real Estate S.A.</t>
  </si>
  <si>
    <t xml:space="preserve">    54</t>
  </si>
  <si>
    <t>Km 45 carretera al Pacifico La Boquita, Diriamba, Carazo</t>
  </si>
  <si>
    <t>Brands of The World in America S.A.</t>
  </si>
  <si>
    <t xml:space="preserve">    53</t>
  </si>
  <si>
    <t>Km 179, carretera a Muy Muy, El Plomo, San Ramón, Matagalpa</t>
  </si>
  <si>
    <t>Borinquen, S.A</t>
  </si>
  <si>
    <t xml:space="preserve">    52</t>
  </si>
  <si>
    <t>Bolsa de comercio S.A</t>
  </si>
  <si>
    <t xml:space="preserve">    51</t>
  </si>
  <si>
    <t>km 8,5 Carretera Masaya, 100 m Oeste, Managua</t>
  </si>
  <si>
    <t>Bolsa Agropecuaria de Nicaragua S.A.</t>
  </si>
  <si>
    <t xml:space="preserve">    50</t>
  </si>
  <si>
    <t>Portón principal Claro Villa Fontana 1 1/2 C al norte, Casa #259</t>
  </si>
  <si>
    <t>Bluefields Technologies, S.A</t>
  </si>
  <si>
    <t xml:space="preserve">    49</t>
  </si>
  <si>
    <t xml:space="preserve">Subasta, 1 200 m noroeste         </t>
  </si>
  <si>
    <t>Biwater International, LTD.</t>
  </si>
  <si>
    <t xml:space="preserve">    48</t>
  </si>
  <si>
    <t>km 11.4 carretera Masaya, entrada de Esquipulas 150 m al este.</t>
  </si>
  <si>
    <t>Farmacos Bioequivalentes, S.A</t>
  </si>
  <si>
    <t xml:space="preserve">    47</t>
  </si>
  <si>
    <t>km 122,5 Carretera Matagalpa-Managua, del puente Waswali 100 m Norte, 200 m Oeste</t>
  </si>
  <si>
    <t>Beneficio Las Nubes Inrocasa</t>
  </si>
  <si>
    <t xml:space="preserve">    46</t>
  </si>
  <si>
    <t>km 114,5 Carretera Sébaco - Matagalpa</t>
  </si>
  <si>
    <t>Beneficio Don Will S.A.</t>
  </si>
  <si>
    <t xml:space="preserve">    45</t>
  </si>
  <si>
    <t>km 122,5 Carretera Managua, Matagalpa Entrada a Tejerina 500 m al norte</t>
  </si>
  <si>
    <t>Beneficiadora OLAM</t>
  </si>
  <si>
    <t xml:space="preserve">    44</t>
  </si>
  <si>
    <t>km 120 Carretera Sebaco-Matagalpa</t>
  </si>
  <si>
    <t>Benediciadora de café La Providencia S.A.</t>
  </si>
  <si>
    <t xml:space="preserve">    43</t>
  </si>
  <si>
    <t xml:space="preserve">km 107 Carretera a Matagalpa-Sebaco, Frente al Campo de Baseball–Villa Chaguitillo                                                                                         </t>
  </si>
  <si>
    <t xml:space="preserve">BENCAFE </t>
  </si>
  <si>
    <t xml:space="preserve">    42</t>
  </si>
  <si>
    <t>km 11,5 Carretera a Masaya</t>
  </si>
  <si>
    <t xml:space="preserve">Bayer S.A.     </t>
  </si>
  <si>
    <t xml:space="preserve">    41</t>
  </si>
  <si>
    <t>Km 130 Chinandega</t>
  </si>
  <si>
    <t>Básculas Rodriguez</t>
  </si>
  <si>
    <t xml:space="preserve">    40</t>
  </si>
  <si>
    <t>Km 18 carretera nueva a León. Ciudad El Doral casa D-55</t>
  </si>
  <si>
    <t>Básculas Ramón Nicoya</t>
  </si>
  <si>
    <t xml:space="preserve">    39</t>
  </si>
  <si>
    <t>Reparto Belmonte 7 Sur, Contiguo a La Cruz Roja</t>
  </si>
  <si>
    <t>Banco de Sangre</t>
  </si>
  <si>
    <t xml:space="preserve">    38</t>
  </si>
  <si>
    <t>BAIT &amp; SEAFOOD</t>
  </si>
  <si>
    <t xml:space="preserve">    37</t>
  </si>
  <si>
    <t>Mina La Libertad Chontales</t>
  </si>
  <si>
    <t>B2GOLD CORP, Desarrollo Minero de Nicaragua S.A.</t>
  </si>
  <si>
    <t xml:space="preserve">    36</t>
  </si>
  <si>
    <t>Kilómetro 27.5 carretera vieja Tipitapa-San Benito</t>
  </si>
  <si>
    <t>Avicasa</t>
  </si>
  <si>
    <t xml:space="preserve">    35</t>
  </si>
  <si>
    <t>km 11,5 Carretera Masaya, contiguo Bayer</t>
  </si>
  <si>
    <t xml:space="preserve">ATB TRADING </t>
  </si>
  <si>
    <t xml:space="preserve">    34</t>
  </si>
  <si>
    <t xml:space="preserve">km 265 Pantasma Wiwili </t>
  </si>
  <si>
    <t>ASTALDI SPA - PROYECTO Pantasma Wiwili TI</t>
  </si>
  <si>
    <t xml:space="preserve">    33</t>
  </si>
  <si>
    <t>Semáforos Club Terraza 150 m oeste, casa #38</t>
  </si>
  <si>
    <t xml:space="preserve">Astaldi S.P.A. </t>
  </si>
  <si>
    <t xml:space="preserve">    32</t>
  </si>
  <si>
    <t>Sabana Grande, del puente Villa Sol 500 m al Sur-Oeste</t>
  </si>
  <si>
    <t>Asfaltos Industriales S.A.</t>
  </si>
  <si>
    <t xml:space="preserve">    31</t>
  </si>
  <si>
    <t>Instalaciones del Aereopuerto Internacional Augusto C. Sandino. / km 10,5 Carretera Norte, portón 5 de aduana aérea.</t>
  </si>
  <si>
    <t>Apen</t>
  </si>
  <si>
    <t xml:space="preserve">    30</t>
  </si>
  <si>
    <t>Km 9.5 Carretera Nueva a León, frente a Camas Karen</t>
  </si>
  <si>
    <t>Altamar Seafood, S.A</t>
  </si>
  <si>
    <t xml:space="preserve">    29</t>
  </si>
  <si>
    <t>Edificio Discover II, 2do piso, Módulo 2D, Villa Fontana, Managua Nicaragua.</t>
  </si>
  <si>
    <t>Anatomic Solutions</t>
  </si>
  <si>
    <t xml:space="preserve">    28</t>
  </si>
  <si>
    <t>km 45,5 Carretera San Marcos-Masatepe, Parque Industrial Las Palmeras</t>
  </si>
  <si>
    <t xml:space="preserve">Annic II, S.A. </t>
  </si>
  <si>
    <t xml:space="preserve">    27</t>
  </si>
  <si>
    <t>Alternative Manufacturing S.A.</t>
  </si>
  <si>
    <t xml:space="preserve">    26</t>
  </si>
  <si>
    <t>Sinsa Altamira, 100 m al sur, 100 m este</t>
  </si>
  <si>
    <t xml:space="preserve">Alta Research        </t>
  </si>
  <si>
    <t xml:space="preserve">    25</t>
  </si>
  <si>
    <t>Carretera 4,5 Carretera Norte</t>
  </si>
  <si>
    <t xml:space="preserve">Alpla  Nicaragua S.A.  </t>
  </si>
  <si>
    <t xml:space="preserve">    24</t>
  </si>
  <si>
    <t>km 78,6 Carretera Managua-León</t>
  </si>
  <si>
    <t>Almidones de Centroamerica, S.A</t>
  </si>
  <si>
    <t xml:space="preserve">    23</t>
  </si>
  <si>
    <t>Km 24.5 Carretera a Tipitapa-Masaya. Nave 24C</t>
  </si>
  <si>
    <t>Alinsa</t>
  </si>
  <si>
    <t xml:space="preserve">    22</t>
  </si>
  <si>
    <t>De los semáforos de los rieles de Sabana Grande 2.1 km al sur 600 metros. Managua, Nicaragua</t>
  </si>
  <si>
    <t>Alfa Industrial, S.A</t>
  </si>
  <si>
    <t xml:space="preserve">    21</t>
  </si>
  <si>
    <t>Alejandro Alonso</t>
  </si>
  <si>
    <t xml:space="preserve">    20</t>
  </si>
  <si>
    <t>Terminal Benjamín Zeledon Corinto.</t>
  </si>
  <si>
    <t>Albanisa</t>
  </si>
  <si>
    <t xml:space="preserve">    19</t>
  </si>
  <si>
    <t>km 3,5 Carretera Norte</t>
  </si>
  <si>
    <t>Aje Nicaragua S.A.</t>
  </si>
  <si>
    <t xml:space="preserve">    18</t>
  </si>
  <si>
    <t>Reparto Las Palmas, del Banpro 2 cuadras al Norte, 1 Cuadra al Oeste y 0.5 cuadras al Sur, Casa #123, Managua, Nicaragua.</t>
  </si>
  <si>
    <t>AIVEPET Inspecciones Nicaragua, S.A</t>
  </si>
  <si>
    <t xml:space="preserve">    17</t>
  </si>
  <si>
    <t>Plaza España, Edificio Malaga Módulo E8</t>
  </si>
  <si>
    <t>Agropecuaria Raminsa S.A.</t>
  </si>
  <si>
    <t xml:space="preserve">    16</t>
  </si>
  <si>
    <t>Condega - Estelí</t>
  </si>
  <si>
    <t>Agroindustrial Nicaraguense de Tabacos S.A.</t>
  </si>
  <si>
    <t xml:space="preserve">    15</t>
  </si>
  <si>
    <t>km 121 Carretera Sebaco-Matagalpa, frente a portones de SOLCAFE</t>
  </si>
  <si>
    <t>Beneficio de Café Talia</t>
  </si>
  <si>
    <t xml:space="preserve">    14</t>
  </si>
  <si>
    <t>Gasolinera Puma Las Marias 700 m Carretera al Tuma.</t>
  </si>
  <si>
    <t>Agroexport S,A.</t>
  </si>
  <si>
    <t xml:space="preserve">    13</t>
  </si>
  <si>
    <t>Reparto El Carmen, Hyundai Montoya 200 m Este, Managua</t>
  </si>
  <si>
    <t>AgroBioTek Nicaragua S.A</t>
  </si>
  <si>
    <t xml:space="preserve">    12</t>
  </si>
  <si>
    <t>El Realejo, km. 145 carretera Chinandega - Corinto, luego 10 km. hacia adentro, hasta llegar a la finca.</t>
  </si>
  <si>
    <t>Agricola El Rosario, S.A.</t>
  </si>
  <si>
    <t xml:space="preserve">    11</t>
  </si>
  <si>
    <t>Ciudad Rama, Atlántico Sur, Nicaragua</t>
  </si>
  <si>
    <t xml:space="preserve">    10</t>
  </si>
  <si>
    <t>Chinandega el Realejo - Carrtera a Corinto, trocha cañera el Ensayo 5 km</t>
  </si>
  <si>
    <t>Agricola el Cardon S.A.</t>
  </si>
  <si>
    <t xml:space="preserve">    9</t>
  </si>
  <si>
    <t>De Los Semáforos de Sabana Grande 1 500 m Este.</t>
  </si>
  <si>
    <t>Agencia Aduanera GRH S,A.</t>
  </si>
  <si>
    <t xml:space="preserve">    8</t>
  </si>
  <si>
    <t>ACQUASU S.A. de CV</t>
  </si>
  <si>
    <t xml:space="preserve">    7</t>
  </si>
  <si>
    <t>Carretera a Siuna KM 265 a 200 varas del puente del río wapi Mulukukú RACCN</t>
  </si>
  <si>
    <t>Acopio y Procesadora de Leche San Antonio/Sarawas </t>
  </si>
  <si>
    <t xml:space="preserve">    6</t>
  </si>
  <si>
    <t>Lotería Nacional, 300 m oeste. Entrada a Edificio Agricorp</t>
  </si>
  <si>
    <t>ACI-ACN</t>
  </si>
  <si>
    <t xml:space="preserve">    5</t>
  </si>
  <si>
    <t xml:space="preserve">Rotonda Los Encuentros, 300 m sur    </t>
  </si>
  <si>
    <t xml:space="preserve">Aceitera EL Real S.A.   </t>
  </si>
  <si>
    <t xml:space="preserve">    4</t>
  </si>
  <si>
    <t>km 126,5 ruta al Atlántico, Rio Hondo, Zacapa - Guatemala</t>
  </si>
  <si>
    <t xml:space="preserve">ABASA Coca-Cola </t>
  </si>
  <si>
    <t xml:space="preserve">    3</t>
  </si>
  <si>
    <t>km 105 Carretera Panamericana Sebaco, Matagalpa, Nicaragua</t>
  </si>
  <si>
    <t>Aalfs Uno S.A.</t>
  </si>
  <si>
    <t xml:space="preserve">    2</t>
  </si>
  <si>
    <t xml:space="preserve">Coyotepe, 800 m norte               </t>
  </si>
  <si>
    <t xml:space="preserve">A&amp;T Nicaragua S.A. </t>
  </si>
  <si>
    <t xml:space="preserve">    1</t>
  </si>
  <si>
    <t>Direccion</t>
  </si>
  <si>
    <t>Clave</t>
  </si>
  <si>
    <t>Base de datos de clientes</t>
  </si>
  <si>
    <t>METROLOGÍA CONSULTORES DE NICARAGUA, S.A.</t>
  </si>
  <si>
    <t>T(ºC) = t(ºF)/1,8</t>
  </si>
  <si>
    <t xml:space="preserve">El factor de conversión utilizado corresponde a T(ºC) = (t(ºF)-32)/1,8; para el caso de la incertidumbre solamente es </t>
  </si>
  <si>
    <t xml:space="preserve">ºC </t>
  </si>
  <si>
    <t>Resultados en Unidad del Alcance de Acreditación</t>
  </si>
  <si>
    <t>T(ºF) = t(ºC)*1,8</t>
  </si>
  <si>
    <t>ºF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</si>
</sst>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;@"/>
    <numFmt numFmtId="165" formatCode="0.0"/>
    <numFmt numFmtId="166" formatCode="0.0000"/>
    <numFmt numFmtId="167" formatCode="0.0%"/>
    <numFmt numFmtId="168" formatCode="0.000"/>
    <numFmt numFmtId="169" formatCode="0.00000"/>
    <numFmt numFmtId="170" formatCode="0.0000000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Times New Roman"/>
      <family val="1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Times New Roman"/>
      <family val="1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b/>
      <sz val="11"/>
      <color rgb="FFC00000"/>
      <name val="Symbol"/>
      <family val="1"/>
      <charset val="2"/>
    </font>
    <font>
      <i/>
      <sz val="11"/>
      <color theme="1"/>
      <name val="Symbol"/>
      <family val="1"/>
      <charset val="2"/>
    </font>
    <font>
      <i/>
      <sz val="9"/>
      <color theme="1"/>
      <name val="Calibri"/>
      <family val="2"/>
    </font>
    <font>
      <sz val="10"/>
      <name val="Aptos Narrow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b/>
      <sz val="10"/>
      <name val="Aptos Narrow"/>
      <family val="2"/>
      <scheme val="minor"/>
    </font>
    <font>
      <sz val="10"/>
      <name val="Symbol"/>
      <family val="1"/>
      <charset val="2"/>
    </font>
    <font>
      <i/>
      <sz val="8.8000000000000007"/>
      <name val="Calibri"/>
      <family val="2"/>
    </font>
    <font>
      <i/>
      <vertAlign val="subscript"/>
      <sz val="8.8000000000000007"/>
      <name val="Calibri"/>
      <family val="2"/>
    </font>
    <font>
      <i/>
      <vertAlign val="subscript"/>
      <sz val="10"/>
      <name val="Calibri"/>
      <family val="2"/>
    </font>
    <font>
      <b/>
      <vertAlign val="subscript"/>
      <sz val="10"/>
      <name val="Aptos Narrow"/>
      <family val="2"/>
      <scheme val="minor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10"/>
      <color theme="1"/>
      <name val="Symbol"/>
      <family val="1"/>
      <charset val="2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333333"/>
      <name val="Verdana"/>
      <family val="2"/>
    </font>
    <font>
      <vertAlign val="sub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color rgb="FF222222"/>
      <name val="Arial"/>
      <family val="2"/>
    </font>
    <font>
      <sz val="8"/>
      <color rgb="FF000000"/>
      <name val="Arial"/>
      <family val="2"/>
    </font>
    <font>
      <b/>
      <sz val="8"/>
      <color rgb="FFFFFF00"/>
      <name val="Arial"/>
      <family val="2"/>
    </font>
    <font>
      <b/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22222"/>
      <name val="Arial"/>
      <family val="2"/>
    </font>
    <font>
      <b/>
      <sz val="10"/>
      <color rgb="FFFFFF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slantDashDot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rgb="FFC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410">
    <xf numFmtId="0" fontId="0" fillId="0" borderId="0" xfId="0"/>
    <xf numFmtId="0" fontId="5" fillId="0" borderId="0" xfId="0" applyFont="1" applyAlignment="1">
      <alignment horizontal="justify"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/>
    <xf numFmtId="2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4" fillId="3" borderId="0" xfId="0" applyFont="1" applyFill="1"/>
    <xf numFmtId="165" fontId="0" fillId="4" borderId="0" xfId="0" applyNumberFormat="1" applyFill="1" applyAlignment="1">
      <alignment horizontal="left" vertical="center"/>
    </xf>
    <xf numFmtId="0" fontId="0" fillId="0" borderId="0" xfId="0" applyAlignment="1">
      <alignment vertical="center"/>
    </xf>
    <xf numFmtId="0" fontId="0" fillId="5" borderId="0" xfId="0" applyFill="1"/>
    <xf numFmtId="0" fontId="0" fillId="4" borderId="0" xfId="0" applyFill="1" applyAlignment="1">
      <alignment horizontal="left" vertical="center"/>
    </xf>
    <xf numFmtId="165" fontId="13" fillId="0" borderId="0" xfId="0" applyNumberFormat="1" applyFont="1" applyAlignment="1" applyProtection="1">
      <alignment horizontal="left" vertical="center"/>
      <protection locked="0"/>
    </xf>
    <xf numFmtId="0" fontId="0" fillId="6" borderId="0" xfId="0" applyFill="1"/>
    <xf numFmtId="0" fontId="0" fillId="0" borderId="0" xfId="0" applyAlignment="1">
      <alignment horizontal="left" vertical="top"/>
    </xf>
    <xf numFmtId="0" fontId="0" fillId="7" borderId="0" xfId="0" applyFill="1" applyAlignment="1">
      <alignment horizontal="left" vertical="center"/>
    </xf>
    <xf numFmtId="49" fontId="0" fillId="0" borderId="0" xfId="0" applyNumberFormat="1" applyAlignment="1" applyProtection="1">
      <alignment horizontal="left" vertical="top"/>
      <protection locked="0"/>
    </xf>
    <xf numFmtId="0" fontId="0" fillId="7" borderId="0" xfId="0" applyFill="1"/>
    <xf numFmtId="2" fontId="13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/>
      <protection locked="0"/>
    </xf>
    <xf numFmtId="0" fontId="0" fillId="7" borderId="0" xfId="0" applyFill="1" applyAlignment="1">
      <alignment horizontal="left" vertical="top"/>
    </xf>
    <xf numFmtId="0" fontId="13" fillId="4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66" fontId="0" fillId="7" borderId="1" xfId="0" applyNumberFormat="1" applyFill="1" applyBorder="1" applyAlignment="1">
      <alignment horizontal="center" vertical="center"/>
    </xf>
    <xf numFmtId="48" fontId="0" fillId="4" borderId="10" xfId="0" applyNumberFormat="1" applyFill="1" applyBorder="1"/>
    <xf numFmtId="0" fontId="18" fillId="0" borderId="10" xfId="0" applyFont="1" applyBorder="1"/>
    <xf numFmtId="0" fontId="18" fillId="0" borderId="11" xfId="0" applyFont="1" applyBorder="1"/>
    <xf numFmtId="0" fontId="18" fillId="0" borderId="4" xfId="0" applyFont="1" applyBorder="1"/>
    <xf numFmtId="0" fontId="0" fillId="0" borderId="7" xfId="0" applyBorder="1"/>
    <xf numFmtId="0" fontId="0" fillId="8" borderId="1" xfId="0" applyFill="1" applyBorder="1" applyAlignment="1">
      <alignment horizontal="center" vertical="center"/>
    </xf>
    <xf numFmtId="11" fontId="0" fillId="7" borderId="1" xfId="0" applyNumberFormat="1" applyFill="1" applyBorder="1"/>
    <xf numFmtId="0" fontId="18" fillId="0" borderId="1" xfId="0" applyFont="1" applyBorder="1"/>
    <xf numFmtId="0" fontId="18" fillId="0" borderId="3" xfId="0" applyFont="1" applyBorder="1"/>
    <xf numFmtId="0" fontId="0" fillId="0" borderId="4" xfId="0" applyBorder="1"/>
    <xf numFmtId="0" fontId="18" fillId="8" borderId="1" xfId="0" applyFont="1" applyFill="1" applyBorder="1" applyAlignment="1">
      <alignment horizontal="center" vertical="center"/>
    </xf>
    <xf numFmtId="166" fontId="0" fillId="7" borderId="1" xfId="0" applyNumberFormat="1" applyFill="1" applyBorder="1"/>
    <xf numFmtId="166" fontId="21" fillId="9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2" fillId="8" borderId="1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0" fillId="10" borderId="0" xfId="0" applyFill="1"/>
    <xf numFmtId="167" fontId="24" fillId="6" borderId="12" xfId="0" applyNumberFormat="1" applyFont="1" applyFill="1" applyBorder="1" applyAlignment="1">
      <alignment horizontal="right" vertical="center"/>
    </xf>
    <xf numFmtId="166" fontId="25" fillId="9" borderId="12" xfId="0" applyNumberFormat="1" applyFont="1" applyFill="1" applyBorder="1" applyAlignment="1">
      <alignment horizontal="right" vertical="center"/>
    </xf>
    <xf numFmtId="2" fontId="25" fillId="9" borderId="12" xfId="0" applyNumberFormat="1" applyFont="1" applyFill="1" applyBorder="1" applyAlignment="1">
      <alignment horizontal="right" vertical="center"/>
    </xf>
    <xf numFmtId="166" fontId="26" fillId="9" borderId="12" xfId="0" applyNumberFormat="1" applyFont="1" applyFill="1" applyBorder="1" applyAlignment="1">
      <alignment horizontal="right" vertical="center"/>
    </xf>
    <xf numFmtId="0" fontId="27" fillId="11" borderId="8" xfId="0" applyFont="1" applyFill="1" applyBorder="1" applyAlignment="1">
      <alignment horizontal="right" vertical="center" wrapText="1"/>
    </xf>
    <xf numFmtId="167" fontId="24" fillId="7" borderId="4" xfId="1" applyNumberFormat="1" applyFont="1" applyFill="1" applyBorder="1" applyAlignment="1" applyProtection="1">
      <alignment horizontal="right" vertical="center"/>
    </xf>
    <xf numFmtId="167" fontId="24" fillId="7" borderId="1" xfId="1" applyNumberFormat="1" applyFont="1" applyFill="1" applyBorder="1" applyAlignment="1" applyProtection="1">
      <alignment horizontal="right" vertical="center"/>
    </xf>
    <xf numFmtId="167" fontId="24" fillId="7" borderId="2" xfId="1" applyNumberFormat="1" applyFont="1" applyFill="1" applyBorder="1" applyAlignment="1" applyProtection="1">
      <alignment horizontal="right" vertical="center"/>
    </xf>
    <xf numFmtId="1" fontId="25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66" fontId="25" fillId="9" borderId="1" xfId="0" applyNumberFormat="1" applyFont="1" applyFill="1" applyBorder="1" applyAlignment="1">
      <alignment horizontal="center" vertical="center"/>
    </xf>
    <xf numFmtId="166" fontId="26" fillId="9" borderId="1" xfId="0" applyNumberFormat="1" applyFont="1" applyFill="1" applyBorder="1" applyAlignment="1">
      <alignment horizontal="center" vertical="center"/>
    </xf>
    <xf numFmtId="0" fontId="24" fillId="11" borderId="8" xfId="0" applyFont="1" applyFill="1" applyBorder="1" applyAlignment="1">
      <alignment vertical="center" wrapText="1"/>
    </xf>
    <xf numFmtId="0" fontId="24" fillId="11" borderId="1" xfId="0" applyFont="1" applyFill="1" applyBorder="1" applyAlignment="1">
      <alignment vertical="center" wrapText="1"/>
    </xf>
    <xf numFmtId="1" fontId="25" fillId="9" borderId="1" xfId="0" applyNumberFormat="1" applyFont="1" applyFill="1" applyBorder="1" applyAlignment="1">
      <alignment horizontal="center" vertical="center"/>
    </xf>
    <xf numFmtId="2" fontId="25" fillId="9" borderId="1" xfId="0" applyNumberFormat="1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166" fontId="0" fillId="6" borderId="1" xfId="0" applyNumberFormat="1" applyFill="1" applyBorder="1" applyAlignment="1">
      <alignment vertical="center"/>
    </xf>
    <xf numFmtId="166" fontId="24" fillId="7" borderId="1" xfId="1" applyNumberFormat="1" applyFont="1" applyFill="1" applyBorder="1" applyAlignment="1" applyProtection="1">
      <alignment horizontal="right" vertical="center"/>
    </xf>
    <xf numFmtId="0" fontId="0" fillId="13" borderId="0" xfId="0" applyFill="1" applyAlignment="1">
      <alignment horizontal="center" vertical="center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37" fillId="10" borderId="0" xfId="0" applyFont="1" applyFill="1"/>
    <xf numFmtId="0" fontId="0" fillId="0" borderId="13" xfId="0" applyBorder="1"/>
    <xf numFmtId="0" fontId="0" fillId="0" borderId="11" xfId="0" applyBorder="1"/>
    <xf numFmtId="0" fontId="0" fillId="13" borderId="0" xfId="0" applyFill="1" applyAlignment="1">
      <alignment horizontal="left" vertical="center"/>
    </xf>
    <xf numFmtId="168" fontId="0" fillId="4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4" borderId="1" xfId="0" applyFill="1" applyBorder="1"/>
    <xf numFmtId="2" fontId="0" fillId="4" borderId="1" xfId="0" applyNumberFormat="1" applyFill="1" applyBorder="1"/>
    <xf numFmtId="0" fontId="0" fillId="15" borderId="1" xfId="0" applyFill="1" applyBorder="1" applyAlignment="1">
      <alignment horizontal="center" vertical="center" wrapText="1"/>
    </xf>
    <xf numFmtId="0" fontId="4" fillId="0" borderId="0" xfId="0" applyFont="1"/>
    <xf numFmtId="0" fontId="40" fillId="0" borderId="0" xfId="0" applyFont="1"/>
    <xf numFmtId="2" fontId="0" fillId="4" borderId="0" xfId="0" applyNumberFormat="1" applyFill="1" applyAlignment="1">
      <alignment horizontal="center" vertical="center"/>
    </xf>
    <xf numFmtId="0" fontId="18" fillId="6" borderId="0" xfId="0" applyFont="1" applyFill="1" applyAlignment="1">
      <alignment horizontal="right"/>
    </xf>
    <xf numFmtId="2" fontId="0" fillId="7" borderId="1" xfId="0" applyNumberFormat="1" applyFill="1" applyBorder="1"/>
    <xf numFmtId="2" fontId="0" fillId="7" borderId="14" xfId="0" applyNumberFormat="1" applyFill="1" applyBorder="1"/>
    <xf numFmtId="168" fontId="0" fillId="7" borderId="15" xfId="0" applyNumberFormat="1" applyFill="1" applyBorder="1"/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68" fontId="0" fillId="7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168" fontId="0" fillId="4" borderId="1" xfId="0" applyNumberFormat="1" applyFill="1" applyBorder="1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42" fillId="15" borderId="1" xfId="0" applyFont="1" applyFill="1" applyBorder="1" applyAlignment="1">
      <alignment horizontal="center" vertical="center" wrapText="1"/>
    </xf>
    <xf numFmtId="0" fontId="42" fillId="15" borderId="14" xfId="0" applyFont="1" applyFill="1" applyBorder="1" applyAlignment="1">
      <alignment horizontal="center" vertical="center" wrapText="1"/>
    </xf>
    <xf numFmtId="0" fontId="42" fillId="15" borderId="15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11" fontId="0" fillId="7" borderId="12" xfId="0" applyNumberFormat="1" applyFill="1" applyBorder="1" applyAlignment="1">
      <alignment horizontal="center"/>
    </xf>
    <xf numFmtId="168" fontId="0" fillId="7" borderId="10" xfId="0" applyNumberFormat="1" applyFill="1" applyBorder="1" applyAlignment="1">
      <alignment horizontal="right" indent="2"/>
    </xf>
    <xf numFmtId="168" fontId="0" fillId="7" borderId="1" xfId="0" applyNumberFormat="1" applyFill="1" applyBorder="1" applyAlignment="1">
      <alignment horizontal="right" indent="2"/>
    </xf>
    <xf numFmtId="2" fontId="0" fillId="7" borderId="1" xfId="0" applyNumberFormat="1" applyFill="1" applyBorder="1" applyAlignment="1">
      <alignment horizontal="right" indent="2"/>
    </xf>
    <xf numFmtId="0" fontId="0" fillId="0" borderId="2" xfId="0" applyBorder="1" applyAlignment="1">
      <alignment vertical="center"/>
    </xf>
    <xf numFmtId="166" fontId="43" fillId="7" borderId="1" xfId="0" applyNumberFormat="1" applyFont="1" applyFill="1" applyBorder="1" applyAlignment="1">
      <alignment horizontal="center" vertical="center" wrapText="1"/>
    </xf>
    <xf numFmtId="2" fontId="43" fillId="7" borderId="1" xfId="0" applyNumberFormat="1" applyFont="1" applyFill="1" applyBorder="1" applyAlignment="1">
      <alignment horizontal="center" vertical="center" wrapText="1"/>
    </xf>
    <xf numFmtId="2" fontId="43" fillId="7" borderId="14" xfId="0" applyNumberFormat="1" applyFont="1" applyFill="1" applyBorder="1" applyAlignment="1">
      <alignment horizontal="center" vertical="center" wrapText="1"/>
    </xf>
    <xf numFmtId="2" fontId="13" fillId="9" borderId="1" xfId="0" applyNumberFormat="1" applyFont="1" applyFill="1" applyBorder="1" applyAlignment="1" applyProtection="1">
      <alignment horizontal="center" vertical="center" wrapText="1"/>
      <protection locked="0"/>
    </xf>
    <xf numFmtId="11" fontId="0" fillId="7" borderId="1" xfId="0" applyNumberFormat="1" applyFill="1" applyBorder="1" applyAlignment="1">
      <alignment horizontal="center"/>
    </xf>
    <xf numFmtId="11" fontId="0" fillId="7" borderId="10" xfId="0" applyNumberFormat="1" applyFill="1" applyBorder="1" applyAlignment="1">
      <alignment horizontal="center"/>
    </xf>
    <xf numFmtId="0" fontId="1" fillId="8" borderId="10" xfId="0" applyFont="1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43" fillId="8" borderId="10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3" borderId="0" xfId="0" applyFill="1"/>
    <xf numFmtId="0" fontId="0" fillId="6" borderId="3" xfId="0" applyFill="1" applyBorder="1"/>
    <xf numFmtId="0" fontId="0" fillId="6" borderId="4" xfId="0" applyFill="1" applyBorder="1"/>
    <xf numFmtId="2" fontId="13" fillId="4" borderId="1" xfId="0" applyNumberFormat="1" applyFont="1" applyFill="1" applyBorder="1"/>
    <xf numFmtId="2" fontId="2" fillId="8" borderId="2" xfId="0" applyNumberFormat="1" applyFont="1" applyFill="1" applyBorder="1"/>
    <xf numFmtId="0" fontId="0" fillId="8" borderId="3" xfId="0" applyFill="1" applyBorder="1"/>
    <xf numFmtId="0" fontId="0" fillId="8" borderId="4" xfId="0" applyFill="1" applyBorder="1"/>
    <xf numFmtId="0" fontId="2" fillId="8" borderId="2" xfId="0" applyFon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44" fillId="12" borderId="1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left" vertical="center"/>
    </xf>
    <xf numFmtId="0" fontId="13" fillId="6" borderId="1" xfId="0" applyFont="1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/>
    <xf numFmtId="0" fontId="13" fillId="0" borderId="4" xfId="0" applyFont="1" applyBorder="1" applyProtection="1">
      <protection locked="0"/>
    </xf>
    <xf numFmtId="0" fontId="0" fillId="10" borderId="0" xfId="0" applyFill="1" applyAlignment="1">
      <alignment vertical="top"/>
    </xf>
    <xf numFmtId="0" fontId="0" fillId="10" borderId="0" xfId="0" applyFill="1" applyAlignment="1">
      <alignment vertical="center"/>
    </xf>
    <xf numFmtId="0" fontId="2" fillId="12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0" borderId="0" xfId="0" applyFont="1"/>
    <xf numFmtId="49" fontId="2" fillId="0" borderId="0" xfId="0" applyNumberFormat="1" applyFont="1"/>
    <xf numFmtId="0" fontId="2" fillId="0" borderId="13" xfId="0" applyFont="1" applyBorder="1" applyAlignment="1">
      <alignment horizontal="center"/>
    </xf>
    <xf numFmtId="0" fontId="2" fillId="16" borderId="4" xfId="0" applyFont="1" applyFill="1" applyBorder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9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5"/>
    </xf>
    <xf numFmtId="0" fontId="4" fillId="0" borderId="0" xfId="0" applyFont="1" applyAlignment="1">
      <alignment horizontal="justify" vertical="top" wrapText="1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6" fillId="0" borderId="0" xfId="0" applyFont="1"/>
    <xf numFmtId="0" fontId="5" fillId="0" borderId="0" xfId="0" applyFont="1" applyAlignment="1">
      <alignment horizontal="left" vertical="center" indent="1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/>
    <xf numFmtId="2" fontId="0" fillId="7" borderId="1" xfId="0" applyNumberFormat="1" applyFill="1" applyBorder="1" applyAlignment="1">
      <alignment horizontal="right" vertical="center"/>
    </xf>
    <xf numFmtId="4" fontId="0" fillId="7" borderId="1" xfId="0" applyNumberFormat="1" applyFill="1" applyBorder="1" applyAlignment="1">
      <alignment horizontal="right" vertical="center"/>
    </xf>
    <xf numFmtId="0" fontId="47" fillId="0" borderId="0" xfId="0" applyFont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48" fillId="10" borderId="16" xfId="0" applyFont="1" applyFill="1" applyBorder="1" applyAlignment="1">
      <alignment horizontal="center" vertical="center"/>
    </xf>
    <xf numFmtId="0" fontId="48" fillId="10" borderId="21" xfId="0" applyFont="1" applyFill="1" applyBorder="1" applyAlignment="1">
      <alignment horizontal="center" vertical="center"/>
    </xf>
    <xf numFmtId="2" fontId="0" fillId="0" borderId="1" xfId="0" applyNumberFormat="1" applyBorder="1"/>
    <xf numFmtId="1" fontId="0" fillId="0" borderId="1" xfId="0" applyNumberFormat="1" applyBorder="1"/>
    <xf numFmtId="11" fontId="0" fillId="0" borderId="1" xfId="0" applyNumberFormat="1" applyBorder="1"/>
    <xf numFmtId="0" fontId="0" fillId="12" borderId="1" xfId="0" applyFill="1" applyBorder="1" applyAlignment="1">
      <alignment horizontal="center" vertical="center"/>
    </xf>
    <xf numFmtId="0" fontId="47" fillId="17" borderId="0" xfId="0" applyFont="1" applyFill="1"/>
    <xf numFmtId="0" fontId="48" fillId="0" borderId="0" xfId="0" applyFont="1"/>
    <xf numFmtId="0" fontId="0" fillId="17" borderId="0" xfId="0" applyFill="1"/>
    <xf numFmtId="166" fontId="1" fillId="7" borderId="1" xfId="0" applyNumberFormat="1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168" fontId="0" fillId="0" borderId="23" xfId="0" applyNumberFormat="1" applyBorder="1" applyAlignment="1">
      <alignment horizontal="right" vertical="center"/>
    </xf>
    <xf numFmtId="0" fontId="1" fillId="0" borderId="24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6" fontId="0" fillId="7" borderId="12" xfId="0" applyNumberFormat="1" applyFill="1" applyBorder="1" applyAlignment="1">
      <alignment vertical="center"/>
    </xf>
    <xf numFmtId="0" fontId="0" fillId="0" borderId="12" xfId="0" applyBorder="1" applyAlignment="1">
      <alignment vertical="center"/>
    </xf>
    <xf numFmtId="168" fontId="0" fillId="0" borderId="12" xfId="0" applyNumberFormat="1" applyBorder="1" applyAlignment="1">
      <alignment horizontal="right" vertical="center"/>
    </xf>
    <xf numFmtId="0" fontId="0" fillId="0" borderId="24" xfId="0" applyBorder="1" applyAlignment="1">
      <alignment vertical="center"/>
    </xf>
    <xf numFmtId="49" fontId="3" fillId="7" borderId="25" xfId="0" applyNumberFormat="1" applyFont="1" applyFill="1" applyBorder="1" applyAlignment="1">
      <alignment vertical="center"/>
    </xf>
    <xf numFmtId="0" fontId="0" fillId="0" borderId="8" xfId="0" applyBorder="1" applyAlignment="1">
      <alignment vertical="center" wrapText="1"/>
    </xf>
    <xf numFmtId="166" fontId="0" fillId="7" borderId="1" xfId="0" applyNumberFormat="1" applyFill="1" applyBorder="1" applyAlignment="1">
      <alignment vertical="center"/>
    </xf>
    <xf numFmtId="168" fontId="0" fillId="0" borderId="1" xfId="0" applyNumberFormat="1" applyBorder="1" applyAlignment="1">
      <alignment horizontal="right" vertical="center"/>
    </xf>
    <xf numFmtId="49" fontId="3" fillId="7" borderId="24" xfId="0" applyNumberFormat="1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165" fontId="0" fillId="0" borderId="1" xfId="0" applyNumberFormat="1" applyBorder="1" applyAlignment="1">
      <alignment vertical="center"/>
    </xf>
    <xf numFmtId="165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" borderId="24" xfId="0" applyFill="1" applyBorder="1" applyAlignment="1">
      <alignment vertical="center"/>
    </xf>
    <xf numFmtId="0" fontId="0" fillId="8" borderId="6" xfId="0" applyFill="1" applyBorder="1" applyAlignment="1">
      <alignment vertical="center" wrapText="1"/>
    </xf>
    <xf numFmtId="0" fontId="0" fillId="8" borderId="0" xfId="0" applyFill="1"/>
    <xf numFmtId="166" fontId="0" fillId="7" borderId="26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24" xfId="0" applyBorder="1" applyAlignment="1">
      <alignment horizontal="right" vertical="center"/>
    </xf>
    <xf numFmtId="2" fontId="0" fillId="0" borderId="1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4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2" fontId="0" fillId="0" borderId="10" xfId="0" applyNumberFormat="1" applyBorder="1" applyAlignment="1">
      <alignment vertical="center"/>
    </xf>
    <xf numFmtId="165" fontId="0" fillId="0" borderId="10" xfId="0" applyNumberFormat="1" applyBorder="1" applyAlignment="1">
      <alignment horizontal="right" vertical="center"/>
    </xf>
    <xf numFmtId="2" fontId="0" fillId="0" borderId="10" xfId="0" applyNumberFormat="1" applyBorder="1" applyAlignment="1">
      <alignment horizontal="right" vertical="center"/>
    </xf>
    <xf numFmtId="0" fontId="0" fillId="0" borderId="24" xfId="0" applyBorder="1" applyAlignment="1">
      <alignment vertical="center" wrapText="1"/>
    </xf>
    <xf numFmtId="165" fontId="0" fillId="0" borderId="26" xfId="0" applyNumberFormat="1" applyBorder="1" applyAlignment="1">
      <alignment vertical="center"/>
    </xf>
    <xf numFmtId="165" fontId="0" fillId="0" borderId="23" xfId="0" applyNumberFormat="1" applyBorder="1" applyAlignment="1">
      <alignment vertical="center"/>
    </xf>
    <xf numFmtId="11" fontId="0" fillId="0" borderId="7" xfId="0" applyNumberFormat="1" applyBorder="1" applyAlignment="1">
      <alignment vertical="center"/>
    </xf>
    <xf numFmtId="168" fontId="0" fillId="0" borderId="10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" xfId="0" applyFont="1" applyBorder="1" applyAlignment="1">
      <alignment vertical="center"/>
    </xf>
    <xf numFmtId="168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8" fontId="0" fillId="0" borderId="28" xfId="0" applyNumberFormat="1" applyBorder="1" applyAlignment="1">
      <alignment horizontal="right" vertical="center"/>
    </xf>
    <xf numFmtId="2" fontId="0" fillId="0" borderId="23" xfId="0" applyNumberFormat="1" applyBorder="1" applyAlignment="1">
      <alignment vertical="center"/>
    </xf>
    <xf numFmtId="166" fontId="0" fillId="7" borderId="10" xfId="0" applyNumberFormat="1" applyFill="1" applyBorder="1" applyAlignment="1">
      <alignment vertical="center"/>
    </xf>
    <xf numFmtId="49" fontId="0" fillId="0" borderId="12" xfId="0" applyNumberFormat="1" applyBorder="1" applyAlignment="1">
      <alignment vertical="center"/>
    </xf>
    <xf numFmtId="49" fontId="0" fillId="4" borderId="12" xfId="0" applyNumberFormat="1" applyFill="1" applyBorder="1" applyAlignment="1">
      <alignment vertical="center"/>
    </xf>
    <xf numFmtId="0" fontId="0" fillId="8" borderId="2" xfId="0" applyFill="1" applyBorder="1" applyAlignment="1">
      <alignment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20" borderId="0" xfId="0" applyFill="1"/>
    <xf numFmtId="0" fontId="50" fillId="0" borderId="1" xfId="0" applyFont="1" applyBorder="1" applyAlignment="1">
      <alignment vertical="center"/>
    </xf>
    <xf numFmtId="0" fontId="50" fillId="0" borderId="4" xfId="0" applyFont="1" applyBorder="1" applyAlignment="1">
      <alignment vertical="center" wrapText="1"/>
    </xf>
    <xf numFmtId="164" fontId="50" fillId="0" borderId="1" xfId="0" applyNumberFormat="1" applyFont="1" applyBorder="1" applyAlignment="1">
      <alignment vertical="center"/>
    </xf>
    <xf numFmtId="1" fontId="0" fillId="0" borderId="12" xfId="0" applyNumberForma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2" fontId="1" fillId="0" borderId="12" xfId="0" applyNumberFormat="1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0" fillId="0" borderId="10" xfId="0" applyNumberFormat="1" applyBorder="1" applyAlignment="1">
      <alignment vertical="center"/>
    </xf>
    <xf numFmtId="169" fontId="1" fillId="0" borderId="1" xfId="0" applyNumberFormat="1" applyFont="1" applyBorder="1" applyAlignment="1">
      <alignment vertical="center"/>
    </xf>
    <xf numFmtId="0" fontId="50" fillId="0" borderId="10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0" fontId="50" fillId="0" borderId="7" xfId="0" applyFont="1" applyBorder="1" applyAlignment="1">
      <alignment vertical="center" wrapText="1"/>
    </xf>
    <xf numFmtId="164" fontId="50" fillId="0" borderId="10" xfId="0" applyNumberFormat="1" applyFont="1" applyBorder="1" applyAlignment="1">
      <alignment vertical="center"/>
    </xf>
    <xf numFmtId="170" fontId="1" fillId="0" borderId="1" xfId="0" applyNumberFormat="1" applyFont="1" applyBorder="1" applyAlignment="1">
      <alignment vertical="center"/>
    </xf>
    <xf numFmtId="49" fontId="43" fillId="9" borderId="1" xfId="0" applyNumberFormat="1" applyFont="1" applyFill="1" applyBorder="1" applyAlignment="1">
      <alignment horizontal="left" vertical="center" wrapText="1"/>
    </xf>
    <xf numFmtId="0" fontId="0" fillId="6" borderId="2" xfId="0" applyFill="1" applyBorder="1"/>
    <xf numFmtId="0" fontId="0" fillId="0" borderId="2" xfId="0" applyBorder="1"/>
    <xf numFmtId="0" fontId="50" fillId="0" borderId="2" xfId="0" applyFont="1" applyBorder="1"/>
    <xf numFmtId="0" fontId="50" fillId="0" borderId="3" xfId="0" applyFont="1" applyBorder="1" applyAlignment="1">
      <alignment vertical="top"/>
    </xf>
    <xf numFmtId="0" fontId="50" fillId="0" borderId="1" xfId="0" applyFont="1" applyBorder="1" applyAlignment="1">
      <alignment vertical="top"/>
    </xf>
    <xf numFmtId="164" fontId="50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164" fontId="50" fillId="0" borderId="4" xfId="0" applyNumberFormat="1" applyFont="1" applyBorder="1" applyAlignment="1">
      <alignment vertical="top"/>
    </xf>
    <xf numFmtId="0" fontId="50" fillId="0" borderId="2" xfId="0" applyFont="1" applyBorder="1" applyAlignment="1">
      <alignment horizontal="center" vertical="top"/>
    </xf>
    <xf numFmtId="0" fontId="50" fillId="0" borderId="3" xfId="0" applyFont="1" applyBorder="1" applyAlignment="1">
      <alignment horizontal="center" vertical="top"/>
    </xf>
    <xf numFmtId="0" fontId="50" fillId="0" borderId="4" xfId="0" applyFont="1" applyBorder="1" applyAlignment="1">
      <alignment vertical="top"/>
    </xf>
    <xf numFmtId="165" fontId="50" fillId="0" borderId="1" xfId="0" applyNumberFormat="1" applyFont="1" applyBorder="1" applyAlignment="1">
      <alignment vertical="top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12" fillId="0" borderId="0" xfId="0" applyFont="1"/>
    <xf numFmtId="0" fontId="4" fillId="0" borderId="0" xfId="0" applyFont="1" applyAlignment="1" applyProtection="1">
      <alignment wrapText="1"/>
      <protection locked="0"/>
    </xf>
    <xf numFmtId="0" fontId="43" fillId="0" borderId="0" xfId="2" applyFont="1" applyAlignment="1">
      <alignment vertical="center"/>
    </xf>
    <xf numFmtId="0" fontId="52" fillId="0" borderId="0" xfId="0" applyFont="1"/>
    <xf numFmtId="0" fontId="4" fillId="0" borderId="0" xfId="0" applyFont="1" applyAlignment="1" applyProtection="1">
      <alignment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53" fillId="21" borderId="0" xfId="0" applyFont="1" applyFill="1" applyAlignment="1" applyProtection="1">
      <alignment horizontal="center"/>
      <protection locked="0"/>
    </xf>
    <xf numFmtId="0" fontId="42" fillId="0" borderId="0" xfId="0" applyFont="1" applyAlignment="1" applyProtection="1">
      <alignment horizontal="center"/>
      <protection locked="0"/>
    </xf>
    <xf numFmtId="0" fontId="42" fillId="0" borderId="0" xfId="0" applyFont="1" applyProtection="1">
      <protection locked="0"/>
    </xf>
    <xf numFmtId="0" fontId="55" fillId="4" borderId="1" xfId="0" applyFont="1" applyFill="1" applyBorder="1" applyAlignment="1" applyProtection="1">
      <alignment horizontal="center" vertical="center"/>
      <protection locked="0"/>
    </xf>
    <xf numFmtId="0" fontId="24" fillId="11" borderId="12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right" vertical="center" wrapText="1"/>
    </xf>
    <xf numFmtId="0" fontId="24" fillId="12" borderId="3" xfId="0" applyFont="1" applyFill="1" applyBorder="1" applyAlignment="1">
      <alignment horizontal="left" vertical="center" wrapText="1"/>
    </xf>
    <xf numFmtId="0" fontId="0" fillId="10" borderId="11" xfId="0" applyFill="1" applyBorder="1"/>
    <xf numFmtId="0" fontId="25" fillId="10" borderId="1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top" wrapText="1"/>
    </xf>
    <xf numFmtId="0" fontId="9" fillId="8" borderId="1" xfId="0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8" borderId="1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48" fillId="10" borderId="17" xfId="0" applyFont="1" applyFill="1" applyBorder="1" applyAlignment="1">
      <alignment horizontal="center" vertical="center"/>
    </xf>
    <xf numFmtId="0" fontId="48" fillId="10" borderId="20" xfId="0" applyFont="1" applyFill="1" applyBorder="1" applyAlignment="1">
      <alignment horizontal="center" vertical="center"/>
    </xf>
    <xf numFmtId="0" fontId="48" fillId="10" borderId="16" xfId="0" applyFont="1" applyFill="1" applyBorder="1" applyAlignment="1">
      <alignment horizontal="center" vertical="center"/>
    </xf>
    <xf numFmtId="0" fontId="48" fillId="10" borderId="19" xfId="0" applyFont="1" applyFill="1" applyBorder="1" applyAlignment="1">
      <alignment horizontal="center" vertical="center"/>
    </xf>
    <xf numFmtId="0" fontId="48" fillId="10" borderId="18" xfId="0" applyFont="1" applyFill="1" applyBorder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49" fillId="18" borderId="22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4" fillId="0" borderId="0" xfId="0" applyFont="1" applyAlignment="1" applyProtection="1">
      <alignment horizontal="center"/>
      <protection locked="0"/>
    </xf>
    <xf numFmtId="0" fontId="42" fillId="0" borderId="0" xfId="0" applyFont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18"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theme="4" tint="0.59996337778862885"/>
        </patternFill>
      </fill>
    </dxf>
    <dxf>
      <font>
        <b/>
        <i val="0"/>
        <color auto="1"/>
      </font>
      <fill>
        <patternFill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0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0.0000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sz val="11"/>
        <color rgb="FFC00000"/>
        <name val="Aptos Narrow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C00000"/>
        <name val="Aptos Narrow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C00000"/>
        <name val="Aptos Narrow"/>
        <scheme val="minor"/>
      </font>
      <numFmt numFmtId="164" formatCode="yyyy\-mm\-dd;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numFmt numFmtId="168" formatCode="0.0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numFmt numFmtId="168" formatCode="0.0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numFmt numFmtId="164" formatCode="yyyy\-mm\-dd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C00000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C00000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1"/>
        <name val="Aptos Narrow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5" formatCode="0.00E+0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5" formatCode="0.00E+0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7" formatCode="0.0%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alignment vertical="center" textRotation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top" textRotation="0" wrapText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NI-MCPT-37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034936320782281E-3"/>
                  <c:y val="-0.474113267747939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Patron'!$E$50:$E$58</c:f>
              <c:numCache>
                <c:formatCode>General</c:formatCode>
                <c:ptCount val="9"/>
                <c:pt idx="0">
                  <c:v>-29.99</c:v>
                </c:pt>
                <c:pt idx="1">
                  <c:v>-6.6000000000000003E-2</c:v>
                </c:pt>
                <c:pt idx="2">
                  <c:v>49.996000000000002</c:v>
                </c:pt>
                <c:pt idx="3">
                  <c:v>100.009</c:v>
                </c:pt>
                <c:pt idx="4">
                  <c:v>120.003</c:v>
                </c:pt>
                <c:pt idx="5">
                  <c:v>155.06200000000001</c:v>
                </c:pt>
              </c:numCache>
            </c:numRef>
          </c:xVal>
          <c:yVal>
            <c:numRef>
              <c:f>'BD Patron'!$G$50:$G$58</c:f>
              <c:numCache>
                <c:formatCode>0.000</c:formatCode>
                <c:ptCount val="9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7.0999999999999994E-2</c:v>
                </c:pt>
                <c:pt idx="4">
                  <c:v>7.0999999999999994E-2</c:v>
                </c:pt>
                <c:pt idx="5">
                  <c:v>7.0999999999999994E-2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7C-4588-AEB8-D3C6419D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531280"/>
        <c:axId val="2013529648"/>
      </c:scatterChart>
      <c:valAx>
        <c:axId val="20135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9648"/>
        <c:crosses val="autoZero"/>
        <c:crossBetween val="midCat"/>
      </c:valAx>
      <c:valAx>
        <c:axId val="20135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3903528926366274"/>
                  <c:y val="0.31368963813795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Patron'!$E$59:$E$67</c:f>
              <c:numCache>
                <c:formatCode>General</c:formatCode>
                <c:ptCount val="9"/>
                <c:pt idx="0">
                  <c:v>-30.067</c:v>
                </c:pt>
                <c:pt idx="1">
                  <c:v>-1.7999999999999999E-2</c:v>
                </c:pt>
                <c:pt idx="2" formatCode="0.000">
                  <c:v>25.047999999999998</c:v>
                </c:pt>
                <c:pt idx="3">
                  <c:v>49.993000000000002</c:v>
                </c:pt>
                <c:pt idx="4">
                  <c:v>99.995000000000005</c:v>
                </c:pt>
                <c:pt idx="5" formatCode="0.000">
                  <c:v>150.08699999999999</c:v>
                </c:pt>
                <c:pt idx="6">
                  <c:v>200.096</c:v>
                </c:pt>
                <c:pt idx="7">
                  <c:v>250.01400000000001</c:v>
                </c:pt>
              </c:numCache>
            </c:numRef>
          </c:xVal>
          <c:yVal>
            <c:numRef>
              <c:f>'BD Patron'!$G$59:$G$67</c:f>
              <c:numCache>
                <c:formatCode>0.000</c:formatCode>
                <c:ptCount val="9"/>
                <c:pt idx="0" formatCode="General">
                  <c:v>2.3E-2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 formatCode="General">
                  <c:v>2.5999999999999999E-2</c:v>
                </c:pt>
                <c:pt idx="6" formatCode="General">
                  <c:v>2.5999999999999999E-2</c:v>
                </c:pt>
                <c:pt idx="7" formatCode="General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AA-49A8-B142-3A3BC0154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525840"/>
        <c:axId val="2013524208"/>
      </c:scatterChart>
      <c:valAx>
        <c:axId val="201352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4208"/>
        <c:crosses val="autoZero"/>
        <c:crossBetween val="midCat"/>
      </c:valAx>
      <c:valAx>
        <c:axId val="20135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2.7512057542430867E-2"/>
                  <c:y val="-0.17451311364383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Patron'!$E$68:$E$76</c:f>
              <c:numCache>
                <c:formatCode>General</c:formatCode>
                <c:ptCount val="9"/>
                <c:pt idx="1">
                  <c:v>-20.41</c:v>
                </c:pt>
                <c:pt idx="2">
                  <c:v>-0.45</c:v>
                </c:pt>
                <c:pt idx="3">
                  <c:v>39.49</c:v>
                </c:pt>
                <c:pt idx="4">
                  <c:v>59.43</c:v>
                </c:pt>
                <c:pt idx="5">
                  <c:v>79.36</c:v>
                </c:pt>
                <c:pt idx="6">
                  <c:v>119.45</c:v>
                </c:pt>
                <c:pt idx="7">
                  <c:v>140.61000000000001</c:v>
                </c:pt>
              </c:numCache>
            </c:numRef>
          </c:xVal>
          <c:yVal>
            <c:numRef>
              <c:f>'BD Patron'!$G$68:$G$76</c:f>
              <c:numCache>
                <c:formatCode>General</c:formatCode>
                <c:ptCount val="9"/>
                <c:pt idx="1">
                  <c:v>6.7000000000000004E-2</c:v>
                </c:pt>
                <c:pt idx="2">
                  <c:v>7.0000000000000007E-2</c:v>
                </c:pt>
                <c:pt idx="3">
                  <c:v>6.3E-2</c:v>
                </c:pt>
                <c:pt idx="4">
                  <c:v>5.8999999999999997E-2</c:v>
                </c:pt>
                <c:pt idx="5">
                  <c:v>5.7000000000000002E-2</c:v>
                </c:pt>
                <c:pt idx="6">
                  <c:v>6.9000000000000006E-2</c:v>
                </c:pt>
                <c:pt idx="7">
                  <c:v>8.5999999999999993E-2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B-451D-B179-6DE9DE554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524752"/>
        <c:axId val="2013526384"/>
      </c:scatterChart>
      <c:valAx>
        <c:axId val="201352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6384"/>
        <c:crosses val="autoZero"/>
        <c:crossBetween val="midCat"/>
      </c:valAx>
      <c:valAx>
        <c:axId val="20135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NI-MCPT-T-41</a:t>
            </a:r>
          </a:p>
        </c:rich>
      </c:tx>
      <c:layout>
        <c:manualLayout>
          <c:xMode val="edge"/>
          <c:yMode val="edge"/>
          <c:x val="0.3047695291795931"/>
          <c:y val="6.068965187674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6480887737293239E-2"/>
                  <c:y val="-3.62566909445185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Patron'!$E$77:$E$85</c:f>
              <c:numCache>
                <c:formatCode>General</c:formatCode>
                <c:ptCount val="9"/>
                <c:pt idx="0">
                  <c:v>50.26</c:v>
                </c:pt>
                <c:pt idx="1">
                  <c:v>100.01</c:v>
                </c:pt>
                <c:pt idx="2">
                  <c:v>200.12</c:v>
                </c:pt>
                <c:pt idx="3">
                  <c:v>350.18</c:v>
                </c:pt>
              </c:numCache>
            </c:numRef>
          </c:xVal>
          <c:yVal>
            <c:numRef>
              <c:f>'BD Patron'!$G$77:$G$85</c:f>
              <c:numCache>
                <c:formatCode>0.000</c:formatCode>
                <c:ptCount val="9"/>
                <c:pt idx="0">
                  <c:v>0.26</c:v>
                </c:pt>
                <c:pt idx="1">
                  <c:v>0.27</c:v>
                </c:pt>
                <c:pt idx="2">
                  <c:v>0.26</c:v>
                </c:pt>
                <c:pt idx="3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74-43CC-AB80-B1D4CB47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525296"/>
        <c:axId val="2013526928"/>
      </c:scatterChart>
      <c:valAx>
        <c:axId val="201352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6928"/>
        <c:crosses val="autoZero"/>
        <c:crossBetween val="midCat"/>
      </c:valAx>
      <c:valAx>
        <c:axId val="20135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2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NI-MCPT-T-40-1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1.3124616587691467E-2"/>
                  <c:y val="0.1909842706494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Patron'!$E$95:$E$103</c:f>
              <c:numCache>
                <c:formatCode>0.00</c:formatCode>
                <c:ptCount val="9"/>
                <c:pt idx="0" formatCode="General">
                  <c:v>-30.07</c:v>
                </c:pt>
                <c:pt idx="1">
                  <c:v>0.01</c:v>
                </c:pt>
                <c:pt idx="2">
                  <c:v>101.35</c:v>
                </c:pt>
                <c:pt idx="3" formatCode="General">
                  <c:v>199.43</c:v>
                </c:pt>
                <c:pt idx="4" formatCode="General">
                  <c:v>349.36</c:v>
                </c:pt>
                <c:pt idx="5" formatCode="General">
                  <c:v>598.27</c:v>
                </c:pt>
              </c:numCache>
            </c:numRef>
          </c:xVal>
          <c:yVal>
            <c:numRef>
              <c:f>'BD Patron'!$G$95:$G$103</c:f>
              <c:numCache>
                <c:formatCode>General</c:formatCode>
                <c:ptCount val="9"/>
                <c:pt idx="0">
                  <c:v>0.12</c:v>
                </c:pt>
                <c:pt idx="1">
                  <c:v>0.12</c:v>
                </c:pt>
                <c:pt idx="2">
                  <c:v>0.26</c:v>
                </c:pt>
                <c:pt idx="3">
                  <c:v>0.28999999999999998</c:v>
                </c:pt>
                <c:pt idx="4">
                  <c:v>0.37</c:v>
                </c:pt>
                <c:pt idx="5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A1-4051-968B-46F7FE55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530192"/>
        <c:axId val="2018546544"/>
      </c:scatterChart>
      <c:valAx>
        <c:axId val="20135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8546544"/>
        <c:crosses val="autoZero"/>
        <c:crossBetween val="midCat"/>
      </c:valAx>
      <c:valAx>
        <c:axId val="20185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35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NI-MCPT-T-40-2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3.5831144455892104E-2"/>
                  <c:y val="4.55359251968503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Patron'!$E$104:$E$113</c:f>
              <c:numCache>
                <c:formatCode>0.00</c:formatCode>
                <c:ptCount val="10"/>
                <c:pt idx="0" formatCode="General">
                  <c:v>-30.07</c:v>
                </c:pt>
                <c:pt idx="1">
                  <c:v>0.01</c:v>
                </c:pt>
                <c:pt idx="2">
                  <c:v>101.35</c:v>
                </c:pt>
                <c:pt idx="3" formatCode="General">
                  <c:v>199.43</c:v>
                </c:pt>
                <c:pt idx="4" formatCode="General">
                  <c:v>349.36</c:v>
                </c:pt>
                <c:pt idx="5" formatCode="General">
                  <c:v>598.27</c:v>
                </c:pt>
              </c:numCache>
            </c:numRef>
          </c:xVal>
          <c:yVal>
            <c:numRef>
              <c:f>'BD Patron'!$G$104:$G$113</c:f>
              <c:numCache>
                <c:formatCode>General</c:formatCode>
                <c:ptCount val="10"/>
                <c:pt idx="0">
                  <c:v>0.12</c:v>
                </c:pt>
                <c:pt idx="1">
                  <c:v>0.12</c:v>
                </c:pt>
                <c:pt idx="2">
                  <c:v>0.26</c:v>
                </c:pt>
                <c:pt idx="3">
                  <c:v>0.28999999999999998</c:v>
                </c:pt>
                <c:pt idx="4">
                  <c:v>0.37</c:v>
                </c:pt>
                <c:pt idx="5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1-4CA2-99EA-D0699540B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547632"/>
        <c:axId val="2018548720"/>
      </c:scatterChart>
      <c:valAx>
        <c:axId val="201854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8548720"/>
        <c:crosses val="autoZero"/>
        <c:crossBetween val="midCat"/>
      </c:valAx>
      <c:valAx>
        <c:axId val="20185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854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Incertidumbre NI-MCPT-01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Incertidumbre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0791089251094996"/>
                  <c:y val="0.311000507394106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Patron'!$E$32:$E$40</c:f>
              <c:numCache>
                <c:formatCode>General</c:formatCode>
                <c:ptCount val="9"/>
                <c:pt idx="0">
                  <c:v>-30.035</c:v>
                </c:pt>
                <c:pt idx="1">
                  <c:v>0</c:v>
                </c:pt>
                <c:pt idx="2">
                  <c:v>25.015000000000001</c:v>
                </c:pt>
                <c:pt idx="3">
                  <c:v>49.984999999999999</c:v>
                </c:pt>
                <c:pt idx="4">
                  <c:v>100.01600000000001</c:v>
                </c:pt>
                <c:pt idx="5">
                  <c:v>150.01400000000001</c:v>
                </c:pt>
                <c:pt idx="6">
                  <c:v>200.01599999999999</c:v>
                </c:pt>
                <c:pt idx="7">
                  <c:v>250.02500000000001</c:v>
                </c:pt>
              </c:numCache>
            </c:numRef>
          </c:xVal>
          <c:yVal>
            <c:numRef>
              <c:f>'BD Patron'!$G$32:$G$40</c:f>
              <c:numCache>
                <c:formatCode>General</c:formatCode>
                <c:ptCount val="9"/>
                <c:pt idx="0">
                  <c:v>0.02</c:v>
                </c:pt>
                <c:pt idx="1">
                  <c:v>1.6E-2</c:v>
                </c:pt>
                <c:pt idx="2">
                  <c:v>1.7000000000000001E-2</c:v>
                </c:pt>
                <c:pt idx="3">
                  <c:v>1.7000000000000001E-2</c:v>
                </c:pt>
                <c:pt idx="4">
                  <c:v>1.9E-2</c:v>
                </c:pt>
                <c:pt idx="5">
                  <c:v>1.9E-2</c:v>
                </c:pt>
                <c:pt idx="6">
                  <c:v>1.9E-2</c:v>
                </c:pt>
                <c:pt idx="7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7-4D93-8DC6-5EDFA0CF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545456"/>
        <c:axId val="579978960"/>
      </c:scatterChart>
      <c:valAx>
        <c:axId val="201854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78960"/>
        <c:crosses val="autoZero"/>
        <c:crossBetween val="midCat"/>
      </c:valAx>
      <c:valAx>
        <c:axId val="5799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1854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NI-MCTP-T-01. 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2010142188519271"/>
                  <c:y val="0.2980578631243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Patron'!$E$32:$E$40</c:f>
              <c:numCache>
                <c:formatCode>General</c:formatCode>
                <c:ptCount val="9"/>
                <c:pt idx="0">
                  <c:v>-30.035</c:v>
                </c:pt>
                <c:pt idx="1">
                  <c:v>0</c:v>
                </c:pt>
                <c:pt idx="2">
                  <c:v>25.015000000000001</c:v>
                </c:pt>
                <c:pt idx="3">
                  <c:v>49.984999999999999</c:v>
                </c:pt>
                <c:pt idx="4">
                  <c:v>100.01600000000001</c:v>
                </c:pt>
                <c:pt idx="5">
                  <c:v>150.01400000000001</c:v>
                </c:pt>
                <c:pt idx="6">
                  <c:v>200.01599999999999</c:v>
                </c:pt>
                <c:pt idx="7">
                  <c:v>250.02500000000001</c:v>
                </c:pt>
              </c:numCache>
            </c:numRef>
          </c:xVal>
          <c:yVal>
            <c:numRef>
              <c:f>'BD Patron'!$F$32:$F$40</c:f>
              <c:numCache>
                <c:formatCode>0.000</c:formatCode>
                <c:ptCount val="9"/>
                <c:pt idx="0">
                  <c:v>0</c:v>
                </c:pt>
                <c:pt idx="1">
                  <c:v>5.0000000000000001E-3</c:v>
                </c:pt>
                <c:pt idx="2">
                  <c:v>-2E-3</c:v>
                </c:pt>
                <c:pt idx="3">
                  <c:v>-5.0000000000000001E-3</c:v>
                </c:pt>
                <c:pt idx="4">
                  <c:v>-2.4E-2</c:v>
                </c:pt>
                <c:pt idx="5">
                  <c:v>2.8000000000000001E-2</c:v>
                </c:pt>
                <c:pt idx="6">
                  <c:v>1.0999999999999999E-2</c:v>
                </c:pt>
                <c:pt idx="7">
                  <c:v>-1.2999999999999999E-2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31-47FC-BFAC-64FFC9B7251F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3175085230941051E-2"/>
                  <c:y val="0.127863220726441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Patron'!$H$32:$H$40</c:f>
              <c:numCache>
                <c:formatCode>General</c:formatCode>
                <c:ptCount val="9"/>
                <c:pt idx="0">
                  <c:v>-30.097000000000001</c:v>
                </c:pt>
                <c:pt idx="1">
                  <c:v>1.9E-2</c:v>
                </c:pt>
                <c:pt idx="2">
                  <c:v>25.094000000000001</c:v>
                </c:pt>
                <c:pt idx="3">
                  <c:v>50.055999999999997</c:v>
                </c:pt>
                <c:pt idx="4">
                  <c:v>100.02</c:v>
                </c:pt>
                <c:pt idx="5">
                  <c:v>150.19399999999999</c:v>
                </c:pt>
                <c:pt idx="6">
                  <c:v>200.07499999999999</c:v>
                </c:pt>
                <c:pt idx="7">
                  <c:v>250.114</c:v>
                </c:pt>
              </c:numCache>
            </c:numRef>
          </c:xVal>
          <c:yVal>
            <c:numRef>
              <c:f>'BD Patron'!$I$32:$I$40</c:f>
              <c:numCache>
                <c:formatCode>General</c:formatCode>
                <c:ptCount val="9"/>
                <c:pt idx="0">
                  <c:v>5.5E-2</c:v>
                </c:pt>
                <c:pt idx="1">
                  <c:v>4.3999999999999997E-2</c:v>
                </c:pt>
                <c:pt idx="2" formatCode="0.00">
                  <c:v>3.9E-2</c:v>
                </c:pt>
                <c:pt idx="3">
                  <c:v>3.3000000000000002E-2</c:v>
                </c:pt>
                <c:pt idx="4" formatCode="0.00">
                  <c:v>3.2000000000000001E-2</c:v>
                </c:pt>
                <c:pt idx="5">
                  <c:v>5.8000000000000003E-2</c:v>
                </c:pt>
                <c:pt idx="6">
                  <c:v>1.6E-2</c:v>
                </c:pt>
                <c:pt idx="7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31-47FC-BFAC-64FFC9B72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84400"/>
        <c:axId val="579980592"/>
      </c:scatterChart>
      <c:valAx>
        <c:axId val="57998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0592"/>
        <c:crosses val="autoZero"/>
        <c:crossBetween val="midCat"/>
      </c:valAx>
      <c:valAx>
        <c:axId val="5799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NI-MCTP-38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2010142188519271"/>
                  <c:y val="0.2980578631243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Patron'!$E$50:$E$58</c:f>
              <c:numCache>
                <c:formatCode>General</c:formatCode>
                <c:ptCount val="9"/>
                <c:pt idx="0">
                  <c:v>-29.99</c:v>
                </c:pt>
                <c:pt idx="1">
                  <c:v>-6.6000000000000003E-2</c:v>
                </c:pt>
                <c:pt idx="2">
                  <c:v>49.996000000000002</c:v>
                </c:pt>
                <c:pt idx="3">
                  <c:v>100.009</c:v>
                </c:pt>
                <c:pt idx="4">
                  <c:v>120.003</c:v>
                </c:pt>
                <c:pt idx="5">
                  <c:v>155.06200000000001</c:v>
                </c:pt>
              </c:numCache>
            </c:numRef>
          </c:xVal>
          <c:yVal>
            <c:numRef>
              <c:f>'BD Patron'!$F$50:$F$58</c:f>
              <c:numCache>
                <c:formatCode>0.000</c:formatCode>
                <c:ptCount val="9"/>
                <c:pt idx="0">
                  <c:v>1.2999999999999999E-2</c:v>
                </c:pt>
                <c:pt idx="1">
                  <c:v>-6.8000000000000005E-2</c:v>
                </c:pt>
                <c:pt idx="2">
                  <c:v>-4.0000000000000001E-3</c:v>
                </c:pt>
                <c:pt idx="3">
                  <c:v>8.9999999999999993E-3</c:v>
                </c:pt>
                <c:pt idx="4">
                  <c:v>2E-3</c:v>
                </c:pt>
                <c:pt idx="5">
                  <c:v>6.2E-2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A8-4B1E-BC83-436BC8F4BFFE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Patron'!$H$50:$H$58</c:f>
              <c:numCache>
                <c:formatCode>General</c:formatCode>
                <c:ptCount val="9"/>
              </c:numCache>
            </c:numRef>
          </c:xVal>
          <c:yVal>
            <c:numRef>
              <c:f>'BD Patron'!$I$50:$I$58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A8-4B1E-BC83-436BC8F4B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79504"/>
        <c:axId val="579986032"/>
      </c:scatterChart>
      <c:valAx>
        <c:axId val="57997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6032"/>
        <c:crosses val="autoZero"/>
        <c:crossBetween val="midCat"/>
      </c:valAx>
      <c:valAx>
        <c:axId val="5799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7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2010142188519271"/>
                  <c:y val="0.2980578631243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Patron'!$E$59:$E$67</c:f>
              <c:numCache>
                <c:formatCode>General</c:formatCode>
                <c:ptCount val="9"/>
                <c:pt idx="0">
                  <c:v>-30.067</c:v>
                </c:pt>
                <c:pt idx="1">
                  <c:v>-1.7999999999999999E-2</c:v>
                </c:pt>
                <c:pt idx="2" formatCode="0.000">
                  <c:v>25.047999999999998</c:v>
                </c:pt>
                <c:pt idx="3">
                  <c:v>49.993000000000002</c:v>
                </c:pt>
                <c:pt idx="4">
                  <c:v>99.995000000000005</c:v>
                </c:pt>
                <c:pt idx="5" formatCode="0.000">
                  <c:v>150.08699999999999</c:v>
                </c:pt>
                <c:pt idx="6">
                  <c:v>200.096</c:v>
                </c:pt>
                <c:pt idx="7">
                  <c:v>250.01400000000001</c:v>
                </c:pt>
              </c:numCache>
            </c:numRef>
          </c:xVal>
          <c:yVal>
            <c:numRef>
              <c:f>'BD Patron'!$F$59:$F$67</c:f>
              <c:numCache>
                <c:formatCode>0.000</c:formatCode>
                <c:ptCount val="9"/>
                <c:pt idx="0">
                  <c:v>-1.7000000000000001E-2</c:v>
                </c:pt>
                <c:pt idx="1">
                  <c:v>-2E-3</c:v>
                </c:pt>
                <c:pt idx="2">
                  <c:v>-2.4E-2</c:v>
                </c:pt>
                <c:pt idx="3">
                  <c:v>-0.01</c:v>
                </c:pt>
                <c:pt idx="4">
                  <c:v>-7.0000000000000001E-3</c:v>
                </c:pt>
                <c:pt idx="5">
                  <c:v>2E-3</c:v>
                </c:pt>
                <c:pt idx="6">
                  <c:v>-5.0000000000000001E-3</c:v>
                </c:pt>
                <c:pt idx="7">
                  <c:v>-1.2E-2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AE-4397-B851-C30170557AF0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5.0627095138356691E-2"/>
                  <c:y val="-0.29984402564433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Patron'!$H$59:$H$67</c:f>
              <c:numCache>
                <c:formatCode>General</c:formatCode>
                <c:ptCount val="9"/>
                <c:pt idx="0">
                  <c:v>-30.068999999999999</c:v>
                </c:pt>
                <c:pt idx="1">
                  <c:v>-0.02</c:v>
                </c:pt>
                <c:pt idx="2" formatCode="0.000">
                  <c:v>25.062999999999999</c:v>
                </c:pt>
                <c:pt idx="3">
                  <c:v>49.991</c:v>
                </c:pt>
                <c:pt idx="4">
                  <c:v>99.991</c:v>
                </c:pt>
                <c:pt idx="5" formatCode="0.000">
                  <c:v>150.16800000000001</c:v>
                </c:pt>
                <c:pt idx="6">
                  <c:v>200.13900000000001</c:v>
                </c:pt>
                <c:pt idx="7">
                  <c:v>250.012</c:v>
                </c:pt>
              </c:numCache>
            </c:numRef>
          </c:xVal>
          <c:yVal>
            <c:numRef>
              <c:f>'BD Patron'!$I$59:$I$67</c:f>
              <c:numCache>
                <c:formatCode>0.000</c:formatCode>
                <c:ptCount val="9"/>
                <c:pt idx="0">
                  <c:v>-2.1000000000000001E-2</c:v>
                </c:pt>
                <c:pt idx="1">
                  <c:v>-3.0000000000000001E-3</c:v>
                </c:pt>
                <c:pt idx="2">
                  <c:v>-4.0000000000000001E-3</c:v>
                </c:pt>
                <c:pt idx="3">
                  <c:v>-0.01</c:v>
                </c:pt>
                <c:pt idx="4">
                  <c:v>-4.0000000000000001E-3</c:v>
                </c:pt>
                <c:pt idx="5">
                  <c:v>0</c:v>
                </c:pt>
                <c:pt idx="6">
                  <c:v>-5.0000000000000001E-3</c:v>
                </c:pt>
                <c:pt idx="7">
                  <c:v>-1.6E-2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AE-4397-B851-C30170557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81136"/>
        <c:axId val="579980048"/>
      </c:scatterChart>
      <c:valAx>
        <c:axId val="57998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0048"/>
        <c:crosses val="autoZero"/>
        <c:crossBetween val="midCat"/>
      </c:valAx>
      <c:valAx>
        <c:axId val="57998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2010142188519271"/>
                  <c:y val="0.2980578631243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Patron'!$E$68:$E$76</c:f>
              <c:numCache>
                <c:formatCode>General</c:formatCode>
                <c:ptCount val="9"/>
                <c:pt idx="1">
                  <c:v>-20.41</c:v>
                </c:pt>
                <c:pt idx="2">
                  <c:v>-0.45</c:v>
                </c:pt>
                <c:pt idx="3">
                  <c:v>39.49</c:v>
                </c:pt>
                <c:pt idx="4">
                  <c:v>59.43</c:v>
                </c:pt>
                <c:pt idx="5">
                  <c:v>79.36</c:v>
                </c:pt>
                <c:pt idx="6">
                  <c:v>119.45</c:v>
                </c:pt>
                <c:pt idx="7">
                  <c:v>140.61000000000001</c:v>
                </c:pt>
              </c:numCache>
            </c:numRef>
          </c:xVal>
          <c:yVal>
            <c:numRef>
              <c:f>'BD Patron'!$F$68:$F$76</c:f>
              <c:numCache>
                <c:formatCode>0.000</c:formatCode>
                <c:ptCount val="9"/>
                <c:pt idx="1">
                  <c:v>0.46</c:v>
                </c:pt>
                <c:pt idx="2">
                  <c:v>0.45</c:v>
                </c:pt>
                <c:pt idx="3">
                  <c:v>0.52</c:v>
                </c:pt>
                <c:pt idx="4">
                  <c:v>0.55000000000000004</c:v>
                </c:pt>
                <c:pt idx="5">
                  <c:v>0.61</c:v>
                </c:pt>
                <c:pt idx="6">
                  <c:v>0.57999999999999996</c:v>
                </c:pt>
                <c:pt idx="7">
                  <c:v>-0.48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5-4BF2-8C28-6FF69F56C683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5.0627095138356691E-2"/>
                  <c:y val="-0.29984402564433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Patron'!$H$68:$H$76</c:f>
              <c:numCache>
                <c:formatCode>General</c:formatCode>
                <c:ptCount val="9"/>
                <c:pt idx="1">
                  <c:v>-20.38</c:v>
                </c:pt>
                <c:pt idx="2">
                  <c:v>-0.55000000000000004</c:v>
                </c:pt>
                <c:pt idx="3">
                  <c:v>39.24</c:v>
                </c:pt>
                <c:pt idx="4">
                  <c:v>59.21</c:v>
                </c:pt>
                <c:pt idx="5">
                  <c:v>79.099999999999994</c:v>
                </c:pt>
                <c:pt idx="6">
                  <c:v>119.17</c:v>
                </c:pt>
                <c:pt idx="7">
                  <c:v>139.1</c:v>
                </c:pt>
              </c:numCache>
            </c:numRef>
          </c:xVal>
          <c:yVal>
            <c:numRef>
              <c:f>'BD Patron'!$I$68:$I$76</c:f>
              <c:numCache>
                <c:formatCode>General</c:formatCode>
                <c:ptCount val="9"/>
                <c:pt idx="1">
                  <c:v>0.22</c:v>
                </c:pt>
                <c:pt idx="2" formatCode="0.000">
                  <c:v>0.43</c:v>
                </c:pt>
                <c:pt idx="3">
                  <c:v>0.63</c:v>
                </c:pt>
                <c:pt idx="4" formatCode="0.00">
                  <c:v>0.65</c:v>
                </c:pt>
                <c:pt idx="5">
                  <c:v>0.75</c:v>
                </c:pt>
                <c:pt idx="6">
                  <c:v>0.67</c:v>
                </c:pt>
                <c:pt idx="7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65-4BF2-8C28-6FF69F56C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81680"/>
        <c:axId val="579982224"/>
      </c:scatterChart>
      <c:valAx>
        <c:axId val="57998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2224"/>
        <c:crosses val="autoZero"/>
        <c:crossBetween val="midCat"/>
      </c:valAx>
      <c:valAx>
        <c:axId val="5799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NI-MCTP-T-26, 27, 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4.5335868080729737E-2"/>
          <c:y val="0.20512987012987013"/>
          <c:w val="0.90691252592355287"/>
          <c:h val="0.75915584415584414"/>
        </c:manualLayout>
      </c:layout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208273617832033"/>
                  <c:y val="-0.13210527661315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Patron'!$E$77:$E$85</c:f>
              <c:numCache>
                <c:formatCode>General</c:formatCode>
                <c:ptCount val="9"/>
                <c:pt idx="0">
                  <c:v>50.26</c:v>
                </c:pt>
                <c:pt idx="1">
                  <c:v>100.01</c:v>
                </c:pt>
                <c:pt idx="2">
                  <c:v>200.12</c:v>
                </c:pt>
                <c:pt idx="3">
                  <c:v>350.18</c:v>
                </c:pt>
              </c:numCache>
            </c:numRef>
          </c:xVal>
          <c:yVal>
            <c:numRef>
              <c:f>'BD Patron'!$F$77:$F$85</c:f>
              <c:numCache>
                <c:formatCode>0.000</c:formatCode>
                <c:ptCount val="9"/>
                <c:pt idx="0">
                  <c:v>0.26</c:v>
                </c:pt>
                <c:pt idx="1">
                  <c:v>0.01</c:v>
                </c:pt>
                <c:pt idx="2">
                  <c:v>0.12</c:v>
                </c:pt>
                <c:pt idx="3">
                  <c:v>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1-4DE7-AA7A-CC2E5B8DC79E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5.0627095138356691E-2"/>
                  <c:y val="-0.29984402564433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Patron'!$H$77:$H$85</c:f>
              <c:numCache>
                <c:formatCode>General</c:formatCode>
                <c:ptCount val="9"/>
              </c:numCache>
            </c:numRef>
          </c:xVal>
          <c:yVal>
            <c:numRef>
              <c:f>'BD Patron'!$I$77:$I$85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91-4DE7-AA7A-CC2E5B8DC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82768"/>
        <c:axId val="579983312"/>
      </c:scatterChart>
      <c:valAx>
        <c:axId val="57998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3312"/>
        <c:crosses val="autoZero"/>
        <c:crossBetween val="midCat"/>
      </c:valAx>
      <c:valAx>
        <c:axId val="5799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NI-MCTP-T-35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4.5335868080729737E-2"/>
          <c:y val="0.20512987012987013"/>
          <c:w val="0.90691252592355287"/>
          <c:h val="0.75915584415584414"/>
        </c:manualLayout>
      </c:layout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208273617832033"/>
                  <c:y val="-0.13210527661315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Patron'!$E$104:$E$113</c:f>
              <c:numCache>
                <c:formatCode>0.00</c:formatCode>
                <c:ptCount val="10"/>
                <c:pt idx="0" formatCode="General">
                  <c:v>-30.07</c:v>
                </c:pt>
                <c:pt idx="1">
                  <c:v>0.01</c:v>
                </c:pt>
                <c:pt idx="2">
                  <c:v>101.35</c:v>
                </c:pt>
                <c:pt idx="3" formatCode="General">
                  <c:v>199.43</c:v>
                </c:pt>
                <c:pt idx="4" formatCode="General">
                  <c:v>349.36</c:v>
                </c:pt>
                <c:pt idx="5" formatCode="General">
                  <c:v>598.27</c:v>
                </c:pt>
              </c:numCache>
            </c:numRef>
          </c:xVal>
          <c:yVal>
            <c:numRef>
              <c:f>'BD Patron'!$F$104:$F$113</c:f>
              <c:numCache>
                <c:formatCode>0.000</c:formatCode>
                <c:ptCount val="10"/>
                <c:pt idx="0">
                  <c:v>-1.57</c:v>
                </c:pt>
                <c:pt idx="1">
                  <c:v>-0.59</c:v>
                </c:pt>
                <c:pt idx="2">
                  <c:v>0.15</c:v>
                </c:pt>
                <c:pt idx="3">
                  <c:v>-0.77</c:v>
                </c:pt>
                <c:pt idx="4">
                  <c:v>-0.14000000000000001</c:v>
                </c:pt>
                <c:pt idx="5">
                  <c:v>-0.75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95-4C17-B8ED-954E6717C502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5.0627095138356691E-2"/>
                  <c:y val="-0.29984402564433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Patron'!$H$95:$H$103</c:f>
              <c:numCache>
                <c:formatCode>0.00</c:formatCode>
                <c:ptCount val="9"/>
                <c:pt idx="0" formatCode="General">
                  <c:v>-30.04</c:v>
                </c:pt>
                <c:pt idx="1">
                  <c:v>-0.01</c:v>
                </c:pt>
                <c:pt idx="2">
                  <c:v>100.24</c:v>
                </c:pt>
                <c:pt idx="3" formatCode="General">
                  <c:v>199.69</c:v>
                </c:pt>
                <c:pt idx="4" formatCode="General">
                  <c:v>599.27</c:v>
                </c:pt>
                <c:pt idx="5" formatCode="General">
                  <c:v>0</c:v>
                </c:pt>
              </c:numCache>
            </c:numRef>
          </c:xVal>
          <c:yVal>
            <c:numRef>
              <c:f>'BD Patron'!$I$104:$I$113</c:f>
              <c:numCache>
                <c:formatCode>0.000</c:formatCode>
                <c:ptCount val="10"/>
                <c:pt idx="0">
                  <c:v>-1.6</c:v>
                </c:pt>
                <c:pt idx="1">
                  <c:v>-0.61</c:v>
                </c:pt>
                <c:pt idx="2">
                  <c:v>0.44</c:v>
                </c:pt>
                <c:pt idx="3">
                  <c:v>-0.17</c:v>
                </c:pt>
                <c:pt idx="4">
                  <c:v>-0.23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95-4C17-B8ED-954E6717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83856"/>
        <c:axId val="579985488"/>
      </c:scatterChart>
      <c:valAx>
        <c:axId val="57998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5488"/>
        <c:crosses val="autoZero"/>
        <c:crossBetween val="midCat"/>
      </c:valAx>
      <c:valAx>
        <c:axId val="57998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Corrección ultimos certificados NI-MCTP-T-36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4.5335868080729737E-2"/>
          <c:y val="0.20512987012987013"/>
          <c:w val="0.90691252592355287"/>
          <c:h val="0.75915584415584414"/>
        </c:manualLayout>
      </c:layout>
      <c:scatterChart>
        <c:scatterStyle val="lineMarker"/>
        <c:varyColors val="0"/>
        <c:ser>
          <c:idx val="1"/>
          <c:order val="0"/>
          <c:tx>
            <c:v>Corrección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208273617832033"/>
                  <c:y val="-0.13210527661315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Patron'!$E$114:$E$122</c:f>
              <c:numCache>
                <c:formatCode>0.0</c:formatCode>
                <c:ptCount val="9"/>
              </c:numCache>
            </c:numRef>
          </c:xVal>
          <c:yVal>
            <c:numRef>
              <c:f>'BD Patron'!$F$114:$F$122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93-43FE-9A07-2932BF2B2A34}"/>
            </c:ext>
          </c:extLst>
        </c:ser>
        <c:ser>
          <c:idx val="0"/>
          <c:order val="1"/>
          <c:tx>
            <c:strRef>
              <c:f>'BD Patron'!$I$31</c:f>
              <c:strCache>
                <c:ptCount val="1"/>
                <c:pt idx="0">
                  <c:v>Correccion.ant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5.0627095138356691E-2"/>
                  <c:y val="-0.29984402564433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</c:trendlineLbl>
          </c:trendline>
          <c:xVal>
            <c:numRef>
              <c:f>'BD Patron'!$H$114:$H$122</c:f>
              <c:numCache>
                <c:formatCode>0.0</c:formatCode>
                <c:ptCount val="9"/>
              </c:numCache>
            </c:numRef>
          </c:xVal>
          <c:yVal>
            <c:numRef>
              <c:f>'BD Patron'!$I$114:$I$122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93-43FE-9A07-2932BF2B2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84944"/>
        <c:axId val="726011632"/>
      </c:scatterChart>
      <c:valAx>
        <c:axId val="57998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726011632"/>
        <c:crosses val="autoZero"/>
        <c:crossBetween val="midCat"/>
      </c:valAx>
      <c:valAx>
        <c:axId val="7260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998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329366</xdr:colOff>
      <xdr:row>34</xdr:row>
      <xdr:rowOff>90333</xdr:rowOff>
    </xdr:from>
    <xdr:ext cx="948496" cy="473124"/>
    <xdr:pic>
      <xdr:nvPicPr>
        <xdr:cNvPr id="2" name="Picture 1">
          <a:extLst>
            <a:ext uri="{FF2B5EF4-FFF2-40B4-BE49-F238E27FC236}">
              <a16:creationId xmlns:a16="http://schemas.microsoft.com/office/drawing/2014/main" id="{B4D75929-4E59-4E0B-B3B6-86AC2593C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8406" y="6308253"/>
          <a:ext cx="948496" cy="473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197556</xdr:colOff>
      <xdr:row>26</xdr:row>
      <xdr:rowOff>169333</xdr:rowOff>
    </xdr:from>
    <xdr:ext cx="1733382" cy="1464491"/>
    <xdr:pic>
      <xdr:nvPicPr>
        <xdr:cNvPr id="2" name="Picture 1" descr="http://www.datadigitization.com/wp-content/uploads/2016/06/LinearInterpolation.png">
          <a:extLst>
            <a:ext uri="{FF2B5EF4-FFF2-40B4-BE49-F238E27FC236}">
              <a16:creationId xmlns:a16="http://schemas.microsoft.com/office/drawing/2014/main" id="{9C4E9F5B-ED94-4C6A-AEF4-0F72DE68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0756" y="4924213"/>
          <a:ext cx="1733382" cy="1464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338666</xdr:colOff>
      <xdr:row>33</xdr:row>
      <xdr:rowOff>141111</xdr:rowOff>
    </xdr:from>
    <xdr:to>
      <xdr:col>19</xdr:col>
      <xdr:colOff>244724</xdr:colOff>
      <xdr:row>35</xdr:row>
      <xdr:rowOff>111317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D0AB84-22AB-40AD-9654-BB8CF314B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01866" y="6176151"/>
          <a:ext cx="1125258" cy="335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304800" cy="301214"/>
    <xdr:sp macro="" textlink="">
      <xdr:nvSpPr>
        <xdr:cNvPr id="2" name="AutoShape 1" descr="{\ displaystyle P (x) _ () ^ () =}">
          <a:extLst>
            <a:ext uri="{FF2B5EF4-FFF2-40B4-BE49-F238E27FC236}">
              <a16:creationId xmlns:a16="http://schemas.microsoft.com/office/drawing/2014/main" id="{86A5B8F2-B8BC-46C6-97DE-CC996893BB09}"/>
            </a:ext>
          </a:extLst>
        </xdr:cNvPr>
        <xdr:cNvSpPr>
          <a:spLocks noChangeAspect="1" noChangeArrowheads="1"/>
        </xdr:cNvSpPr>
      </xdr:nvSpPr>
      <xdr:spPr bwMode="auto">
        <a:xfrm>
          <a:off x="4998720" y="182880"/>
          <a:ext cx="304800" cy="301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312420</xdr:colOff>
      <xdr:row>1</xdr:row>
      <xdr:rowOff>0</xdr:rowOff>
    </xdr:from>
    <xdr:ext cx="301336" cy="301214"/>
    <xdr:sp macro="" textlink="">
      <xdr:nvSpPr>
        <xdr:cNvPr id="3" name="AutoShape 2" descr="{\ displaystyle a_ (n) x ^ (n) + a_ (n-1) x ^ (n-1) + \ cdots + a_ (1) x ^ (1) + a_ (0) x ^ {0}. }">
          <a:extLst>
            <a:ext uri="{FF2B5EF4-FFF2-40B4-BE49-F238E27FC236}">
              <a16:creationId xmlns:a16="http://schemas.microsoft.com/office/drawing/2014/main" id="{5F67C183-F4D8-4D06-84E9-2CA44706A4AD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82880"/>
          <a:ext cx="301336" cy="301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441960</xdr:colOff>
      <xdr:row>0</xdr:row>
      <xdr:rowOff>121920</xdr:rowOff>
    </xdr:from>
    <xdr:ext cx="2871945" cy="236668"/>
    <xdr:pic>
      <xdr:nvPicPr>
        <xdr:cNvPr id="4" name="Picture 3">
          <a:extLst>
            <a:ext uri="{FF2B5EF4-FFF2-40B4-BE49-F238E27FC236}">
              <a16:creationId xmlns:a16="http://schemas.microsoft.com/office/drawing/2014/main" id="{BE0168B8-6F07-46F1-A7FA-F097EA9A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840" y="121920"/>
          <a:ext cx="2871945" cy="236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358140</xdr:colOff>
      <xdr:row>0</xdr:row>
      <xdr:rowOff>106680</xdr:rowOff>
    </xdr:from>
    <xdr:ext cx="2398934" cy="274768"/>
    <xdr:pic>
      <xdr:nvPicPr>
        <xdr:cNvPr id="5" name="Picture 4">
          <a:extLst>
            <a:ext uri="{FF2B5EF4-FFF2-40B4-BE49-F238E27FC236}">
              <a16:creationId xmlns:a16="http://schemas.microsoft.com/office/drawing/2014/main" id="{39355CCD-2E8E-4630-8659-F51465D7E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0" y="106680"/>
          <a:ext cx="2398934" cy="274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463435</xdr:colOff>
      <xdr:row>0</xdr:row>
      <xdr:rowOff>0</xdr:rowOff>
    </xdr:from>
    <xdr:ext cx="1209890" cy="563859"/>
    <xdr:pic>
      <xdr:nvPicPr>
        <xdr:cNvPr id="6" name="Picture 5">
          <a:extLst>
            <a:ext uri="{FF2B5EF4-FFF2-40B4-BE49-F238E27FC236}">
              <a16:creationId xmlns:a16="http://schemas.microsoft.com/office/drawing/2014/main" id="{CE61CA7C-DA72-4A62-959F-E2921B33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0875" y="0"/>
          <a:ext cx="1209890" cy="563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38838</xdr:colOff>
      <xdr:row>46</xdr:row>
      <xdr:rowOff>172720</xdr:rowOff>
    </xdr:from>
    <xdr:to>
      <xdr:col>17</xdr:col>
      <xdr:colOff>318686</xdr:colOff>
      <xdr:row>57</xdr:row>
      <xdr:rowOff>31380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C5569DE-2E27-47F3-A3F2-17CB571DA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58643</xdr:colOff>
      <xdr:row>57</xdr:row>
      <xdr:rowOff>81280</xdr:rowOff>
    </xdr:from>
    <xdr:to>
      <xdr:col>17</xdr:col>
      <xdr:colOff>338491</xdr:colOff>
      <xdr:row>67</xdr:row>
      <xdr:rowOff>142240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B54E435-B9EF-47E8-AE46-81D41B422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68803</xdr:colOff>
      <xdr:row>68</xdr:row>
      <xdr:rowOff>0</xdr:rowOff>
    </xdr:from>
    <xdr:to>
      <xdr:col>17</xdr:col>
      <xdr:colOff>348651</xdr:colOff>
      <xdr:row>79</xdr:row>
      <xdr:rowOff>101599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507B338-B625-4FDD-B35E-CCA31980D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48483</xdr:colOff>
      <xdr:row>79</xdr:row>
      <xdr:rowOff>173104</xdr:rowOff>
    </xdr:from>
    <xdr:to>
      <xdr:col>17</xdr:col>
      <xdr:colOff>328331</xdr:colOff>
      <xdr:row>100</xdr:row>
      <xdr:rowOff>182879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E635ED8F-F2AE-4868-BEC2-D8A9EB0FA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48998</xdr:colOff>
      <xdr:row>101</xdr:row>
      <xdr:rowOff>40641</xdr:rowOff>
    </xdr:from>
    <xdr:to>
      <xdr:col>17</xdr:col>
      <xdr:colOff>328846</xdr:colOff>
      <xdr:row>111</xdr:row>
      <xdr:rowOff>142241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9CC7D49D-8F58-4FFC-9799-A7B5194A0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58644</xdr:colOff>
      <xdr:row>111</xdr:row>
      <xdr:rowOff>162560</xdr:rowOff>
    </xdr:from>
    <xdr:to>
      <xdr:col>17</xdr:col>
      <xdr:colOff>338492</xdr:colOff>
      <xdr:row>122</xdr:row>
      <xdr:rowOff>162560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9389F06A-380C-41C4-ABB1-F0421B679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48998</xdr:colOff>
      <xdr:row>29</xdr:row>
      <xdr:rowOff>172720</xdr:rowOff>
    </xdr:from>
    <xdr:to>
      <xdr:col>17</xdr:col>
      <xdr:colOff>328846</xdr:colOff>
      <xdr:row>46</xdr:row>
      <xdr:rowOff>121920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5F8A3536-E32B-4594-9542-FBCB83F0A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355600</xdr:colOff>
      <xdr:row>29</xdr:row>
      <xdr:rowOff>142240</xdr:rowOff>
    </xdr:from>
    <xdr:to>
      <xdr:col>22</xdr:col>
      <xdr:colOff>229048</xdr:colOff>
      <xdr:row>46</xdr:row>
      <xdr:rowOff>132080</xdr:rowOff>
    </xdr:to>
    <xdr:graphicFrame macro="">
      <xdr:nvGraphicFramePr>
        <xdr:cNvPr id="9" name="Chart 11">
          <a:extLst>
            <a:ext uri="{FF2B5EF4-FFF2-40B4-BE49-F238E27FC236}">
              <a16:creationId xmlns:a16="http://schemas.microsoft.com/office/drawing/2014/main" id="{A9223D64-B599-467E-A4E0-32DEB7710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355600</xdr:colOff>
      <xdr:row>47</xdr:row>
      <xdr:rowOff>0</xdr:rowOff>
    </xdr:from>
    <xdr:to>
      <xdr:col>22</xdr:col>
      <xdr:colOff>229048</xdr:colOff>
      <xdr:row>57</xdr:row>
      <xdr:rowOff>20320</xdr:rowOff>
    </xdr:to>
    <xdr:graphicFrame macro="">
      <xdr:nvGraphicFramePr>
        <xdr:cNvPr id="10" name="Chart 13">
          <a:extLst>
            <a:ext uri="{FF2B5EF4-FFF2-40B4-BE49-F238E27FC236}">
              <a16:creationId xmlns:a16="http://schemas.microsoft.com/office/drawing/2014/main" id="{DC80708B-1F8B-4943-8814-D41DF6299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365760</xdr:colOff>
      <xdr:row>57</xdr:row>
      <xdr:rowOff>71120</xdr:rowOff>
    </xdr:from>
    <xdr:to>
      <xdr:col>22</xdr:col>
      <xdr:colOff>213360</xdr:colOff>
      <xdr:row>67</xdr:row>
      <xdr:rowOff>162560</xdr:rowOff>
    </xdr:to>
    <xdr:graphicFrame macro="">
      <xdr:nvGraphicFramePr>
        <xdr:cNvPr id="11" name="Chart 14">
          <a:extLst>
            <a:ext uri="{FF2B5EF4-FFF2-40B4-BE49-F238E27FC236}">
              <a16:creationId xmlns:a16="http://schemas.microsoft.com/office/drawing/2014/main" id="{32C9CA0E-A7AF-484C-B224-C007F5B5C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0</xdr:colOff>
      <xdr:row>68</xdr:row>
      <xdr:rowOff>0</xdr:rowOff>
    </xdr:from>
    <xdr:to>
      <xdr:col>22</xdr:col>
      <xdr:colOff>233680</xdr:colOff>
      <xdr:row>79</xdr:row>
      <xdr:rowOff>121920</xdr:rowOff>
    </xdr:to>
    <xdr:graphicFrame macro="">
      <xdr:nvGraphicFramePr>
        <xdr:cNvPr id="12" name="Chart 15">
          <a:extLst>
            <a:ext uri="{FF2B5EF4-FFF2-40B4-BE49-F238E27FC236}">
              <a16:creationId xmlns:a16="http://schemas.microsoft.com/office/drawing/2014/main" id="{63DE3C2B-2915-4A64-9B1B-993ED0B98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79</xdr:row>
      <xdr:rowOff>152400</xdr:rowOff>
    </xdr:from>
    <xdr:to>
      <xdr:col>22</xdr:col>
      <xdr:colOff>233680</xdr:colOff>
      <xdr:row>101</xdr:row>
      <xdr:rowOff>0</xdr:rowOff>
    </xdr:to>
    <xdr:graphicFrame macro="">
      <xdr:nvGraphicFramePr>
        <xdr:cNvPr id="13" name="Chart 16">
          <a:extLst>
            <a:ext uri="{FF2B5EF4-FFF2-40B4-BE49-F238E27FC236}">
              <a16:creationId xmlns:a16="http://schemas.microsoft.com/office/drawing/2014/main" id="{33F2F792-49C4-4CC1-8885-E72EFBFFB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0</xdr:colOff>
      <xdr:row>101</xdr:row>
      <xdr:rowOff>0</xdr:rowOff>
    </xdr:from>
    <xdr:to>
      <xdr:col>22</xdr:col>
      <xdr:colOff>233680</xdr:colOff>
      <xdr:row>112</xdr:row>
      <xdr:rowOff>0</xdr:rowOff>
    </xdr:to>
    <xdr:graphicFrame macro="">
      <xdr:nvGraphicFramePr>
        <xdr:cNvPr id="14" name="Chart 17">
          <a:extLst>
            <a:ext uri="{FF2B5EF4-FFF2-40B4-BE49-F238E27FC236}">
              <a16:creationId xmlns:a16="http://schemas.microsoft.com/office/drawing/2014/main" id="{70B41C43-1575-4A32-A83B-6AF96D3AB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112</xdr:row>
      <xdr:rowOff>0</xdr:rowOff>
    </xdr:from>
    <xdr:to>
      <xdr:col>22</xdr:col>
      <xdr:colOff>233680</xdr:colOff>
      <xdr:row>122</xdr:row>
      <xdr:rowOff>172720</xdr:rowOff>
    </xdr:to>
    <xdr:graphicFrame macro="">
      <xdr:nvGraphicFramePr>
        <xdr:cNvPr id="15" name="Chart 18">
          <a:extLst>
            <a:ext uri="{FF2B5EF4-FFF2-40B4-BE49-F238E27FC236}">
              <a16:creationId xmlns:a16="http://schemas.microsoft.com/office/drawing/2014/main" id="{A305EE43-4954-4117-8CB1-6E2CFE187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SI%20GF63/Downloads/NI-R02-MCIT-T-01%20%20Procesamiento%20de%20datos%20calibracion%20termometros%20NI-MCPT-37(Pozo%20Seco%209171)%202023-02-07%20(1).xlsx" TargetMode="External"/><Relationship Id="rId1" Type="http://schemas.openxmlformats.org/officeDocument/2006/relationships/externalLinkPath" Target="/Users/MSI%20GF63/Downloads/NI-R02-MCIT-T-01%20%20Procesamiento%20de%20datos%20calibracion%20termometros%20NI-MCPT-37(Pozo%20Seco%209171)%202023-02-07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GCMETROCAL\Metrocal\Moi\Consultores%20Med%20Nic%20ISO%2017025\SG%20instructivos%20formas\Instructivos%20calibracion%20correccion%20NC\Termometros\Versiones%20instruccion\NI-R02-MCIT-T-01%20%20Procesamiento%20de%20datos%20calibracion%20termometros%20deriva.xlsx?6F2C6BBD" TargetMode="External"/><Relationship Id="rId1" Type="http://schemas.openxmlformats.org/officeDocument/2006/relationships/externalLinkPath" Target="file:///\\6F2C6BBD\NI-R02-MCIT-T-01%20%20Procesamiento%20de%20datos%20calibracion%20termometros%20deriv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GCMETROCAL\Metrocal\Moi\Consultores%20Med%20Nic%20ISO%2017025\SG%20instructivos%20formas\Instructivos%20calibracion%20correccion%20NC\Balanzas\Versiones%20instruccion\NI-R02-MCIT-B-01%20Procesamiento%20de%20datos%20de%20equipos%20de%20pesaje%20v3%20161117.xlsx?13E905C9" TargetMode="External"/><Relationship Id="rId1" Type="http://schemas.openxmlformats.org/officeDocument/2006/relationships/externalLinkPath" Target="file:///\\13E905C9\NI-R02-MCIT-B-01%20Procesamiento%20de%20datos%20de%20equipos%20de%20pesaje%20v3%2016111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GCMETROCAL\Metrocal\Moi\Consultores%20Med%20Nic%20ISO%2017025\SG%20instructivos%20formas\Instructivos%20calibracion%20correccion%20NC\Termometros\NI-R02-MCIT-T-01%20Hoja%20electr&#243;nica%20para%20procesamiento%20de%20datos%20de%20term&#243;metros%20v2%20Septiembre%202017%20-%20CC-C.xlsx?04DE71E3" TargetMode="External"/><Relationship Id="rId1" Type="http://schemas.openxmlformats.org/officeDocument/2006/relationships/externalLinkPath" Target="file:///\\04DE71E3\NI-R02-MCIT-T-01%20Hoja%20electr&#243;nica%20para%20procesamiento%20de%20datos%20de%20term&#243;metros%20v2%20Septiembre%202017%20-%20CC-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uarios &amp; Privilegios"/>
      <sheetName val="Home"/>
      <sheetName val="NI-R01-MCIT-T-01"/>
      <sheetName val="General"/>
      <sheetName val="Calibración"/>
      <sheetName val="kU(E)"/>
      <sheetName val="Datos Etiqueta"/>
      <sheetName val="DA °C (3 ptos)"/>
      <sheetName val="DA Unidad-K (5 ptos)"/>
      <sheetName val="DA Unidad-ºC (5 ptos)"/>
      <sheetName val="FA °C (3 ptos)"/>
      <sheetName val="CMC"/>
      <sheetName val="BD Patron"/>
      <sheetName val="BD Clientes"/>
      <sheetName val="NI-R02-MCIT-T-01  Procesamiento"/>
    </sheetNames>
    <sheetDataSet>
      <sheetData sheetId="0"/>
      <sheetData sheetId="1"/>
      <sheetData sheetId="2"/>
      <sheetData sheetId="3">
        <row r="3">
          <cell r="F3" t="str">
            <v>NI-MC-T-1325-2023</v>
          </cell>
        </row>
        <row r="5">
          <cell r="F5">
            <v>44964</v>
          </cell>
        </row>
        <row r="6">
          <cell r="F6" t="str">
            <v>T I-OP-FISHER-002</v>
          </cell>
        </row>
        <row r="7">
          <cell r="F7" t="str">
            <v>Termómetro Analógico</v>
          </cell>
        </row>
        <row r="8">
          <cell r="I8">
            <v>23.3</v>
          </cell>
        </row>
        <row r="9">
          <cell r="I9">
            <v>0.42</v>
          </cell>
        </row>
        <row r="11">
          <cell r="F11" t="str">
            <v>-25 °C a 150 °C</v>
          </cell>
        </row>
        <row r="13">
          <cell r="I13">
            <v>57</v>
          </cell>
        </row>
        <row r="14">
          <cell r="I14">
            <v>1.3</v>
          </cell>
        </row>
      </sheetData>
      <sheetData sheetId="4">
        <row r="4">
          <cell r="P4">
            <v>2.5000000000000001E-2</v>
          </cell>
        </row>
        <row r="5">
          <cell r="F5">
            <v>0.2</v>
          </cell>
        </row>
        <row r="6">
          <cell r="J6">
            <v>1E-3</v>
          </cell>
        </row>
        <row r="7">
          <cell r="E7">
            <v>0</v>
          </cell>
          <cell r="F7" t="str">
            <v>°C</v>
          </cell>
        </row>
        <row r="9">
          <cell r="F9">
            <v>1</v>
          </cell>
        </row>
        <row r="10">
          <cell r="Q10">
            <v>2.0615528128088305E-2</v>
          </cell>
        </row>
        <row r="40">
          <cell r="P40">
            <v>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Calibración"/>
      <sheetName val="kU(E)"/>
      <sheetName val="Datos Etiqueta"/>
      <sheetName val="DA °C (3 ptos)"/>
      <sheetName val="FA °C (3 ptos)"/>
      <sheetName val="DA Unidad-K (5 ptos)"/>
      <sheetName val="BD Patron"/>
      <sheetName val="CMC"/>
      <sheetName val="BD Clientes"/>
      <sheetName val="NI-R02-MCIT-T-01  Procesamiento"/>
    </sheetNames>
    <sheetDataSet>
      <sheetData sheetId="0" refreshError="1">
        <row r="8">
          <cell r="I8">
            <v>11</v>
          </cell>
        </row>
        <row r="9">
          <cell r="I9">
            <v>0.5</v>
          </cell>
        </row>
        <row r="11">
          <cell r="F11" t="str">
            <v>-25 °C a 150 °C</v>
          </cell>
        </row>
        <row r="13">
          <cell r="I13">
            <v>50</v>
          </cell>
        </row>
        <row r="14">
          <cell r="I14">
            <v>2.6</v>
          </cell>
        </row>
      </sheetData>
      <sheetData sheetId="1" refreshError="1">
        <row r="4">
          <cell r="P4">
            <v>2.5000000000000001E-2</v>
          </cell>
        </row>
        <row r="5">
          <cell r="F5">
            <v>1</v>
          </cell>
        </row>
        <row r="6">
          <cell r="J6">
            <v>1E-3</v>
          </cell>
        </row>
        <row r="7">
          <cell r="E7">
            <v>0</v>
          </cell>
          <cell r="F7" t="str">
            <v>°C</v>
          </cell>
        </row>
        <row r="9">
          <cell r="F9">
            <v>0</v>
          </cell>
        </row>
        <row r="10">
          <cell r="Q10">
            <v>3.3965668941839888E-2</v>
          </cell>
        </row>
        <row r="40">
          <cell r="P40">
            <v>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Calibración"/>
      <sheetName val="kU(E)"/>
      <sheetName val="Etiqueta"/>
      <sheetName val="+ONA_kg"/>
      <sheetName val="+ONA_kg&amp;lb"/>
      <sheetName val="-ONA_kg "/>
      <sheetName val="&lt;200kg intercomp"/>
      <sheetName val="BD Patron"/>
      <sheetName val="BD Clientes"/>
      <sheetName val="patrones cal"/>
    </sheetNames>
    <sheetDataSet>
      <sheetData sheetId="0"/>
      <sheetData sheetId="1">
        <row r="2">
          <cell r="C2" t="str">
            <v>kg</v>
          </cell>
        </row>
        <row r="5">
          <cell r="M5" t="str">
            <v>NI-MCPM-JM-02 (20mg)</v>
          </cell>
          <cell r="R5" t="str">
            <v>NI-MCPM-JM-03 (1g ZA57A)</v>
          </cell>
          <cell r="W5" t="str">
            <v>NI-MCPM-2-01 (2 000g)</v>
          </cell>
          <cell r="AB5" t="str">
            <v>NI-MCPM-20-22 (20kg)</v>
          </cell>
        </row>
        <row r="6">
          <cell r="M6" t="str">
            <v>NI-MCPM-JM-02 (500mg)</v>
          </cell>
        </row>
        <row r="23">
          <cell r="C23" t="str">
            <v>kg</v>
          </cell>
        </row>
        <row r="28">
          <cell r="G28">
            <v>0</v>
          </cell>
        </row>
        <row r="34">
          <cell r="C34">
            <v>0</v>
          </cell>
        </row>
        <row r="35">
          <cell r="C35">
            <v>5.2004160000000005E-4</v>
          </cell>
        </row>
        <row r="36">
          <cell r="C36">
            <v>1.000026E-3</v>
          </cell>
        </row>
        <row r="37">
          <cell r="C37">
            <v>2.0000490000000002</v>
          </cell>
        </row>
        <row r="38">
          <cell r="C38">
            <v>20.000011999999998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54">
          <cell r="C5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6">
          <cell r="AM16">
            <v>20</v>
          </cell>
          <cell r="AN16">
            <v>15</v>
          </cell>
          <cell r="AO16">
            <v>10</v>
          </cell>
          <cell r="AP16">
            <v>7</v>
          </cell>
          <cell r="AQ16">
            <v>5</v>
          </cell>
          <cell r="AR16">
            <v>3</v>
          </cell>
          <cell r="AS16">
            <v>2</v>
          </cell>
          <cell r="AT16">
            <v>1</v>
          </cell>
        </row>
        <row r="17">
          <cell r="AL17">
            <v>10</v>
          </cell>
          <cell r="AM17">
            <v>0.08</v>
          </cell>
          <cell r="AN17">
            <v>0.06</v>
          </cell>
          <cell r="AO17">
            <v>0.05</v>
          </cell>
          <cell r="AP17">
            <v>0.03</v>
          </cell>
          <cell r="AQ17">
            <v>0.03</v>
          </cell>
          <cell r="AR17">
            <v>0.02</v>
          </cell>
          <cell r="AS17">
            <v>0.01</v>
          </cell>
          <cell r="AT17">
            <v>0.01</v>
          </cell>
        </row>
        <row r="18">
          <cell r="AL18">
            <v>20</v>
          </cell>
          <cell r="AM18">
            <v>0.14000000000000001</v>
          </cell>
          <cell r="AN18">
            <v>0.11</v>
          </cell>
          <cell r="AO18">
            <v>0.08</v>
          </cell>
          <cell r="AP18">
            <v>0.06</v>
          </cell>
          <cell r="AQ18">
            <v>0.05</v>
          </cell>
          <cell r="AR18">
            <v>0.03</v>
          </cell>
          <cell r="AS18">
            <v>0.02</v>
          </cell>
          <cell r="AT18">
            <v>0.01</v>
          </cell>
        </row>
        <row r="19">
          <cell r="AL19">
            <v>50</v>
          </cell>
          <cell r="AM19">
            <v>0.28999999999999998</v>
          </cell>
          <cell r="AN19">
            <v>0.23</v>
          </cell>
          <cell r="AO19">
            <v>0.17</v>
          </cell>
          <cell r="AP19">
            <v>0.12</v>
          </cell>
          <cell r="AQ19">
            <v>0.09</v>
          </cell>
          <cell r="AR19">
            <v>0.06</v>
          </cell>
          <cell r="AS19">
            <v>0.05</v>
          </cell>
          <cell r="AT19">
            <v>0.03</v>
          </cell>
        </row>
        <row r="20">
          <cell r="AL20">
            <v>100</v>
          </cell>
          <cell r="AM20">
            <v>0.51</v>
          </cell>
          <cell r="AN20">
            <v>0.4</v>
          </cell>
          <cell r="AO20">
            <v>0.28999999999999998</v>
          </cell>
          <cell r="AP20">
            <v>0.22</v>
          </cell>
          <cell r="AQ20">
            <v>0.17</v>
          </cell>
          <cell r="AR20">
            <v>0.11</v>
          </cell>
          <cell r="AS20">
            <v>0.08</v>
          </cell>
          <cell r="AT20">
            <v>0.05</v>
          </cell>
        </row>
        <row r="21">
          <cell r="AL21">
            <v>200</v>
          </cell>
          <cell r="AM21">
            <v>0.91</v>
          </cell>
          <cell r="AN21">
            <v>0.72</v>
          </cell>
          <cell r="AO21">
            <v>0.51</v>
          </cell>
          <cell r="AP21">
            <v>0.38</v>
          </cell>
          <cell r="AQ21">
            <v>0.28999999999999998</v>
          </cell>
          <cell r="AR21">
            <v>0.19</v>
          </cell>
          <cell r="AS21">
            <v>0.14000000000000001</v>
          </cell>
          <cell r="AT21">
            <v>0.08</v>
          </cell>
        </row>
        <row r="22">
          <cell r="AL22">
            <v>500</v>
          </cell>
          <cell r="AM22">
            <v>1.96</v>
          </cell>
          <cell r="AN22">
            <v>1.54</v>
          </cell>
          <cell r="AO22">
            <v>1.0900000000000001</v>
          </cell>
          <cell r="AP22">
            <v>0.81</v>
          </cell>
          <cell r="AQ22">
            <v>0.61</v>
          </cell>
          <cell r="AR22">
            <v>0.4</v>
          </cell>
          <cell r="AS22">
            <v>0.28999999999999998</v>
          </cell>
          <cell r="AT22">
            <v>0.17</v>
          </cell>
        </row>
        <row r="23">
          <cell r="AL23">
            <v>1000</v>
          </cell>
          <cell r="AM23">
            <v>3.53</v>
          </cell>
          <cell r="AN23">
            <v>2.76</v>
          </cell>
          <cell r="AO23">
            <v>1.96</v>
          </cell>
          <cell r="AP23">
            <v>1.45</v>
          </cell>
          <cell r="AQ23">
            <v>1.0900000000000001</v>
          </cell>
          <cell r="AR23">
            <v>0.72</v>
          </cell>
          <cell r="AS23">
            <v>0.51</v>
          </cell>
          <cell r="AT23">
            <v>0.28999999999999998</v>
          </cell>
        </row>
        <row r="24">
          <cell r="AL24">
            <v>2000</v>
          </cell>
          <cell r="AM24">
            <v>6.42</v>
          </cell>
          <cell r="AN24">
            <v>5.01</v>
          </cell>
          <cell r="AO24">
            <v>3.53</v>
          </cell>
          <cell r="AP24">
            <v>2.61</v>
          </cell>
          <cell r="AQ24">
            <v>1.96</v>
          </cell>
          <cell r="AR24">
            <v>1.27</v>
          </cell>
          <cell r="AS24">
            <v>0.91</v>
          </cell>
          <cell r="AT24">
            <v>0.51</v>
          </cell>
        </row>
        <row r="25">
          <cell r="AL25">
            <v>5000</v>
          </cell>
          <cell r="AM25">
            <v>14.3</v>
          </cell>
          <cell r="AN25">
            <v>11.1</v>
          </cell>
          <cell r="AO25">
            <v>7.79</v>
          </cell>
          <cell r="AP25">
            <v>5.72</v>
          </cell>
          <cell r="AQ25">
            <v>4.28</v>
          </cell>
          <cell r="AR25">
            <v>2.76</v>
          </cell>
          <cell r="AS25">
            <v>1.96</v>
          </cell>
          <cell r="AT25">
            <v>1.0900000000000001</v>
          </cell>
        </row>
        <row r="26">
          <cell r="AL26">
            <v>10000</v>
          </cell>
          <cell r="AM26">
            <v>26.43</v>
          </cell>
          <cell r="AN26">
            <v>20.47</v>
          </cell>
          <cell r="AO26">
            <v>14.3</v>
          </cell>
          <cell r="AP26">
            <v>10.45</v>
          </cell>
          <cell r="AQ26">
            <v>7.79</v>
          </cell>
          <cell r="AR26">
            <v>5.01</v>
          </cell>
          <cell r="AS26">
            <v>3.53</v>
          </cell>
          <cell r="AT26">
            <v>1.96</v>
          </cell>
        </row>
        <row r="27">
          <cell r="AL27">
            <v>20000</v>
          </cell>
          <cell r="AM27">
            <v>49.23</v>
          </cell>
          <cell r="AN27">
            <v>38</v>
          </cell>
          <cell r="AO27">
            <v>26.43</v>
          </cell>
          <cell r="AP27">
            <v>19.25</v>
          </cell>
          <cell r="AQ27">
            <v>14.3</v>
          </cell>
          <cell r="AR27">
            <v>9.14</v>
          </cell>
          <cell r="AS27">
            <v>6.42</v>
          </cell>
          <cell r="AT27">
            <v>3.53</v>
          </cell>
        </row>
        <row r="28">
          <cell r="AL28">
            <v>50000</v>
          </cell>
          <cell r="AM28">
            <v>113.23</v>
          </cell>
          <cell r="AN28">
            <v>87.06</v>
          </cell>
          <cell r="AO28">
            <v>60.23</v>
          </cell>
          <cell r="AP28">
            <v>43.65</v>
          </cell>
          <cell r="AQ28">
            <v>32.270000000000003</v>
          </cell>
          <cell r="AR28">
            <v>20.47</v>
          </cell>
          <cell r="AS28">
            <v>14.3</v>
          </cell>
          <cell r="AT28">
            <v>7.79</v>
          </cell>
        </row>
      </sheetData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Generales"/>
      <sheetName val="Entrada de Datos"/>
      <sheetName val="Salida de Datos"/>
      <sheetName val="DA °C (3 ptos)"/>
      <sheetName val="FA °C (3 ptos)"/>
      <sheetName val="DA Unidad-K (5 ptos)"/>
      <sheetName val="Datos de patrones"/>
      <sheetName val="Datos Etiqueta"/>
      <sheetName val="Base de datos clientes"/>
    </sheetNames>
    <sheetDataSet>
      <sheetData sheetId="0" refreshError="1"/>
      <sheetData sheetId="1" refreshError="1"/>
      <sheetData sheetId="2" refreshError="1"/>
      <sheetData sheetId="3" refreshError="1">
        <row r="8">
          <cell r="F8" t="str">
            <v>La corrección corresponde al valor del patrón menos las indicación del equipo.</v>
          </cell>
        </row>
        <row r="9">
          <cell r="F9" t="str">
            <v>La indicación de temperatura de referencia y del equipo, corresponden al promedio de 3 mediciones .</v>
          </cell>
        </row>
        <row r="10">
          <cell r="F10" t="str">
            <v>El factor de conversión al SI corresponde a T(K) = t(°C) + 273,15</v>
          </cell>
        </row>
        <row r="11">
          <cell r="F11" t="str">
            <v>De acuerdo a lo establecido en NTON 07-004-01 Norma Metrológica del Sistema Internacional de Unidades (SI).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GenDoc" displayName="tblGenDoc" ref="B2:C10" totalsRowShown="0" headerRowDxfId="117" dataDxfId="116">
  <tableColumns count="2">
    <tableColumn id="1" xr3:uid="{00000000-0010-0000-0000-000001000000}" name="Hoja de cálculo" dataDxfId="115"/>
    <tableColumn id="2" xr3:uid="{00000000-0010-0000-0000-000002000000}" name="Detalles" dataDxfId="114"/>
  </tableColumns>
  <tableStyleInfo name="TableStyleLight13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GenTermometroCert" displayName="tblGenTermometroCert" ref="E2:F13" totalsRowShown="0" headerRowDxfId="113" dataDxfId="112">
  <tableColumns count="2">
    <tableColumn id="1" xr3:uid="{00000000-0010-0000-0100-000001000000}" name="Certificado Balanza" dataDxfId="111"/>
    <tableColumn id="2" xr3:uid="{00000000-0010-0000-0100-000002000000}" name="Detalles" dataDxfId="110"/>
  </tableColumns>
  <tableStyleInfo name="TableStyleLight1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mbiente" displayName="tblAmbiente" ref="H2:I19" totalsRowShown="0" headerRowDxfId="109" dataDxfId="108">
  <tableColumns count="2">
    <tableColumn id="1" xr3:uid="{00000000-0010-0000-0200-000001000000}" name="Condiciones ambientales" dataDxfId="107"/>
    <tableColumn id="2" xr3:uid="{00000000-0010-0000-0200-000002000000}" name="Detalles" dataDxfId="106"/>
  </tableColumns>
  <tableStyleInfo name="TableStyleLight13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liente" displayName="tblCliente" ref="K2:L6" totalsRowShown="0" headerRowDxfId="105" dataDxfId="104">
  <tableColumns count="2">
    <tableColumn id="1" xr3:uid="{00000000-0010-0000-0300-000001000000}" name="Cliente" dataDxfId="103"/>
    <tableColumn id="2" xr3:uid="{00000000-0010-0000-0300-000002000000}" name="Detalles" dataDxfId="102"/>
  </tableColumns>
  <tableStyleInfo name="TableStyleLight13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Ucomun10" displayName="tblUcomun10" ref="B22:P31" totalsRowCount="1" headerRowDxfId="101" dataDxfId="99" totalsRowDxfId="97" headerRowBorderDxfId="100" tableBorderDxfId="98" totalsRowBorderDxfId="96">
  <tableColumns count="15">
    <tableColumn id="1" xr3:uid="{00000000-0010-0000-0400-000001000000}" name="Fuente de incertidumbre" totalsRowLabel="Contribuciones incert. combinada" dataDxfId="95" totalsRowDxfId="94"/>
    <tableColumn id="2" xr3:uid="{00000000-0010-0000-0400-000002000000}" name="Símbolo" dataDxfId="93" totalsRowDxfId="92"/>
    <tableColumn id="14" xr3:uid="{00000000-0010-0000-0400-00000E000000}" name="Distrib." dataDxfId="91" totalsRowDxfId="90"/>
    <tableColumn id="15" xr3:uid="{00000000-0010-0000-0400-00000F000000}" name="Divisor" dataDxfId="89" totalsRowDxfId="88"/>
    <tableColumn id="16" xr3:uid="{00000000-0010-0000-0400-000010000000}" name="Coef. ci" dataDxfId="87" totalsRowDxfId="86"/>
    <tableColumn id="4" xr3:uid="{00000000-0010-0000-0400-000004000000}" name="p1 (%)" totalsRowFunction="sum" dataDxfId="85" totalsRowDxfId="84">
      <calculatedColumnFormula array="1">IFERROR(ABS(G9)/SUM(ABS('kU(E)'!$G$9:$G$16)),0)</calculatedColumnFormula>
    </tableColumn>
    <tableColumn id="5" xr3:uid="{00000000-0010-0000-0400-000005000000}" name="p2 (%)" totalsRowFunction="sum" dataDxfId="83" totalsRowDxfId="82">
      <calculatedColumnFormula array="1">IFERROR(ABS(H9)/SUM(ABS('kU(E)'!$H$9:$H$16)),0)</calculatedColumnFormula>
    </tableColumn>
    <tableColumn id="6" xr3:uid="{00000000-0010-0000-0400-000006000000}" name="p3 (%)" totalsRowFunction="sum" dataDxfId="81" totalsRowDxfId="80">
      <calculatedColumnFormula array="1">IFERROR(ABS(I9)/SUM(ABS('kU(E)'!$I$9:$I$16)),0)</calculatedColumnFormula>
    </tableColumn>
    <tableColumn id="7" xr3:uid="{00000000-0010-0000-0400-000007000000}" name="p4 (%)" totalsRowFunction="sum" dataDxfId="79" totalsRowDxfId="78">
      <calculatedColumnFormula array="1">IFERROR(ABS(J9)/SUM(ABS('kU(E)'!$J$9:$J$16)),0)</calculatedColumnFormula>
    </tableColumn>
    <tableColumn id="8" xr3:uid="{00000000-0010-0000-0400-000008000000}" name="p5 (%)" totalsRowFunction="sum" dataDxfId="77" totalsRowDxfId="76">
      <calculatedColumnFormula array="1">IFERROR(ABS(K9)/SUM(ABS('kU(E)'!$K$9:$K$16)),0)</calculatedColumnFormula>
    </tableColumn>
    <tableColumn id="9" xr3:uid="{00000000-0010-0000-0400-000009000000}" name="p6 (%)" totalsRowFunction="sum" dataDxfId="75" totalsRowDxfId="74">
      <calculatedColumnFormula array="1">IFERROR(ABS(L9)/SUM(ABS('kU(E)'!$L$9:$L$16)),0)</calculatedColumnFormula>
    </tableColumn>
    <tableColumn id="10" xr3:uid="{00000000-0010-0000-0400-00000A000000}" name="p7 (%)" totalsRowFunction="sum" dataDxfId="73" totalsRowDxfId="72">
      <calculatedColumnFormula array="1">IFERROR(ABS(M9)/SUM(ABS('kU(E)'!$M$9:$M$16)),0)</calculatedColumnFormula>
    </tableColumn>
    <tableColumn id="11" xr3:uid="{00000000-0010-0000-0400-00000B000000}" name="p8 (%)" totalsRowFunction="sum" dataDxfId="71" totalsRowDxfId="70">
      <calculatedColumnFormula array="1">IFERROR(ABS(N9)/SUM(ABS('kU(E)'!$N$9:$N$16)),0)</calculatedColumnFormula>
    </tableColumn>
    <tableColumn id="12" xr3:uid="{00000000-0010-0000-0400-00000C000000}" name="p9 (%)" totalsRowFunction="sum" dataDxfId="69" totalsRowDxfId="68">
      <calculatedColumnFormula array="1">IFERROR(ABS(O9)/SUM(ABS('kU(E)'!$O$9:$O$16)),0)</calculatedColumnFormula>
    </tableColumn>
    <tableColumn id="13" xr3:uid="{00000000-0010-0000-0400-00000D000000}" name="p10 (%)" totalsRowFunction="sum" dataDxfId="67" totalsRowDxfId="66">
      <calculatedColumnFormula>IFERROR(ABS(P9)/SUM(ABS('kU(E)'!$P12)),0)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blResultCalib" displayName="tblResultCalib" ref="M14:V24" totalsRowShown="0" headerRowDxfId="65" dataDxfId="63" headerRowBorderDxfId="64" tableBorderDxfId="62" totalsRowBorderDxfId="61">
  <tableColumns count="10">
    <tableColumn id="1" xr3:uid="{00000000-0010-0000-0500-000001000000}" name="#" dataDxfId="60"/>
    <tableColumn id="2" xr3:uid="{00000000-0010-0000-0500-000002000000}" name="Promedio Patrón" dataDxfId="59">
      <calculatedColumnFormula>IFERROR(AVERAGE(C15,E15,G15),"")</calculatedColumnFormula>
    </tableColumn>
    <tableColumn id="3" xr3:uid="{00000000-0010-0000-0500-000003000000}" name="Corrección patrón" dataDxfId="58">
      <calculatedColumnFormula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calculatedColumnFormula>
    </tableColumn>
    <tableColumn id="5" xr3:uid="{00000000-0010-0000-0500-000005000000}" name="Patrón corregido" dataDxfId="57">
      <calculatedColumnFormula>IFERROR(tblResultCalib[[#This Row],[Promedio Patrón]]+tblResultCalib[[#This Row],[Corrección patrón]],"")</calculatedColumnFormula>
    </tableColumn>
    <tableColumn id="6" xr3:uid="{00000000-0010-0000-0500-000006000000}" name="Promedio equipo" dataDxfId="56">
      <calculatedColumnFormula>IFERROR(J15,"")</calculatedColumnFormula>
    </tableColumn>
    <tableColumn id="7" xr3:uid="{00000000-0010-0000-0500-000007000000}" name="Corrección de medición" dataDxfId="55">
      <calculatedColumnFormula>IFERROR(tblResultCalib[[#This Row],[Patrón corregido]]-tblResultCalib[[#This Row],[Promedio equipo]],"")</calculatedColumnFormula>
    </tableColumn>
    <tableColumn id="8" xr3:uid="{00000000-0010-0000-0500-000008000000}" name="Incertid. patrón" dataDxfId="54">
      <calculatedColumnFormula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calculatedColumnFormula>
    </tableColumn>
    <tableColumn id="9" xr3:uid="{00000000-0010-0000-0500-000009000000}" name="Deriva patrón" dataDxfId="53">
      <calculatedColumnFormula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calculatedColumnFormula>
    </tableColumn>
    <tableColumn id="10" xr3:uid="{00000000-0010-0000-0500-00000A000000}" name="Exactitud cond.termicas 1er. Patron" dataDxfId="52">
      <calculatedColumnFormula>IFERROR(ABS(IF(OR(CertTempC&lt;Calibración!$U$9,CertTempC&gt;Calibración!$V$9),tblResultCalib[[#This Row],[Promedio Patrón]]*Calibración!$W$9/100+Calibración!$X$9,0)),"")</calculatedColumnFormula>
    </tableColumn>
    <tableColumn id="11" xr3:uid="{00000000-0010-0000-0500-00000B000000}" name="Exactitud cond.termicas 2do. Patron" dataDxfId="51">
      <calculatedColumnFormula>IFERROR(ABS(IF(OR(CertTempC&lt;Calibración!$U$10,CertTempC&gt;Calibración!$V$10),tblResultCalib[[#This Row],[Promedio Patrón]]*Calibración!$W$10/100+Calibración!$X$10,0)),"")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blBD_PatronTerm" displayName="tblBD_PatronTerm" ref="B14:U24" totalsRowShown="0" headerRowDxfId="50" dataDxfId="48" headerRowBorderDxfId="49" tableBorderDxfId="47">
  <tableColumns count="20">
    <tableColumn id="1" xr3:uid="{00000000-0010-0000-0600-000001000000}" name="#" dataDxfId="46"/>
    <tableColumn id="2" xr3:uid="{00000000-0010-0000-0600-000002000000}" name="Código Patrón" dataDxfId="45"/>
    <tableColumn id="3" xr3:uid="{00000000-0010-0000-0600-000003000000}" name="Nombre" dataDxfId="44"/>
    <tableColumn id="4" xr3:uid="{00000000-0010-0000-0600-000004000000}" name="Marca" dataDxfId="43"/>
    <tableColumn id="5" xr3:uid="{00000000-0010-0000-0600-000005000000}" name="Modelo" dataDxfId="42"/>
    <tableColumn id="6" xr3:uid="{00000000-0010-0000-0600-000006000000}" name="Tipo" dataDxfId="41"/>
    <tableColumn id="7" xr3:uid="{00000000-0010-0000-0600-000007000000}" name="t min." dataDxfId="40"/>
    <tableColumn id="8" xr3:uid="{00000000-0010-0000-0600-000008000000}" name="t max." dataDxfId="39"/>
    <tableColumn id="9" xr3:uid="{00000000-0010-0000-0600-000009000000}" name="min." dataDxfId="38"/>
    <tableColumn id="10" xr3:uid="{00000000-0010-0000-0600-00000A000000}" name="max." dataDxfId="37"/>
    <tableColumn id="16" xr3:uid="{00000000-0010-0000-0600-000010000000}" name="t min. ±" dataDxfId="36"/>
    <tableColumn id="13" xr3:uid="{00000000-0010-0000-0600-00000D000000}" name="t max. ±" dataDxfId="35"/>
    <tableColumn id="14" xr3:uid="{00000000-0010-0000-0600-00000E000000}" name="Resolución" dataDxfId="34"/>
    <tableColumn id="15" xr3:uid="{00000000-0010-0000-0600-00000F000000}" name="Coeficiente temp. % de medición" dataDxfId="33"/>
    <tableColumn id="17" xr3:uid="{00000000-0010-0000-0600-000011000000}" name="Coeficiente temp. +oC a medición" dataDxfId="32"/>
    <tableColumn id="20" xr3:uid="{00000000-0010-0000-0600-000014000000}" name="t min" dataDxfId="31"/>
    <tableColumn id="19" xr3:uid="{00000000-0010-0000-0600-000013000000}" name="t max" dataDxfId="30"/>
    <tableColumn id="18" xr3:uid="{00000000-0010-0000-0600-000012000000}" name="Fecha calib." dataDxfId="29"/>
    <tableColumn id="11" xr3:uid="{00000000-0010-0000-0600-00000B000000}" name="Laboratorio" dataDxfId="28"/>
    <tableColumn id="12" xr3:uid="{00000000-0010-0000-0600-00000C000000}" name="Certificado" dataDxfId="2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Cert_patrones" displayName="Cert_patrones" ref="B31:K123" totalsRowShown="0" headerRowDxfId="26" dataDxfId="24" headerRowBorderDxfId="25" tableBorderDxfId="23">
  <tableColumns count="10">
    <tableColumn id="1" xr3:uid="{00000000-0010-0000-0700-000001000000}" name="#" dataDxfId="22"/>
    <tableColumn id="2" xr3:uid="{00000000-0010-0000-0700-000002000000}" name="Código Patrón" dataDxfId="21"/>
    <tableColumn id="3" xr3:uid="{00000000-0010-0000-0700-000003000000}" name="Nombre" dataDxfId="20"/>
    <tableColumn id="4" xr3:uid="{00000000-0010-0000-0700-000004000000}" name="t calibr.act" dataDxfId="19"/>
    <tableColumn id="5" xr3:uid="{00000000-0010-0000-0700-000005000000}" name="Correccion.act" dataDxfId="18"/>
    <tableColumn id="6" xr3:uid="{00000000-0010-0000-0700-000006000000}" name="Certif.act U95 " dataDxfId="17"/>
    <tableColumn id="7" xr3:uid="{00000000-0010-0000-0700-000007000000}" name="t calibr.ant" dataDxfId="16"/>
    <tableColumn id="8" xr3:uid="{00000000-0010-0000-0700-000008000000}" name="Correccion.ant" dataDxfId="15"/>
    <tableColumn id="9" xr3:uid="{00000000-0010-0000-0700-000009000000}" name="Certif.ant U95 " dataDxfId="14"/>
    <tableColumn id="10" xr3:uid="{00000000-0010-0000-0700-00000A000000}" name="Deriva" dataDxfId="13">
      <calculatedColumnFormula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blClientes" displayName="tblClientes" ref="A5:C472" totalsRowShown="0" headerRowDxfId="12">
  <tableColumns count="3">
    <tableColumn id="1" xr3:uid="{00000000-0010-0000-0800-000001000000}" name="Clave" dataDxfId="11"/>
    <tableColumn id="2" xr3:uid="{00000000-0010-0000-0800-000002000000}" name="Nombre" dataDxfId="10"/>
    <tableColumn id="3" xr3:uid="{00000000-0010-0000-0800-000003000000}" name="Direcc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http://www.retecsa.com.n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50"/>
  <sheetViews>
    <sheetView view="pageLayout" topLeftCell="A30" zoomScale="115" zoomScaleNormal="100" zoomScalePageLayoutView="115" workbookViewId="0">
      <selection activeCell="D8" sqref="D8"/>
    </sheetView>
  </sheetViews>
  <sheetFormatPr defaultColWidth="8.85546875" defaultRowHeight="15" x14ac:dyDescent="0.25"/>
  <cols>
    <col min="1" max="1" width="11.85546875" customWidth="1"/>
    <col min="2" max="2" width="8.7109375" customWidth="1"/>
    <col min="3" max="3" width="11" customWidth="1"/>
    <col min="4" max="4" width="8.140625" customWidth="1"/>
    <col min="5" max="5" width="10.42578125" customWidth="1"/>
    <col min="7" max="7" width="10.7109375" customWidth="1"/>
    <col min="8" max="8" width="7.140625" customWidth="1"/>
    <col min="9" max="9" width="6.42578125" customWidth="1"/>
    <col min="10" max="10" width="5.42578125" customWidth="1"/>
  </cols>
  <sheetData>
    <row r="5" spans="1:9" x14ac:dyDescent="0.25">
      <c r="A5" s="356" t="s">
        <v>46</v>
      </c>
      <c r="B5" s="356"/>
      <c r="C5" s="356"/>
      <c r="D5" s="356"/>
      <c r="E5" s="356"/>
      <c r="F5" s="356"/>
      <c r="G5" s="356"/>
      <c r="H5" s="356"/>
      <c r="I5" s="356"/>
    </row>
    <row r="6" spans="1:9" x14ac:dyDescent="0.25">
      <c r="A6" s="16" t="s">
        <v>45</v>
      </c>
      <c r="B6" s="377" t="s">
        <v>44</v>
      </c>
      <c r="C6" s="377"/>
      <c r="D6" s="377"/>
      <c r="E6" s="377"/>
      <c r="F6" s="377"/>
      <c r="G6" s="12" t="s">
        <v>43</v>
      </c>
      <c r="H6" s="311">
        <v>44964</v>
      </c>
      <c r="I6" s="311"/>
    </row>
    <row r="7" spans="1:9" x14ac:dyDescent="0.25">
      <c r="A7" s="361" t="s">
        <v>42</v>
      </c>
      <c r="B7" s="361"/>
      <c r="C7" s="378" t="s">
        <v>41</v>
      </c>
      <c r="D7" s="378"/>
      <c r="E7" s="378"/>
      <c r="F7" s="378"/>
      <c r="G7" s="12" t="s">
        <v>40</v>
      </c>
      <c r="H7" s="375" t="s">
        <v>39</v>
      </c>
      <c r="I7" s="375"/>
    </row>
    <row r="8" spans="1:9" ht="6.6" customHeight="1" x14ac:dyDescent="0.25">
      <c r="A8" s="15"/>
      <c r="B8" s="15"/>
      <c r="C8" s="18"/>
      <c r="D8" s="18"/>
      <c r="E8" s="18"/>
      <c r="F8" s="18"/>
      <c r="G8" s="13"/>
      <c r="H8" s="17"/>
      <c r="I8" s="17"/>
    </row>
    <row r="9" spans="1:9" x14ac:dyDescent="0.25">
      <c r="A9" s="356" t="s">
        <v>38</v>
      </c>
      <c r="B9" s="356"/>
      <c r="C9" s="356"/>
      <c r="D9" s="356"/>
      <c r="E9" s="356"/>
      <c r="F9" s="356"/>
      <c r="G9" s="356"/>
      <c r="H9" s="356"/>
      <c r="I9" s="356"/>
    </row>
    <row r="10" spans="1:9" x14ac:dyDescent="0.25">
      <c r="A10" s="361" t="s">
        <v>37</v>
      </c>
      <c r="B10" s="361"/>
      <c r="C10" s="364"/>
      <c r="D10" s="364"/>
      <c r="E10" s="364"/>
      <c r="F10" s="364"/>
      <c r="G10" s="364"/>
      <c r="H10" s="364"/>
    </row>
    <row r="11" spans="1:9" x14ac:dyDescent="0.25">
      <c r="A11" s="361" t="s">
        <v>35</v>
      </c>
      <c r="B11" s="361"/>
      <c r="C11" s="365"/>
      <c r="D11" s="365"/>
      <c r="E11" s="12" t="s">
        <v>34</v>
      </c>
      <c r="F11" s="310"/>
      <c r="G11" s="310"/>
      <c r="H11" s="310"/>
    </row>
    <row r="12" spans="1:9" x14ac:dyDescent="0.25">
      <c r="A12" s="361" t="s">
        <v>33</v>
      </c>
      <c r="B12" s="361"/>
      <c r="C12" s="365"/>
      <c r="D12" s="365"/>
      <c r="E12" s="16" t="s">
        <v>32</v>
      </c>
      <c r="F12" s="366"/>
      <c r="G12" s="366"/>
      <c r="H12" s="366"/>
    </row>
    <row r="13" spans="1:9" x14ac:dyDescent="0.25">
      <c r="A13" s="361" t="s">
        <v>31</v>
      </c>
      <c r="B13" s="361"/>
      <c r="C13" s="376"/>
      <c r="D13" s="365"/>
      <c r="E13" s="12" t="s">
        <v>30</v>
      </c>
      <c r="F13" s="310"/>
      <c r="G13" s="310"/>
      <c r="H13" s="310"/>
    </row>
    <row r="14" spans="1:9" x14ac:dyDescent="0.25">
      <c r="A14" s="361" t="s">
        <v>29</v>
      </c>
      <c r="B14" s="361"/>
      <c r="C14" s="365"/>
      <c r="D14" s="365"/>
      <c r="E14" s="12" t="s">
        <v>28</v>
      </c>
      <c r="F14" s="2"/>
      <c r="G14" s="12" t="s">
        <v>27</v>
      </c>
      <c r="H14" s="2"/>
    </row>
    <row r="15" spans="1:9" ht="6.6" customHeight="1" x14ac:dyDescent="0.25">
      <c r="A15" s="15"/>
      <c r="B15" s="15"/>
      <c r="C15" s="14"/>
      <c r="D15" s="14"/>
      <c r="E15" s="13"/>
      <c r="F15" s="5"/>
      <c r="G15" s="13"/>
      <c r="H15" s="5"/>
    </row>
    <row r="16" spans="1:9" x14ac:dyDescent="0.25">
      <c r="A16" s="356" t="s">
        <v>26</v>
      </c>
      <c r="B16" s="356"/>
      <c r="C16" s="356"/>
      <c r="D16" s="356"/>
      <c r="E16" s="356"/>
      <c r="F16" s="356"/>
      <c r="G16" s="356"/>
      <c r="H16" s="356"/>
      <c r="I16" s="356"/>
    </row>
    <row r="17" spans="1:10" ht="24" x14ac:dyDescent="0.25">
      <c r="A17" s="12" t="s">
        <v>25</v>
      </c>
      <c r="B17" s="9" t="s">
        <v>24</v>
      </c>
      <c r="C17" s="9" t="s">
        <v>23</v>
      </c>
      <c r="D17" s="374" t="s">
        <v>22</v>
      </c>
      <c r="E17" s="374"/>
      <c r="F17" s="9" t="s">
        <v>21</v>
      </c>
      <c r="G17" s="374" t="s">
        <v>20</v>
      </c>
      <c r="H17" s="374"/>
      <c r="I17" s="374" t="s">
        <v>19</v>
      </c>
      <c r="J17" s="374"/>
    </row>
    <row r="18" spans="1:10" ht="15" customHeight="1" x14ac:dyDescent="0.25">
      <c r="A18" s="12" t="s">
        <v>18</v>
      </c>
      <c r="B18" s="8"/>
      <c r="C18" s="8"/>
      <c r="D18" s="375"/>
      <c r="E18" s="375"/>
      <c r="F18" s="8"/>
      <c r="G18" s="375"/>
      <c r="H18" s="375"/>
      <c r="I18" s="370"/>
      <c r="J18" s="371"/>
    </row>
    <row r="19" spans="1:10" x14ac:dyDescent="0.25">
      <c r="A19" s="12" t="s">
        <v>16</v>
      </c>
      <c r="B19" s="8"/>
      <c r="C19" s="8"/>
      <c r="D19" s="375"/>
      <c r="E19" s="375"/>
      <c r="F19" s="8"/>
      <c r="G19" s="375"/>
      <c r="H19" s="375"/>
      <c r="I19" s="372"/>
      <c r="J19" s="373"/>
    </row>
    <row r="20" spans="1:10" ht="7.9" customHeight="1" x14ac:dyDescent="0.25">
      <c r="A20" s="11"/>
      <c r="B20" s="10"/>
      <c r="C20" s="10"/>
      <c r="D20" s="3"/>
      <c r="E20" s="3"/>
      <c r="F20" s="10"/>
      <c r="G20" s="3"/>
      <c r="H20" s="3"/>
      <c r="I20" s="10"/>
    </row>
    <row r="21" spans="1:10" x14ac:dyDescent="0.25">
      <c r="A21" s="356" t="s">
        <v>15</v>
      </c>
      <c r="B21" s="356"/>
      <c r="C21" s="356"/>
      <c r="D21" s="356"/>
      <c r="E21" s="356"/>
      <c r="F21" s="356"/>
      <c r="G21" s="356"/>
      <c r="H21" s="356"/>
      <c r="I21" s="356"/>
    </row>
    <row r="22" spans="1:10" x14ac:dyDescent="0.25">
      <c r="A22" s="7"/>
      <c r="B22" s="374" t="s">
        <v>14</v>
      </c>
      <c r="C22" s="374"/>
      <c r="D22" s="374"/>
      <c r="E22" s="374"/>
      <c r="F22" s="374"/>
      <c r="G22" s="374"/>
      <c r="H22" s="7"/>
      <c r="I22" s="7"/>
      <c r="J22" s="7"/>
    </row>
    <row r="23" spans="1:10" ht="36" x14ac:dyDescent="0.25">
      <c r="A23" s="7"/>
      <c r="B23" s="9" t="s">
        <v>13</v>
      </c>
      <c r="C23" s="9" t="s">
        <v>12</v>
      </c>
      <c r="D23" s="9" t="s">
        <v>13</v>
      </c>
      <c r="E23" s="9" t="s">
        <v>12</v>
      </c>
      <c r="F23" s="9" t="s">
        <v>13</v>
      </c>
      <c r="G23" s="9" t="s">
        <v>12</v>
      </c>
      <c r="H23" s="7"/>
      <c r="I23" s="7"/>
      <c r="J23" s="7"/>
    </row>
    <row r="24" spans="1:10" x14ac:dyDescent="0.25">
      <c r="A24" s="7"/>
      <c r="B24" s="8"/>
      <c r="C24" s="8"/>
      <c r="D24" s="8"/>
      <c r="E24" s="8"/>
      <c r="F24" s="8"/>
      <c r="G24" s="8"/>
      <c r="H24" s="7"/>
      <c r="I24" s="7"/>
      <c r="J24" s="7"/>
    </row>
    <row r="25" spans="1:10" x14ac:dyDescent="0.25">
      <c r="A25" s="7"/>
      <c r="B25" s="8"/>
      <c r="C25" s="8"/>
      <c r="D25" s="8"/>
      <c r="E25" s="8"/>
      <c r="F25" s="8"/>
      <c r="G25" s="8"/>
      <c r="H25" s="7"/>
      <c r="I25" s="7"/>
      <c r="J25" s="7"/>
    </row>
    <row r="26" spans="1:10" x14ac:dyDescent="0.25">
      <c r="A26" s="7"/>
      <c r="B26" s="8"/>
      <c r="C26" s="8"/>
      <c r="D26" s="8"/>
      <c r="E26" s="8"/>
      <c r="F26" s="8"/>
      <c r="G26" s="8"/>
      <c r="H26" s="7"/>
      <c r="I26" s="7"/>
      <c r="J26" s="7"/>
    </row>
    <row r="27" spans="1:10" x14ac:dyDescent="0.25">
      <c r="A27" s="7"/>
      <c r="B27" s="8"/>
      <c r="C27" s="8"/>
      <c r="D27" s="8"/>
      <c r="E27" s="8"/>
      <c r="F27" s="8"/>
      <c r="G27" s="8"/>
      <c r="H27" s="7"/>
      <c r="I27" s="7"/>
      <c r="J27" s="7"/>
    </row>
    <row r="28" spans="1:10" x14ac:dyDescent="0.25">
      <c r="A28" s="7"/>
      <c r="B28" s="8"/>
      <c r="C28" s="8"/>
      <c r="D28" s="8"/>
      <c r="E28" s="8"/>
      <c r="F28" s="8"/>
      <c r="G28" s="8"/>
      <c r="H28" s="7"/>
      <c r="I28" s="7"/>
      <c r="J28" s="7"/>
    </row>
    <row r="29" spans="1:10" x14ac:dyDescent="0.25">
      <c r="A29" s="7"/>
      <c r="B29" s="8"/>
      <c r="C29" s="8"/>
      <c r="D29" s="8"/>
      <c r="E29" s="8"/>
      <c r="F29" s="8"/>
      <c r="G29" s="8"/>
      <c r="H29" s="7"/>
      <c r="I29" s="7"/>
      <c r="J29" s="7"/>
    </row>
    <row r="30" spans="1:10" x14ac:dyDescent="0.25">
      <c r="A30" s="7"/>
      <c r="B30" s="8"/>
      <c r="C30" s="8"/>
      <c r="D30" s="8"/>
      <c r="E30" s="8"/>
      <c r="F30" s="8"/>
      <c r="G30" s="8"/>
      <c r="H30" s="7"/>
      <c r="I30" s="7"/>
      <c r="J30" s="7"/>
    </row>
    <row r="31" spans="1:10" x14ac:dyDescent="0.25">
      <c r="A31" s="7"/>
      <c r="B31" s="8"/>
      <c r="C31" s="8"/>
      <c r="D31" s="8"/>
      <c r="E31" s="8"/>
      <c r="F31" s="8"/>
      <c r="G31" s="8"/>
      <c r="H31" s="7"/>
      <c r="I31" s="7"/>
      <c r="J31" s="7"/>
    </row>
    <row r="32" spans="1:10" x14ac:dyDescent="0.25">
      <c r="A32" s="7"/>
      <c r="B32" s="8"/>
      <c r="C32" s="8"/>
      <c r="D32" s="8"/>
      <c r="E32" s="8"/>
      <c r="F32" s="8"/>
      <c r="G32" s="8"/>
      <c r="H32" s="7"/>
      <c r="I32" s="7"/>
      <c r="J32" s="7"/>
    </row>
    <row r="33" spans="1:10" x14ac:dyDescent="0.25">
      <c r="A33" s="7"/>
      <c r="B33" s="8"/>
      <c r="C33" s="8"/>
      <c r="D33" s="8"/>
      <c r="E33" s="8"/>
      <c r="F33" s="8"/>
      <c r="G33" s="8"/>
      <c r="H33" s="7"/>
      <c r="I33" s="7"/>
      <c r="J33" s="7"/>
    </row>
    <row r="34" spans="1:10" ht="6.6" customHeight="1" x14ac:dyDescent="0.25">
      <c r="B34" s="3"/>
      <c r="C34" s="3"/>
      <c r="D34" s="3"/>
      <c r="E34" s="3"/>
      <c r="F34" s="3"/>
      <c r="G34" s="3"/>
    </row>
    <row r="35" spans="1:10" x14ac:dyDescent="0.25">
      <c r="A35" s="356" t="s">
        <v>11</v>
      </c>
      <c r="B35" s="356"/>
      <c r="C35" s="356"/>
      <c r="D35" s="356"/>
      <c r="E35" s="356"/>
      <c r="F35" s="356"/>
      <c r="G35" s="356"/>
      <c r="H35" s="356"/>
    </row>
    <row r="36" spans="1:10" x14ac:dyDescent="0.25">
      <c r="A36" s="362" t="s">
        <v>10</v>
      </c>
      <c r="B36" s="363"/>
      <c r="C36" s="363"/>
      <c r="D36" s="363"/>
      <c r="E36" s="363"/>
      <c r="F36" s="363"/>
      <c r="G36" s="363"/>
      <c r="H36" s="363"/>
      <c r="I36" s="363"/>
    </row>
    <row r="37" spans="1:10" ht="7.9" customHeight="1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10" x14ac:dyDescent="0.25">
      <c r="A38" s="356" t="s">
        <v>9</v>
      </c>
      <c r="B38" s="356"/>
      <c r="C38" s="356"/>
      <c r="D38" s="356"/>
      <c r="E38" s="356"/>
      <c r="F38" s="356"/>
      <c r="G38" s="356"/>
      <c r="H38" s="356"/>
      <c r="I38" s="356"/>
    </row>
    <row r="39" spans="1:10" x14ac:dyDescent="0.25">
      <c r="A39" s="2" t="s">
        <v>8</v>
      </c>
      <c r="B39" s="4"/>
      <c r="C39" s="2" t="s">
        <v>8</v>
      </c>
      <c r="D39" s="4"/>
      <c r="E39" s="2" t="s">
        <v>8</v>
      </c>
      <c r="F39" s="4"/>
      <c r="G39" s="4"/>
      <c r="H39" s="4"/>
      <c r="I39" s="4"/>
      <c r="J39" s="4"/>
    </row>
    <row r="40" spans="1:10" x14ac:dyDescent="0.25">
      <c r="A40" s="2" t="s">
        <v>8</v>
      </c>
      <c r="B40" s="4"/>
      <c r="C40" s="2" t="s">
        <v>8</v>
      </c>
      <c r="D40" s="4"/>
      <c r="E40" s="2" t="s">
        <v>8</v>
      </c>
      <c r="F40" s="4"/>
      <c r="G40" s="4"/>
      <c r="H40" s="4"/>
      <c r="I40" s="4"/>
      <c r="J40" s="4"/>
    </row>
    <row r="41" spans="1:10" ht="8.4499999999999993" customHeight="1" x14ac:dyDescent="0.25">
      <c r="A41" s="5"/>
      <c r="B41" s="4"/>
      <c r="C41" s="5"/>
      <c r="D41" s="4"/>
      <c r="E41" s="5"/>
      <c r="F41" s="4"/>
      <c r="G41" s="4"/>
      <c r="H41" s="4"/>
      <c r="I41" s="4"/>
      <c r="J41" s="4"/>
    </row>
    <row r="42" spans="1:10" x14ac:dyDescent="0.25">
      <c r="A42" s="356" t="s">
        <v>7</v>
      </c>
      <c r="B42" s="356"/>
      <c r="C42" s="356"/>
      <c r="D42" s="356"/>
      <c r="E42" s="356"/>
      <c r="F42" s="356"/>
      <c r="G42" s="356"/>
      <c r="H42" s="356"/>
      <c r="I42" s="356"/>
    </row>
    <row r="43" spans="1:10" x14ac:dyDescent="0.25">
      <c r="A43" s="367"/>
      <c r="B43" s="368"/>
      <c r="C43" s="368"/>
      <c r="D43" s="368"/>
      <c r="E43" s="368"/>
      <c r="F43" s="368"/>
      <c r="G43" s="368"/>
      <c r="H43" s="368"/>
      <c r="I43" s="369"/>
    </row>
    <row r="44" spans="1:10" x14ac:dyDescent="0.25">
      <c r="A44" s="367"/>
      <c r="B44" s="368"/>
      <c r="C44" s="368"/>
      <c r="D44" s="368"/>
      <c r="E44" s="368"/>
      <c r="F44" s="368"/>
      <c r="G44" s="368"/>
      <c r="H44" s="368"/>
      <c r="I44" s="369"/>
    </row>
    <row r="45" spans="1:10" ht="6.6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10" x14ac:dyDescent="0.25">
      <c r="A46" s="356" t="s">
        <v>6</v>
      </c>
      <c r="B46" s="356"/>
      <c r="C46" s="356"/>
      <c r="D46" s="356"/>
      <c r="E46" s="355" t="s">
        <v>5</v>
      </c>
      <c r="F46" s="355"/>
      <c r="G46" s="355"/>
      <c r="H46" s="355"/>
    </row>
    <row r="47" spans="1:10" x14ac:dyDescent="0.25">
      <c r="A47" s="2" t="s">
        <v>0</v>
      </c>
      <c r="B47" s="357"/>
      <c r="C47" s="358"/>
      <c r="D47" s="359"/>
      <c r="E47" s="2" t="s">
        <v>0</v>
      </c>
      <c r="F47" s="357"/>
      <c r="G47" s="358"/>
      <c r="H47" s="358"/>
      <c r="I47" s="359"/>
    </row>
    <row r="48" spans="1:10" ht="7.9" customHeight="1" x14ac:dyDescent="0.25">
      <c r="A48" s="1"/>
    </row>
    <row r="49" spans="1:9" x14ac:dyDescent="0.25">
      <c r="A49" s="360" t="s">
        <v>4</v>
      </c>
      <c r="B49" s="360"/>
      <c r="C49" s="360"/>
      <c r="D49" s="1" t="s">
        <v>3</v>
      </c>
      <c r="G49" s="1" t="s">
        <v>2</v>
      </c>
    </row>
    <row r="50" spans="1:9" x14ac:dyDescent="0.25">
      <c r="A50" s="354" t="s">
        <v>1</v>
      </c>
      <c r="B50" s="354"/>
      <c r="C50" s="354"/>
      <c r="D50" s="354" t="s">
        <v>0</v>
      </c>
      <c r="E50" s="354"/>
      <c r="F50" s="354"/>
      <c r="G50" s="354"/>
      <c r="H50" s="354"/>
      <c r="I50" s="354"/>
    </row>
  </sheetData>
  <mergeCells count="43">
    <mergeCell ref="A5:I5"/>
    <mergeCell ref="B6:F6"/>
    <mergeCell ref="A7:B7"/>
    <mergeCell ref="C7:F7"/>
    <mergeCell ref="H6:I6"/>
    <mergeCell ref="H7:I7"/>
    <mergeCell ref="A42:I42"/>
    <mergeCell ref="A43:I43"/>
    <mergeCell ref="A44:I44"/>
    <mergeCell ref="A13:B13"/>
    <mergeCell ref="I18:J19"/>
    <mergeCell ref="C14:D14"/>
    <mergeCell ref="A16:I16"/>
    <mergeCell ref="I17:J17"/>
    <mergeCell ref="G17:H17"/>
    <mergeCell ref="D17:E17"/>
    <mergeCell ref="B22:G22"/>
    <mergeCell ref="A14:B14"/>
    <mergeCell ref="D18:E19"/>
    <mergeCell ref="G18:H19"/>
    <mergeCell ref="A21:I21"/>
    <mergeCell ref="C13:D13"/>
    <mergeCell ref="A9:I9"/>
    <mergeCell ref="A11:B11"/>
    <mergeCell ref="A10:B10"/>
    <mergeCell ref="A12:B12"/>
    <mergeCell ref="A38:I38"/>
    <mergeCell ref="A35:H35"/>
    <mergeCell ref="A36:I36"/>
    <mergeCell ref="C10:H10"/>
    <mergeCell ref="C11:D11"/>
    <mergeCell ref="C12:D12"/>
    <mergeCell ref="F11:H11"/>
    <mergeCell ref="F12:H12"/>
    <mergeCell ref="F13:H13"/>
    <mergeCell ref="A50:C50"/>
    <mergeCell ref="D50:F50"/>
    <mergeCell ref="G50:I50"/>
    <mergeCell ref="E46:H46"/>
    <mergeCell ref="A46:D46"/>
    <mergeCell ref="B47:D47"/>
    <mergeCell ref="F47:I47"/>
    <mergeCell ref="A49:C49"/>
  </mergeCells>
  <pageMargins left="0.7" right="0.7" top="0.75" bottom="0.75" header="0.3" footer="0.3"/>
  <pageSetup orientation="portrait" horizontalDpi="1200" verticalDpi="1200" r:id="rId1"/>
  <headerFooter>
    <oddHeader>&amp;C&amp;G</oddHeader>
    <oddFooter xml:space="preserve">&amp;L&amp;"Arial,Regular"&amp;8Pág. &amp;P de &amp;N&amp;R&amp;"Arial,Regular"&amp;8
versión 4 Aprobado en NI-MCIT-T-01 v6 con Fecha 2019-11-11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27"/>
  <sheetViews>
    <sheetView zoomScale="70" zoomScaleNormal="70" workbookViewId="0">
      <selection activeCell="A36" sqref="A36:I36"/>
    </sheetView>
  </sheetViews>
  <sheetFormatPr defaultColWidth="9.140625" defaultRowHeight="15" x14ac:dyDescent="0.25"/>
  <cols>
    <col min="1" max="1" width="2.42578125" customWidth="1"/>
    <col min="2" max="2" width="19.85546875" hidden="1" customWidth="1"/>
    <col min="3" max="3" width="24.42578125" hidden="1" customWidth="1"/>
    <col min="4" max="4" width="2.42578125" customWidth="1"/>
    <col min="5" max="5" width="27.85546875" customWidth="1"/>
    <col min="6" max="6" width="21.140625" customWidth="1"/>
    <col min="7" max="7" width="2.42578125" customWidth="1"/>
    <col min="8" max="8" width="35.85546875" customWidth="1"/>
    <col min="9" max="9" width="12.85546875" customWidth="1"/>
    <col min="10" max="10" width="2.42578125" customWidth="1"/>
    <col min="11" max="11" width="22.85546875" bestFit="1" customWidth="1"/>
    <col min="12" max="12" width="56.140625" bestFit="1" customWidth="1"/>
    <col min="23" max="23" width="9.140625" style="19"/>
  </cols>
  <sheetData>
    <row r="1" spans="2:12" x14ac:dyDescent="0.25">
      <c r="G1" s="27"/>
      <c r="H1" s="27"/>
    </row>
    <row r="2" spans="2:12" x14ac:dyDescent="0.25">
      <c r="B2" s="27" t="s">
        <v>112</v>
      </c>
      <c r="C2" s="27" t="s">
        <v>108</v>
      </c>
      <c r="E2" s="27" t="s">
        <v>111</v>
      </c>
      <c r="F2" s="27" t="s">
        <v>108</v>
      </c>
      <c r="H2" s="37" t="s">
        <v>110</v>
      </c>
      <c r="I2" s="37" t="s">
        <v>108</v>
      </c>
      <c r="K2" s="37" t="s">
        <v>109</v>
      </c>
      <c r="L2" s="37" t="s">
        <v>108</v>
      </c>
    </row>
    <row r="3" spans="2:12" x14ac:dyDescent="0.25">
      <c r="B3" s="27" t="s">
        <v>30</v>
      </c>
      <c r="C3" s="29" t="s">
        <v>107</v>
      </c>
      <c r="E3" s="27" t="s">
        <v>106</v>
      </c>
      <c r="F3" s="32" t="str">
        <f>'NI-R01-MCIT-T-01'!A50</f>
        <v>NI-MC-T-1325-2023</v>
      </c>
      <c r="H3" s="22" t="s">
        <v>42</v>
      </c>
      <c r="I3" s="36" t="s">
        <v>53</v>
      </c>
      <c r="K3" s="27" t="s">
        <v>105</v>
      </c>
      <c r="L3" s="32" t="str">
        <f>'NI-R01-MCIT-T-01'!B6</f>
        <v xml:space="preserve">Agricola Nicavista </v>
      </c>
    </row>
    <row r="4" spans="2:12" x14ac:dyDescent="0.25">
      <c r="B4" s="27" t="s">
        <v>104</v>
      </c>
      <c r="C4" s="29">
        <v>3</v>
      </c>
      <c r="E4" s="27" t="s">
        <v>103</v>
      </c>
      <c r="F4" s="32" t="str">
        <f>'NI-R01-MCIT-T-01'!H7</f>
        <v>NI-CS-0063-23</v>
      </c>
      <c r="H4" s="22" t="s">
        <v>102</v>
      </c>
      <c r="I4" s="35">
        <f>'NI-R01-MCIT-T-01'!D18</f>
        <v>0</v>
      </c>
      <c r="K4" s="27" t="s">
        <v>101</v>
      </c>
      <c r="L4" s="34" t="str">
        <f>IFERROR(VLOOKUP(L3,tblClientes[[Nombre]:[Direccion]],2,FALSE),"")</f>
        <v>Ciudad Rama, Atlántico Sur, Nicaragua</v>
      </c>
    </row>
    <row r="5" spans="2:12" x14ac:dyDescent="0.25">
      <c r="B5" s="27" t="s">
        <v>100</v>
      </c>
      <c r="C5" s="33">
        <v>43170</v>
      </c>
      <c r="E5" s="27" t="s">
        <v>99</v>
      </c>
      <c r="F5" s="33">
        <f>'NI-R01-MCIT-T-01'!H6</f>
        <v>44964</v>
      </c>
      <c r="H5" s="22" t="s">
        <v>98</v>
      </c>
      <c r="I5" s="28" t="e">
        <f>VLOOKUP(I4,'BD Patron'!C6:L10,2,FALSE)</f>
        <v>#N/A</v>
      </c>
      <c r="K5" s="27" t="s">
        <v>42</v>
      </c>
      <c r="L5" s="32" t="str">
        <f>'NI-R01-MCIT-T-01'!C7</f>
        <v>Laboratorio</v>
      </c>
    </row>
    <row r="6" spans="2:12" x14ac:dyDescent="0.25">
      <c r="B6" s="27" t="s">
        <v>97</v>
      </c>
      <c r="C6" s="33">
        <v>43139</v>
      </c>
      <c r="E6" s="27" t="s">
        <v>96</v>
      </c>
      <c r="F6" s="32">
        <f>'NI-R01-MCIT-T-01'!F13</f>
        <v>0</v>
      </c>
      <c r="H6" s="22" t="s">
        <v>95</v>
      </c>
      <c r="I6" s="25">
        <f>'NI-R01-MCIT-T-01'!B18</f>
        <v>0</v>
      </c>
      <c r="K6" s="27"/>
      <c r="L6" s="32"/>
    </row>
    <row r="7" spans="2:12" x14ac:dyDescent="0.25">
      <c r="B7" s="27" t="s">
        <v>94</v>
      </c>
      <c r="C7" s="29"/>
      <c r="E7" s="27" t="s">
        <v>93</v>
      </c>
      <c r="F7" s="32">
        <f>'NI-R01-MCIT-T-01'!C10</f>
        <v>0</v>
      </c>
      <c r="H7" s="22" t="s">
        <v>92</v>
      </c>
      <c r="I7" s="25">
        <f>'NI-R01-MCIT-T-01'!B19</f>
        <v>0</v>
      </c>
      <c r="K7" s="27"/>
      <c r="L7" s="27"/>
    </row>
    <row r="8" spans="2:12" x14ac:dyDescent="0.25">
      <c r="B8" s="27" t="s">
        <v>91</v>
      </c>
      <c r="C8" s="29"/>
      <c r="E8" s="27" t="s">
        <v>90</v>
      </c>
      <c r="F8" s="32">
        <f>'NI-R01-MCIT-T-01'!C11</f>
        <v>0</v>
      </c>
      <c r="H8" s="22" t="s">
        <v>89</v>
      </c>
      <c r="I8" s="21">
        <f>IFERROR(AVERAGE(I6:I7),"")</f>
        <v>0</v>
      </c>
      <c r="K8" s="27"/>
      <c r="L8" s="27"/>
    </row>
    <row r="9" spans="2:12" ht="17.25" x14ac:dyDescent="0.25">
      <c r="B9" s="27" t="s">
        <v>88</v>
      </c>
      <c r="C9" s="29" t="s">
        <v>85</v>
      </c>
      <c r="E9" s="27" t="s">
        <v>32</v>
      </c>
      <c r="F9" s="32">
        <f>'NI-R01-MCIT-T-01'!F12</f>
        <v>0</v>
      </c>
      <c r="H9" s="22" t="s">
        <v>87</v>
      </c>
      <c r="I9" s="21" t="e">
        <f>VLOOKUP(I4,'BD Patron'!C6:L10,8,FALSE)</f>
        <v>#N/A</v>
      </c>
      <c r="K9" s="27"/>
      <c r="L9" s="27"/>
    </row>
    <row r="10" spans="2:12" ht="16.5" x14ac:dyDescent="0.25">
      <c r="B10" s="27" t="s">
        <v>86</v>
      </c>
      <c r="C10" s="29" t="s">
        <v>85</v>
      </c>
      <c r="E10" s="27" t="s">
        <v>84</v>
      </c>
      <c r="F10" s="32">
        <f>'NI-R01-MCIT-T-01'!C12</f>
        <v>0</v>
      </c>
      <c r="H10" s="22" t="s">
        <v>83</v>
      </c>
      <c r="I10" s="28" t="e">
        <f>VLOOKUP(I4,'BD Patron'!C6:L10,4,FALSE)</f>
        <v>#N/A</v>
      </c>
      <c r="K10" s="27"/>
      <c r="L10" s="27"/>
    </row>
    <row r="11" spans="2:12" x14ac:dyDescent="0.25">
      <c r="E11" s="27" t="s">
        <v>31</v>
      </c>
      <c r="F11" s="32">
        <f>'NI-R01-MCIT-T-01'!C13</f>
        <v>0</v>
      </c>
      <c r="H11" s="22" t="s">
        <v>82</v>
      </c>
      <c r="I11" s="31">
        <f>'NI-R01-MCIT-T-01'!C18</f>
        <v>0</v>
      </c>
      <c r="K11" s="27"/>
      <c r="L11" s="27"/>
    </row>
    <row r="12" spans="2:12" x14ac:dyDescent="0.25">
      <c r="E12" s="27" t="s">
        <v>29</v>
      </c>
      <c r="F12" s="32">
        <f>'NI-R01-MCIT-T-01'!C14</f>
        <v>0</v>
      </c>
      <c r="H12" s="22" t="s">
        <v>81</v>
      </c>
      <c r="I12" s="31">
        <f>'NI-R01-MCIT-T-01'!C19</f>
        <v>0</v>
      </c>
      <c r="K12" s="27"/>
      <c r="L12" s="27"/>
    </row>
    <row r="13" spans="2:12" x14ac:dyDescent="0.25">
      <c r="B13" s="30"/>
      <c r="C13" t="s">
        <v>80</v>
      </c>
      <c r="E13" s="27" t="s">
        <v>79</v>
      </c>
      <c r="F13" s="29"/>
      <c r="H13" s="22" t="s">
        <v>78</v>
      </c>
      <c r="I13" s="24">
        <f>IFERROR(AVERAGE(I11:I12),"")</f>
        <v>0</v>
      </c>
      <c r="K13" s="27"/>
      <c r="L13" s="27"/>
    </row>
    <row r="14" spans="2:12" x14ac:dyDescent="0.25">
      <c r="H14" s="22" t="s">
        <v>77</v>
      </c>
      <c r="I14" s="21" t="e">
        <f>VLOOKUP(I4,'BD Patron'!C6:L10,9,FALSE)</f>
        <v>#N/A</v>
      </c>
      <c r="K14" s="27"/>
      <c r="L14" s="27"/>
    </row>
    <row r="15" spans="2:12" x14ac:dyDescent="0.25">
      <c r="B15" s="19"/>
      <c r="C15" t="s">
        <v>76</v>
      </c>
      <c r="H15" s="22" t="s">
        <v>75</v>
      </c>
      <c r="I15" s="28" t="e">
        <f>VLOOKUP(I4,'BD Patron'!C6:L10,5,FALSE)</f>
        <v>#N/A</v>
      </c>
      <c r="K15" s="27"/>
      <c r="L15" s="27"/>
    </row>
    <row r="16" spans="2:12" x14ac:dyDescent="0.25">
      <c r="H16" s="22" t="s">
        <v>74</v>
      </c>
      <c r="I16" s="25">
        <f>'NI-R01-MCIT-T-01'!F18</f>
        <v>0</v>
      </c>
      <c r="K16" s="27"/>
      <c r="L16" s="27"/>
    </row>
    <row r="17" spans="2:9" x14ac:dyDescent="0.25">
      <c r="B17" s="26"/>
      <c r="C17" t="s">
        <v>73</v>
      </c>
      <c r="H17" s="22" t="s">
        <v>72</v>
      </c>
      <c r="I17" s="25">
        <f>'NI-R01-MCIT-T-01'!F19</f>
        <v>0</v>
      </c>
    </row>
    <row r="18" spans="2:9" x14ac:dyDescent="0.25">
      <c r="H18" s="22" t="s">
        <v>71</v>
      </c>
      <c r="I18" s="24">
        <f>IFERROR(AVERAGE(I16:I17),"")</f>
        <v>0</v>
      </c>
    </row>
    <row r="19" spans="2:9" x14ac:dyDescent="0.25">
      <c r="B19" s="23"/>
      <c r="C19" t="s">
        <v>70</v>
      </c>
      <c r="H19" s="22" t="s">
        <v>69</v>
      </c>
      <c r="I19" s="21">
        <v>10</v>
      </c>
    </row>
    <row r="98" spans="23:23" x14ac:dyDescent="0.25">
      <c r="W98" s="19" t="s">
        <v>68</v>
      </c>
    </row>
    <row r="99" spans="23:23" x14ac:dyDescent="0.25">
      <c r="W99" s="19" t="s">
        <v>36</v>
      </c>
    </row>
    <row r="100" spans="23:23" x14ac:dyDescent="0.25">
      <c r="W100" s="19" t="s">
        <v>67</v>
      </c>
    </row>
    <row r="101" spans="23:23" x14ac:dyDescent="0.25">
      <c r="W101" s="19" t="s">
        <v>66</v>
      </c>
    </row>
    <row r="102" spans="23:23" x14ac:dyDescent="0.25">
      <c r="W102" s="19" t="s">
        <v>65</v>
      </c>
    </row>
    <row r="103" spans="23:23" x14ac:dyDescent="0.25">
      <c r="W103" s="19" t="s">
        <v>64</v>
      </c>
    </row>
    <row r="104" spans="23:23" x14ac:dyDescent="0.25">
      <c r="W104" s="19" t="s">
        <v>63</v>
      </c>
    </row>
    <row r="105" spans="23:23" x14ac:dyDescent="0.25">
      <c r="W105" s="19" t="s">
        <v>62</v>
      </c>
    </row>
    <row r="106" spans="23:23" x14ac:dyDescent="0.25">
      <c r="W106" s="19" t="s">
        <v>61</v>
      </c>
    </row>
    <row r="107" spans="23:23" x14ac:dyDescent="0.25">
      <c r="W107" s="19" t="s">
        <v>60</v>
      </c>
    </row>
    <row r="108" spans="23:23" x14ac:dyDescent="0.25">
      <c r="W108" s="19" t="s">
        <v>59</v>
      </c>
    </row>
    <row r="109" spans="23:23" x14ac:dyDescent="0.25">
      <c r="W109" s="19" t="s">
        <v>58</v>
      </c>
    </row>
    <row r="110" spans="23:23" x14ac:dyDescent="0.25">
      <c r="W110" s="19" t="s">
        <v>57</v>
      </c>
    </row>
    <row r="111" spans="23:23" x14ac:dyDescent="0.25">
      <c r="W111" s="19" t="s">
        <v>56</v>
      </c>
    </row>
    <row r="112" spans="23:23" x14ac:dyDescent="0.25">
      <c r="W112" s="19" t="s">
        <v>55</v>
      </c>
    </row>
    <row r="118" spans="23:23" x14ac:dyDescent="0.25">
      <c r="W118" s="19" t="s">
        <v>54</v>
      </c>
    </row>
    <row r="119" spans="23:23" x14ac:dyDescent="0.25">
      <c r="W119" s="19" t="s">
        <v>53</v>
      </c>
    </row>
    <row r="121" spans="23:23" x14ac:dyDescent="0.25">
      <c r="W121" s="20" t="s">
        <v>52</v>
      </c>
    </row>
    <row r="122" spans="23:23" x14ac:dyDescent="0.25">
      <c r="W122" s="20" t="s">
        <v>51</v>
      </c>
    </row>
    <row r="123" spans="23:23" x14ac:dyDescent="0.25">
      <c r="W123" s="20" t="s">
        <v>50</v>
      </c>
    </row>
    <row r="125" spans="23:23" x14ac:dyDescent="0.25">
      <c r="W125" s="20" t="s">
        <v>49</v>
      </c>
    </row>
    <row r="126" spans="23:23" x14ac:dyDescent="0.25">
      <c r="W126" s="20" t="s">
        <v>48</v>
      </c>
    </row>
    <row r="127" spans="23:23" x14ac:dyDescent="0.25">
      <c r="W127" s="20" t="s">
        <v>47</v>
      </c>
    </row>
  </sheetData>
  <sheetProtection formatCells="0" formatColumns="0" formatRows="0"/>
  <dataValidations count="1">
    <dataValidation type="list" allowBlank="1" showInputMessage="1" showErrorMessage="1" sqref="I3" xr:uid="{00000000-0002-0000-0100-000000000000}">
      <formula1>$W$118:$W$119</formula1>
    </dataValidation>
  </dataValidations>
  <pageMargins left="0.7" right="0.7" top="0.75" bottom="0.75" header="0.3" footer="0.3"/>
  <pageSetup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65"/>
  <sheetViews>
    <sheetView topLeftCell="B1" zoomScale="81" zoomScaleNormal="81" workbookViewId="0">
      <selection activeCell="G9" sqref="G9"/>
    </sheetView>
  </sheetViews>
  <sheetFormatPr defaultColWidth="9.140625" defaultRowHeight="15" x14ac:dyDescent="0.25"/>
  <cols>
    <col min="1" max="1" width="2.42578125" customWidth="1"/>
    <col min="2" max="2" width="35.5703125" customWidth="1"/>
    <col min="3" max="4" width="11.42578125" customWidth="1"/>
    <col min="5" max="5" width="9" bestFit="1" customWidth="1"/>
    <col min="6" max="6" width="11.140625" customWidth="1"/>
    <col min="7" max="16" width="9.5703125" customWidth="1"/>
  </cols>
  <sheetData>
    <row r="2" spans="1:16" x14ac:dyDescent="0.25">
      <c r="B2" s="87" t="s">
        <v>224</v>
      </c>
      <c r="C2" s="57"/>
      <c r="G2" s="26" t="s">
        <v>223</v>
      </c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25">
      <c r="B3" s="76" t="s">
        <v>222</v>
      </c>
      <c r="C3" s="76" t="s">
        <v>197</v>
      </c>
      <c r="D3" s="76" t="s">
        <v>34</v>
      </c>
      <c r="E3" s="76" t="s">
        <v>159</v>
      </c>
      <c r="G3" s="26" t="s">
        <v>221</v>
      </c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5">
      <c r="B4" s="85" t="s">
        <v>220</v>
      </c>
      <c r="C4" s="84" t="s">
        <v>219</v>
      </c>
      <c r="D4" s="83" t="s">
        <v>218</v>
      </c>
      <c r="E4" s="86">
        <v>0</v>
      </c>
      <c r="G4" s="26" t="s">
        <v>217</v>
      </c>
      <c r="H4" s="26"/>
      <c r="I4" s="26"/>
      <c r="J4" s="26"/>
      <c r="K4" s="26"/>
      <c r="L4" s="26"/>
      <c r="M4" s="26"/>
      <c r="N4" s="26"/>
      <c r="O4" s="26"/>
      <c r="P4" s="26"/>
    </row>
    <row r="5" spans="1:16" ht="15.75" x14ac:dyDescent="0.25">
      <c r="B5" s="85" t="s">
        <v>216</v>
      </c>
      <c r="C5" s="84" t="s">
        <v>215</v>
      </c>
      <c r="D5" s="83" t="s">
        <v>214</v>
      </c>
      <c r="E5" s="82">
        <v>30</v>
      </c>
    </row>
    <row r="7" spans="1:16" x14ac:dyDescent="0.25">
      <c r="B7" s="78" t="s">
        <v>199</v>
      </c>
      <c r="C7" s="57"/>
      <c r="D7" s="57"/>
      <c r="E7" s="57"/>
      <c r="F7" s="57"/>
      <c r="G7" s="77" t="str">
        <f ca="1">IFERROR(CONCATENATE(FIXED(Calibración!C32,decim),unidad),"")</f>
        <v>0.0°C</v>
      </c>
      <c r="H7" s="77" t="str">
        <f ca="1">IFERROR(CONCATENATE(FIXED(Calibración!C33,decim),unidad),"")</f>
        <v>0.0°C</v>
      </c>
      <c r="I7" s="77" t="str">
        <f ca="1">IFERROR(CONCATENATE(FIXED(Calibración!C34,decim),unidad),"")</f>
        <v>0.0°C</v>
      </c>
      <c r="J7" s="77" t="str">
        <f ca="1">IFERROR(CONCATENATE(FIXED(Calibración!C35,decim),unidad),"")</f>
        <v>0.0°C</v>
      </c>
      <c r="K7" s="77" t="str">
        <f ca="1">IFERROR(CONCATENATE(FIXED(Calibración!C36,decim),unidad),"")</f>
        <v>0.0°C</v>
      </c>
      <c r="L7" s="77" t="str">
        <f ca="1">IFERROR(CONCATENATE(FIXED(Calibración!C37,decim),unidad),"")</f>
        <v>0.0°C</v>
      </c>
      <c r="M7" s="77" t="str">
        <f ca="1">IFERROR(CONCATENATE(FIXED(Calibración!C38,decim),unidad),"")</f>
        <v>0.0°C</v>
      </c>
      <c r="N7" s="77" t="str">
        <f ca="1">IFERROR(CONCATENATE(FIXED(Calibración!C39,decim),unidad),"")</f>
        <v>0.0°C</v>
      </c>
      <c r="O7" s="77" t="str">
        <f ca="1">IFERROR(CONCATENATE(FIXED(Calibración!C40,decim),unidad),"")</f>
        <v>0.0°C</v>
      </c>
      <c r="P7" s="77" t="str">
        <f ca="1">IFERROR(CONCATENATE(FIXED(Calibración!C41,decim),unidad),"")</f>
        <v>0.0°C</v>
      </c>
    </row>
    <row r="8" spans="1:16" x14ac:dyDescent="0.25">
      <c r="B8" s="76" t="s">
        <v>198</v>
      </c>
      <c r="C8" s="76" t="s">
        <v>197</v>
      </c>
      <c r="D8" s="76" t="s">
        <v>196</v>
      </c>
      <c r="E8" s="76" t="s">
        <v>195</v>
      </c>
      <c r="F8" s="76" t="s">
        <v>194</v>
      </c>
      <c r="G8" s="304" t="s">
        <v>213</v>
      </c>
      <c r="H8" s="304" t="s">
        <v>212</v>
      </c>
      <c r="I8" s="304" t="s">
        <v>211</v>
      </c>
      <c r="J8" s="304" t="s">
        <v>210</v>
      </c>
      <c r="K8" s="304" t="s">
        <v>209</v>
      </c>
      <c r="L8" s="304" t="s">
        <v>208</v>
      </c>
      <c r="M8" s="304" t="s">
        <v>207</v>
      </c>
      <c r="N8" s="304" t="s">
        <v>206</v>
      </c>
      <c r="O8" s="304" t="s">
        <v>205</v>
      </c>
      <c r="P8" s="304" t="s">
        <v>204</v>
      </c>
    </row>
    <row r="9" spans="1:16" x14ac:dyDescent="0.25">
      <c r="B9" s="71" t="s">
        <v>183</v>
      </c>
      <c r="C9" s="69" t="s">
        <v>182</v>
      </c>
      <c r="D9" s="68" t="s">
        <v>165</v>
      </c>
      <c r="E9" s="73">
        <f>SQRT(12)</f>
        <v>3.4641016151377544</v>
      </c>
      <c r="F9" s="72">
        <v>1</v>
      </c>
      <c r="G9" s="80">
        <f ca="1">IF(G10=0,0,DivEscalaPatr*'kU(E)'!$F9/'kU(E)'!$E9)</f>
        <v>2.886751345948129E-4</v>
      </c>
      <c r="H9" s="80">
        <f ca="1">IF(H10=0,0,DivEscalaPatr*'kU(E)'!$F9/'kU(E)'!$E9)</f>
        <v>2.886751345948129E-4</v>
      </c>
      <c r="I9" s="80">
        <f ca="1">IF(I10=0,0,DivEscalaPatr*'kU(E)'!$F9/'kU(E)'!$E9)</f>
        <v>2.886751345948129E-4</v>
      </c>
      <c r="J9" s="80">
        <f ca="1">IF(J10=0,0,DivEscalaPatr*'kU(E)'!$F9/'kU(E)'!$E9)</f>
        <v>2.886751345948129E-4</v>
      </c>
      <c r="K9" s="80">
        <f ca="1">IF(K10=0,0,DivEscalaPatr*'kU(E)'!$F9/'kU(E)'!$E9)</f>
        <v>2.886751345948129E-4</v>
      </c>
      <c r="L9" s="80">
        <f ca="1">IF(L10=0,0,DivEscalaPatr*'kU(E)'!$F9/'kU(E)'!$E9)</f>
        <v>2.886751345948129E-4</v>
      </c>
      <c r="M9" s="80">
        <f ca="1">IF(M10=0,0,DivEscalaPatr*'kU(E)'!$F9/'kU(E)'!$E9)</f>
        <v>2.886751345948129E-4</v>
      </c>
      <c r="N9" s="80">
        <f ca="1">IF(N10=0,0,DivEscalaPatr*'kU(E)'!$F9/'kU(E)'!$E9)</f>
        <v>2.886751345948129E-4</v>
      </c>
      <c r="O9" s="80">
        <f ca="1">IF(O10=0,0,DivEscalaPatr*'kU(E)'!$F9/'kU(E)'!$E9)</f>
        <v>2.886751345948129E-4</v>
      </c>
      <c r="P9" s="80">
        <f ca="1">IF(P10=0,0,DivEscalaPatr*'kU(E)'!$F9/'kU(E)'!$E9)</f>
        <v>2.886751345948129E-4</v>
      </c>
    </row>
    <row r="10" spans="1:16" x14ac:dyDescent="0.25">
      <c r="B10" s="71" t="s">
        <v>181</v>
      </c>
      <c r="C10" s="69" t="s">
        <v>180</v>
      </c>
      <c r="D10" s="68" t="s">
        <v>203</v>
      </c>
      <c r="E10" s="72">
        <v>2</v>
      </c>
      <c r="F10" s="72">
        <v>1</v>
      </c>
      <c r="G10" s="80">
        <f ca="1">IFERROR(INDEX(tblResultCalib[Incertid. patrón],MATCH(_xlfn.NUMBERVALUE(INDIRECT(ADDRESS(8,COLUMN()))),tblResultCalib['#],0))*'kU(E)'!$F10/'kU(E)'!$E10,0)</f>
        <v>0.01</v>
      </c>
      <c r="H10" s="80">
        <f ca="1">IFERROR(INDEX(tblResultCalib[Incertid. patrón],MATCH(_xlfn.NUMBERVALUE(INDIRECT(ADDRESS(8,COLUMN()))),tblResultCalib['#],0))*'kU(E)'!$F10/'kU(E)'!$E10,0)</f>
        <v>0.01</v>
      </c>
      <c r="I10" s="80">
        <f ca="1">IFERROR(INDEX(tblResultCalib[Incertid. patrón],MATCH(_xlfn.NUMBERVALUE(INDIRECT(ADDRESS(8,COLUMN()))),tblResultCalib['#],0))*'kU(E)'!$F10/'kU(E)'!$E10,0)</f>
        <v>0.01</v>
      </c>
      <c r="J10" s="80">
        <f ca="1">IFERROR(INDEX(tblResultCalib[Incertid. patrón],MATCH(_xlfn.NUMBERVALUE(INDIRECT(ADDRESS(8,COLUMN()))),tblResultCalib['#],0))*'kU(E)'!$F10/'kU(E)'!$E10,0)</f>
        <v>0.01</v>
      </c>
      <c r="K10" s="80">
        <f ca="1">IFERROR(INDEX(tblResultCalib[Incertid. patrón],MATCH(_xlfn.NUMBERVALUE(INDIRECT(ADDRESS(8,COLUMN()))),tblResultCalib['#],0))*'kU(E)'!$F10/'kU(E)'!$E10,0)</f>
        <v>0.01</v>
      </c>
      <c r="L10" s="80">
        <f ca="1">IFERROR(INDEX(tblResultCalib[Incertid. patrón],MATCH(_xlfn.NUMBERVALUE(INDIRECT(ADDRESS(8,COLUMN()))),tblResultCalib['#],0))*'kU(E)'!$F10/'kU(E)'!$E10,0)</f>
        <v>0.01</v>
      </c>
      <c r="M10" s="80">
        <f ca="1">IFERROR(INDEX(tblResultCalib[Incertid. patrón],MATCH(_xlfn.NUMBERVALUE(INDIRECT(ADDRESS(8,COLUMN()))),tblResultCalib['#],0))*'kU(E)'!$F10/'kU(E)'!$E10,0)</f>
        <v>0.01</v>
      </c>
      <c r="N10" s="80">
        <f ca="1">IFERROR(INDEX(tblResultCalib[Incertid. patrón],MATCH(_xlfn.NUMBERVALUE(INDIRECT(ADDRESS(8,COLUMN()))),tblResultCalib['#],0))*'kU(E)'!$F10/'kU(E)'!$E10,0)</f>
        <v>0.01</v>
      </c>
      <c r="O10" s="80">
        <f ca="1">IFERROR(INDEX(tblResultCalib[Incertid. patrón],MATCH(_xlfn.NUMBERVALUE(INDIRECT(ADDRESS(8,COLUMN()))),tblResultCalib['#],0))*'kU(E)'!$F10/'kU(E)'!$E10,0)</f>
        <v>0.01</v>
      </c>
      <c r="P10" s="80">
        <f ca="1">IFERROR(INDEX(tblResultCalib[Incertid. patrón],MATCH(_xlfn.NUMBERVALUE(INDIRECT(ADDRESS(8,COLUMN()))),tblResultCalib['#],0))*'kU(E)'!$F10/'kU(E)'!$E10,0)</f>
        <v>0.01</v>
      </c>
    </row>
    <row r="11" spans="1:16" x14ac:dyDescent="0.25">
      <c r="B11" s="71" t="s">
        <v>178</v>
      </c>
      <c r="C11" s="69" t="s">
        <v>177</v>
      </c>
      <c r="D11" s="68" t="s">
        <v>176</v>
      </c>
      <c r="E11" s="73">
        <f>SQRT(6)</f>
        <v>2.4494897427831779</v>
      </c>
      <c r="F11" s="72">
        <v>1</v>
      </c>
      <c r="G11" s="80">
        <f ca="1">IFERROR(INDEX(tblResultCalib[Corrección patrón],MATCH(_xlfn.NUMBERVALUE(INDIRECT(ADDRESS(8,COLUMN()))),tblResultCalib['#],0))*'kU(E)'!$F11/'kU(E)'!$E11,0)</f>
        <v>-8.2294620683627507E-4</v>
      </c>
      <c r="H11" s="80">
        <f ca="1">IFERROR(INDEX(tblResultCalib[Corrección patrón],MATCH(_xlfn.NUMBERVALUE(INDIRECT(ADDRESS(8,COLUMN()))),tblResultCalib['#],0))*'kU(E)'!$F11/'kU(E)'!$E11,0)</f>
        <v>-8.2294620683627507E-4</v>
      </c>
      <c r="I11" s="80">
        <f ca="1">IFERROR(INDEX(tblResultCalib[Corrección patrón],MATCH(_xlfn.NUMBERVALUE(INDIRECT(ADDRESS(8,COLUMN()))),tblResultCalib['#],0))*'kU(E)'!$F11/'kU(E)'!$E11,0)</f>
        <v>-8.2294620683627507E-4</v>
      </c>
      <c r="J11" s="80">
        <f ca="1">IFERROR(INDEX(tblResultCalib[Corrección patrón],MATCH(_xlfn.NUMBERVALUE(INDIRECT(ADDRESS(8,COLUMN()))),tblResultCalib['#],0))*'kU(E)'!$F11/'kU(E)'!$E11,0)</f>
        <v>-8.2294620683627507E-4</v>
      </c>
      <c r="K11" s="80">
        <f ca="1">IFERROR(INDEX(tblResultCalib[Corrección patrón],MATCH(_xlfn.NUMBERVALUE(INDIRECT(ADDRESS(8,COLUMN()))),tblResultCalib['#],0))*'kU(E)'!$F11/'kU(E)'!$E11,0)</f>
        <v>-8.2294620683627507E-4</v>
      </c>
      <c r="L11" s="80">
        <f ca="1">IFERROR(INDEX(tblResultCalib[Corrección patrón],MATCH(_xlfn.NUMBERVALUE(INDIRECT(ADDRESS(8,COLUMN()))),tblResultCalib['#],0))*'kU(E)'!$F11/'kU(E)'!$E11,0)</f>
        <v>-8.2294620683627507E-4</v>
      </c>
      <c r="M11" s="80">
        <f ca="1">IFERROR(INDEX(tblResultCalib[Corrección patrón],MATCH(_xlfn.NUMBERVALUE(INDIRECT(ADDRESS(8,COLUMN()))),tblResultCalib['#],0))*'kU(E)'!$F11/'kU(E)'!$E11,0)</f>
        <v>-8.2294620683627507E-4</v>
      </c>
      <c r="N11" s="80">
        <f ca="1">IFERROR(INDEX(tblResultCalib[Corrección patrón],MATCH(_xlfn.NUMBERVALUE(INDIRECT(ADDRESS(8,COLUMN()))),tblResultCalib['#],0))*'kU(E)'!$F11/'kU(E)'!$E11,0)</f>
        <v>-8.2294620683627507E-4</v>
      </c>
      <c r="O11" s="80">
        <f ca="1">IFERROR(INDEX(tblResultCalib[Corrección patrón],MATCH(_xlfn.NUMBERVALUE(INDIRECT(ADDRESS(8,COLUMN()))),tblResultCalib['#],0))*'kU(E)'!$F11/'kU(E)'!$E11,0)</f>
        <v>-8.2294620683627507E-4</v>
      </c>
      <c r="P11" s="80">
        <f ca="1">IFERROR(INDEX(tblResultCalib[Corrección patrón],MATCH(_xlfn.NUMBERVALUE(INDIRECT(ADDRESS(8,COLUMN()))),tblResultCalib['#],0))*'kU(E)'!$F11/'kU(E)'!$E11,0)</f>
        <v>-8.2294620683627507E-4</v>
      </c>
    </row>
    <row r="12" spans="1:16" x14ac:dyDescent="0.25">
      <c r="A12" s="81" t="s">
        <v>49</v>
      </c>
      <c r="B12" s="71" t="s">
        <v>175</v>
      </c>
      <c r="C12" s="69" t="s">
        <v>174</v>
      </c>
      <c r="D12" s="68" t="s">
        <v>165</v>
      </c>
      <c r="E12" s="73">
        <f>SQRT(3)</f>
        <v>1.7320508075688772</v>
      </c>
      <c r="F12" s="72">
        <v>1</v>
      </c>
      <c r="G12" s="80">
        <f ca="1">IF($A$12="No",0,IFERROR(INDEX(tblResultCalib[Deriva patrón],MATCH(_xlfn.NUMBERVALUE(INDIRECT(ADDRESS(8,COLUMN()))),tblResultCalib['#],0))*'kU(E)'!$F12/'kU(E)'!$E12,0))</f>
        <v>5.8522762465371473E-4</v>
      </c>
      <c r="H12" s="80">
        <f ca="1">IF($A$12="No",0,IFERROR(INDEX(tblResultCalib[Deriva patrón],MATCH(_xlfn.NUMBERVALUE(INDIRECT(ADDRESS(8,COLUMN()))),tblResultCalib['#],0))*'kU(E)'!$F12/'kU(E)'!$E12,0))</f>
        <v>5.8522762465371473E-4</v>
      </c>
      <c r="I12" s="80">
        <f ca="1">IF($A$12="No",0,IFERROR(INDEX(tblResultCalib[Deriva patrón],MATCH(_xlfn.NUMBERVALUE(INDIRECT(ADDRESS(8,COLUMN()))),tblResultCalib['#],0))*'kU(E)'!$F12/'kU(E)'!$E12,0))</f>
        <v>5.8522762465371473E-4</v>
      </c>
      <c r="J12" s="80">
        <f ca="1">IF($A$12="No",0,IFERROR(INDEX(tblResultCalib[Deriva patrón],MATCH(_xlfn.NUMBERVALUE(INDIRECT(ADDRESS(8,COLUMN()))),tblResultCalib['#],0))*'kU(E)'!$F12/'kU(E)'!$E12,0))</f>
        <v>5.8522762465371473E-4</v>
      </c>
      <c r="K12" s="80">
        <f ca="1">IF($A$12="No",0,IFERROR(INDEX(tblResultCalib[Deriva patrón],MATCH(_xlfn.NUMBERVALUE(INDIRECT(ADDRESS(8,COLUMN()))),tblResultCalib['#],0))*'kU(E)'!$F12/'kU(E)'!$E12,0))</f>
        <v>5.8522762465371473E-4</v>
      </c>
      <c r="L12" s="80">
        <f ca="1">IF($A$12="No",0,IFERROR(INDEX(tblResultCalib[Deriva patrón],MATCH(_xlfn.NUMBERVALUE(INDIRECT(ADDRESS(8,COLUMN()))),tblResultCalib['#],0))*'kU(E)'!$F12/'kU(E)'!$E12,0))</f>
        <v>5.8522762465371473E-4</v>
      </c>
      <c r="M12" s="80">
        <f ca="1">IF($A$12="No",0,IFERROR(INDEX(tblResultCalib[Deriva patrón],MATCH(_xlfn.NUMBERVALUE(INDIRECT(ADDRESS(8,COLUMN()))),tblResultCalib['#],0))*'kU(E)'!$F12/'kU(E)'!$E12,0))</f>
        <v>5.8522762465371473E-4</v>
      </c>
      <c r="N12" s="80">
        <f ca="1">IF($A$12="No",0,IFERROR(INDEX(tblResultCalib[Deriva patrón],MATCH(_xlfn.NUMBERVALUE(INDIRECT(ADDRESS(8,COLUMN()))),tblResultCalib['#],0))*'kU(E)'!$F12/'kU(E)'!$E12,0))</f>
        <v>5.8522762465371473E-4</v>
      </c>
      <c r="O12" s="80">
        <f ca="1">IF($A$12="No",0,IFERROR(INDEX(tblResultCalib[Deriva patrón],MATCH(_xlfn.NUMBERVALUE(INDIRECT(ADDRESS(8,COLUMN()))),tblResultCalib['#],0))*'kU(E)'!$F12/'kU(E)'!$E12,0))</f>
        <v>5.8522762465371473E-4</v>
      </c>
      <c r="P12" s="80">
        <f ca="1">IF($A$12="No",0,IFERROR(INDEX(tblResultCalib[Deriva patrón],MATCH(_xlfn.NUMBERVALUE(INDIRECT(ADDRESS(8,COLUMN()))),tblResultCalib['#],0))*'kU(E)'!$F12/'kU(E)'!$E12,0))</f>
        <v>5.8522762465371473E-4</v>
      </c>
    </row>
    <row r="13" spans="1:16" x14ac:dyDescent="0.25">
      <c r="B13" s="71" t="s">
        <v>173</v>
      </c>
      <c r="C13" s="69" t="s">
        <v>172</v>
      </c>
      <c r="D13" s="68" t="s">
        <v>165</v>
      </c>
      <c r="E13" s="67">
        <f>SQRT(3)</f>
        <v>1.7320508075688772</v>
      </c>
      <c r="F13" s="66">
        <v>1</v>
      </c>
      <c r="G13" s="80">
        <f ca="1">IF(G10=0,0,Incert_Pozo*'kU(E)'!$F13/'kU(E)'!$E13)</f>
        <v>1.1902380714238086E-2</v>
      </c>
      <c r="H13" s="80">
        <f ca="1">IF(H10=0,0,Incert_Pozo*'kU(E)'!$F13/'kU(E)'!$E13)</f>
        <v>1.1902380714238086E-2</v>
      </c>
      <c r="I13" s="80">
        <f ca="1">IF(I10=0,0,Incert_Pozo*'kU(E)'!$F13/'kU(E)'!$E13)</f>
        <v>1.1902380714238086E-2</v>
      </c>
      <c r="J13" s="80">
        <f ca="1">IF(J10=0,0,Incert_Pozo*'kU(E)'!$F13/'kU(E)'!$E13)</f>
        <v>1.1902380714238086E-2</v>
      </c>
      <c r="K13" s="80">
        <f ca="1">IF(K10=0,0,Incert_Pozo*'kU(E)'!$F13/'kU(E)'!$E13)</f>
        <v>1.1902380714238086E-2</v>
      </c>
      <c r="L13" s="80">
        <f ca="1">IF(L10=0,0,Incert_Pozo*'kU(E)'!$F13/'kU(E)'!$E13)</f>
        <v>1.1902380714238086E-2</v>
      </c>
      <c r="M13" s="80">
        <f ca="1">IF(M10=0,0,Incert_Pozo*'kU(E)'!$F13/'kU(E)'!$E13)</f>
        <v>1.1902380714238086E-2</v>
      </c>
      <c r="N13" s="80">
        <f ca="1">IF(N10=0,0,Incert_Pozo*'kU(E)'!$F13/'kU(E)'!$E13)</f>
        <v>1.1902380714238086E-2</v>
      </c>
      <c r="O13" s="80">
        <f ca="1">IF(O10=0,0,Incert_Pozo*'kU(E)'!$F13/'kU(E)'!$E13)</f>
        <v>1.1902380714238086E-2</v>
      </c>
      <c r="P13" s="80">
        <f ca="1">IF(P10=0,0,Incert_Pozo*'kU(E)'!$F13/'kU(E)'!$E13)</f>
        <v>1.1902380714238086E-2</v>
      </c>
    </row>
    <row r="14" spans="1:16" x14ac:dyDescent="0.25">
      <c r="B14" s="71" t="s">
        <v>171</v>
      </c>
      <c r="C14" s="69" t="s">
        <v>170</v>
      </c>
      <c r="D14" s="68" t="s">
        <v>165</v>
      </c>
      <c r="E14" s="67">
        <f>2*SQRT(3)</f>
        <v>3.4641016151377544</v>
      </c>
      <c r="F14" s="72">
        <v>1</v>
      </c>
      <c r="G14" s="80">
        <f ca="1">IF(G10=0,0,ResolTerm*'kU(E)'!$F14/'kU(E)'!$E14)</f>
        <v>5.7735026918962581E-2</v>
      </c>
      <c r="H14" s="80">
        <f ca="1">IF(H10=0,0,ResolTerm*'kU(E)'!$F14/'kU(E)'!$E14)</f>
        <v>5.7735026918962581E-2</v>
      </c>
      <c r="I14" s="80">
        <f ca="1">IF(I10=0,0,ResolTerm*'kU(E)'!$F14/'kU(E)'!$E14)</f>
        <v>5.7735026918962581E-2</v>
      </c>
      <c r="J14" s="80">
        <f ca="1">IF(J10=0,0,ResolTerm*'kU(E)'!$F14/'kU(E)'!$E14)</f>
        <v>5.7735026918962581E-2</v>
      </c>
      <c r="K14" s="80">
        <f ca="1">IF(K10=0,0,ResolTerm*'kU(E)'!$F14/'kU(E)'!$E14)</f>
        <v>5.7735026918962581E-2</v>
      </c>
      <c r="L14" s="80">
        <f ca="1">IF(L10=0,0,ResolTerm*'kU(E)'!$F14/'kU(E)'!$E14)</f>
        <v>5.7735026918962581E-2</v>
      </c>
      <c r="M14" s="80">
        <f ca="1">IF(M10=0,0,ResolTerm*'kU(E)'!$F14/'kU(E)'!$E14)</f>
        <v>5.7735026918962581E-2</v>
      </c>
      <c r="N14" s="80">
        <f ca="1">IF(N10=0,0,ResolTerm*'kU(E)'!$F14/'kU(E)'!$E14)</f>
        <v>5.7735026918962581E-2</v>
      </c>
      <c r="O14" s="80">
        <f ca="1">IF(O10=0,0,ResolTerm*'kU(E)'!$F14/'kU(E)'!$E14)</f>
        <v>5.7735026918962581E-2</v>
      </c>
      <c r="P14" s="80">
        <f ca="1">IF(P10=0,0,ResolTerm*'kU(E)'!$F14/'kU(E)'!$E14)</f>
        <v>5.7735026918962581E-2</v>
      </c>
    </row>
    <row r="15" spans="1:16" x14ac:dyDescent="0.25">
      <c r="B15" s="71" t="s">
        <v>169</v>
      </c>
      <c r="C15" s="69" t="s">
        <v>168</v>
      </c>
      <c r="D15" s="68" t="s">
        <v>165</v>
      </c>
      <c r="E15" s="67">
        <f>SQRT(3)</f>
        <v>1.7320508075688772</v>
      </c>
      <c r="F15" s="66">
        <v>1</v>
      </c>
      <c r="G15" s="80">
        <f ca="1">IFERROR(OFFSET(Calibración!$K$15,G$8-1,0)*'kU(E)'!$F15/'kU(E)'!$E15,0)</f>
        <v>0</v>
      </c>
      <c r="H15" s="80">
        <f>IFERROR(Calibración!$K16*'kU(E)'!$F15/'kU(E)'!$E15,0)</f>
        <v>0</v>
      </c>
      <c r="I15" s="80">
        <f>IFERROR(Calibración!$K17*'kU(E)'!$F15/'kU(E)'!$E15,0)</f>
        <v>0</v>
      </c>
      <c r="J15" s="80">
        <f>IFERROR(Calibración!$K18*'kU(E)'!$F15/'kU(E)'!$E15,0)</f>
        <v>0</v>
      </c>
      <c r="K15" s="80">
        <f>IFERROR(Calibración!$K19*'kU(E)'!$F15/'kU(E)'!$E15,0)</f>
        <v>0</v>
      </c>
      <c r="L15" s="80">
        <f>IFERROR(Calibración!$K20*'kU(E)'!$F15/'kU(E)'!$E15,0)</f>
        <v>0</v>
      </c>
      <c r="M15" s="80">
        <f>IFERROR(Calibración!$K21*'kU(E)'!$F15/'kU(E)'!$E15,0)</f>
        <v>0</v>
      </c>
      <c r="N15" s="80">
        <f>IFERROR(Calibración!$K22*'kU(E)'!$F15/'kU(E)'!$E15,0)</f>
        <v>0</v>
      </c>
      <c r="O15" s="80">
        <f>IFERROR(Calibración!$K23*'kU(E)'!$F15/'kU(E)'!$E15,0)</f>
        <v>0</v>
      </c>
      <c r="P15" s="80">
        <f>IFERROR(Calibración!$K24*'kU(E)'!$F15/'kU(E)'!$E15,0)</f>
        <v>0</v>
      </c>
    </row>
    <row r="16" spans="1:16" x14ac:dyDescent="0.25">
      <c r="B16" s="303" t="s">
        <v>167</v>
      </c>
      <c r="C16" s="69" t="s">
        <v>166</v>
      </c>
      <c r="D16" s="68" t="s">
        <v>165</v>
      </c>
      <c r="E16" s="67">
        <f>SQRT(3)</f>
        <v>1.7320508075688772</v>
      </c>
      <c r="F16" s="66">
        <v>1</v>
      </c>
      <c r="G16" s="80">
        <f ca="1">IFERROR(IF(G10=0,0,SQRT(IFERROR(POWER(OFFSET(Calibración!$U$15,G$8-1,0)*'kU(E)'!$F16/'kU(E)'!$E16,2),0)+IFERROR(POWER(OFFSET(Calibración!$V$15,G$8-1,0)*'kU(E)'!$F16/'kU(E)'!$E16,2),0))),0)</f>
        <v>0</v>
      </c>
      <c r="H16" s="80">
        <f ca="1">IFERROR(IF(H10=0,0,SQRT(IFERROR(POWER(OFFSET(Calibración!$U$15,H$8-1,0)*'kU(E)'!$F16/'kU(E)'!$E16,2),0)+IFERROR(POWER(OFFSET(Calibración!$V$15,H$8-1,0)*'kU(E)'!$F16/'kU(E)'!$E16,2),0))),0)</f>
        <v>0</v>
      </c>
      <c r="I16" s="80">
        <f ca="1">IFERROR(IF(I10=0,0,SQRT(IFERROR(POWER(OFFSET(Calibración!$U$15,I$8-1,0)*'kU(E)'!$F16/'kU(E)'!$E16,2),0)+IFERROR(POWER(OFFSET(Calibración!$V$15,I$8-1,0)*'kU(E)'!$F16/'kU(E)'!$E16,2),0))),0)</f>
        <v>0</v>
      </c>
      <c r="J16" s="80">
        <f ca="1">IFERROR(IF(J10=0,0,SQRT(IFERROR(POWER(OFFSET(Calibración!$U$15,J$8-1,0)*'kU(E)'!$F16/'kU(E)'!$E16,2),0)+IFERROR(POWER(OFFSET(Calibración!$V$15,J$8-1,0)*'kU(E)'!$F16/'kU(E)'!$E16,2),0))),0)</f>
        <v>0</v>
      </c>
      <c r="K16" s="80">
        <f ca="1">IFERROR(IF(K10=0,0,SQRT(IFERROR(POWER(OFFSET(Calibración!$U$15,K$8-1,0)*'kU(E)'!$F16/'kU(E)'!$E16,2),0)+IFERROR(POWER(OFFSET(Calibración!$V$15,K$8-1,0)*'kU(E)'!$F16/'kU(E)'!$E16,2),0))),0)</f>
        <v>0</v>
      </c>
      <c r="L16" s="80">
        <f ca="1">IFERROR(IF(L10=0,0,SQRT(IFERROR(POWER(OFFSET(Calibración!$U$15,L$8-1,0)*'kU(E)'!$F16/'kU(E)'!$E16,2),0)+IFERROR(POWER(OFFSET(Calibración!$V$15,L$8-1,0)*'kU(E)'!$F16/'kU(E)'!$E16,2),0))),0)</f>
        <v>0</v>
      </c>
      <c r="M16" s="80">
        <f ca="1">IFERROR(IF(M10=0,0,SQRT(IFERROR(POWER(OFFSET(Calibración!$U$15,M$8-1,0)*'kU(E)'!$F16/'kU(E)'!$E16,2),0)+IFERROR(POWER(OFFSET(Calibración!$V$15,M$8-1,0)*'kU(E)'!$F16/'kU(E)'!$E16,2),0))),0)</f>
        <v>0</v>
      </c>
      <c r="N16" s="80">
        <f ca="1">IFERROR(IF(N10=0,0,SQRT(IFERROR(POWER(OFFSET(Calibración!$U$15,N$8-1,0)*'kU(E)'!$F16/'kU(E)'!$E16,2),0)+IFERROR(POWER(OFFSET(Calibración!$V$15,N$8-1,0)*'kU(E)'!$F16/'kU(E)'!$E16,2),0))),0)</f>
        <v>0</v>
      </c>
      <c r="O16" s="80">
        <f ca="1">IFERROR(IF(O10=0,0,SQRT(IFERROR(POWER(OFFSET(Calibración!$U$15,O$8-1,0)*'kU(E)'!$F16/'kU(E)'!$E16,2),0)+IFERROR(POWER(OFFSET(Calibración!$V$15,O$8-1,0)*'kU(E)'!$F16/'kU(E)'!$E16,2),0))),0)</f>
        <v>0</v>
      </c>
      <c r="P16" s="80">
        <f ca="1">IFERROR(IF(P10=0,0,SQRT(IFERROR(POWER(OFFSET(Calibración!$U$15,P$8-1,0)*'kU(E)'!$F16/'kU(E)'!$E16,2),0)+IFERROR(POWER(OFFSET(Calibración!$V$15,P$8-1,0)*'kU(E)'!$F16/'kU(E)'!$E16,2),0))),0)</f>
        <v>0</v>
      </c>
    </row>
    <row r="17" spans="2:16" x14ac:dyDescent="0.25">
      <c r="B17" s="71" t="s">
        <v>202</v>
      </c>
      <c r="C17" s="305" t="s">
        <v>201</v>
      </c>
      <c r="D17" s="306" t="s">
        <v>200</v>
      </c>
      <c r="E17" s="307" t="str">
        <f>CONCATENATE("Todo en [",unidad,"]")</f>
        <v>Todo en [°C]</v>
      </c>
      <c r="F17" s="308"/>
      <c r="G17" s="79">
        <f t="shared" ref="G17:P17" ca="1" si="0">SQRT(SUMSQ(G9:G16))</f>
        <v>5.980052729838875E-2</v>
      </c>
      <c r="H17" s="79">
        <f t="shared" ca="1" si="0"/>
        <v>5.980052729838875E-2</v>
      </c>
      <c r="I17" s="79">
        <f t="shared" ca="1" si="0"/>
        <v>5.980052729838875E-2</v>
      </c>
      <c r="J17" s="79">
        <f t="shared" ca="1" si="0"/>
        <v>5.980052729838875E-2</v>
      </c>
      <c r="K17" s="79">
        <f t="shared" ca="1" si="0"/>
        <v>5.980052729838875E-2</v>
      </c>
      <c r="L17" s="79">
        <f t="shared" ca="1" si="0"/>
        <v>5.980052729838875E-2</v>
      </c>
      <c r="M17" s="79">
        <f t="shared" ca="1" si="0"/>
        <v>5.980052729838875E-2</v>
      </c>
      <c r="N17" s="79">
        <f t="shared" ca="1" si="0"/>
        <v>5.980052729838875E-2</v>
      </c>
      <c r="O17" s="79">
        <f t="shared" ca="1" si="0"/>
        <v>5.980052729838875E-2</v>
      </c>
      <c r="P17" s="79">
        <f t="shared" ca="1" si="0"/>
        <v>5.980052729838875E-2</v>
      </c>
    </row>
    <row r="21" spans="2:16" x14ac:dyDescent="0.25">
      <c r="B21" s="78" t="s">
        <v>199</v>
      </c>
      <c r="C21" s="57"/>
      <c r="D21" s="57"/>
      <c r="E21" s="57"/>
      <c r="F21" s="57"/>
      <c r="G21" s="77" t="str">
        <f t="shared" ref="G21:P21" ca="1" si="1">G7</f>
        <v>0.0°C</v>
      </c>
      <c r="H21" s="77" t="str">
        <f t="shared" ca="1" si="1"/>
        <v>0.0°C</v>
      </c>
      <c r="I21" s="77" t="str">
        <f t="shared" ca="1" si="1"/>
        <v>0.0°C</v>
      </c>
      <c r="J21" s="77" t="str">
        <f t="shared" ca="1" si="1"/>
        <v>0.0°C</v>
      </c>
      <c r="K21" s="77" t="str">
        <f t="shared" ca="1" si="1"/>
        <v>0.0°C</v>
      </c>
      <c r="L21" s="77" t="str">
        <f t="shared" ca="1" si="1"/>
        <v>0.0°C</v>
      </c>
      <c r="M21" s="77" t="str">
        <f t="shared" ca="1" si="1"/>
        <v>0.0°C</v>
      </c>
      <c r="N21" s="77" t="str">
        <f t="shared" ca="1" si="1"/>
        <v>0.0°C</v>
      </c>
      <c r="O21" s="77" t="str">
        <f t="shared" ca="1" si="1"/>
        <v>0.0°C</v>
      </c>
      <c r="P21" s="77" t="str">
        <f t="shared" ca="1" si="1"/>
        <v>0.0°C</v>
      </c>
    </row>
    <row r="22" spans="2:16" x14ac:dyDescent="0.25">
      <c r="B22" s="76" t="s">
        <v>198</v>
      </c>
      <c r="C22" s="76" t="s">
        <v>197</v>
      </c>
      <c r="D22" s="76" t="s">
        <v>196</v>
      </c>
      <c r="E22" s="76" t="s">
        <v>195</v>
      </c>
      <c r="F22" s="76" t="s">
        <v>194</v>
      </c>
      <c r="G22" s="75" t="s">
        <v>193</v>
      </c>
      <c r="H22" s="75" t="s">
        <v>192</v>
      </c>
      <c r="I22" s="75" t="s">
        <v>191</v>
      </c>
      <c r="J22" s="75" t="s">
        <v>190</v>
      </c>
      <c r="K22" s="75" t="s">
        <v>189</v>
      </c>
      <c r="L22" s="75" t="s">
        <v>188</v>
      </c>
      <c r="M22" s="75" t="s">
        <v>187</v>
      </c>
      <c r="N22" s="75" t="s">
        <v>186</v>
      </c>
      <c r="O22" s="75" t="s">
        <v>185</v>
      </c>
      <c r="P22" s="74" t="s">
        <v>184</v>
      </c>
    </row>
    <row r="23" spans="2:16" x14ac:dyDescent="0.25">
      <c r="B23" s="71" t="s">
        <v>183</v>
      </c>
      <c r="C23" s="69" t="s">
        <v>182</v>
      </c>
      <c r="D23" s="68" t="s">
        <v>165</v>
      </c>
      <c r="E23" s="73">
        <f>SQRT(12)</f>
        <v>3.4641016151377544</v>
      </c>
      <c r="F23" s="72">
        <v>1</v>
      </c>
      <c r="G23" s="64">
        <f t="array" aca="1" ref="G23" ca="1">IFERROR(ABS(G9)/SUM(ABS('kU(E)'!$G$9:$G$16)),0)</f>
        <v>3.5492441520311247E-3</v>
      </c>
      <c r="H23" s="64">
        <f t="array" aca="1" ref="H23" ca="1">IFERROR(ABS(H9)/SUM(ABS('kU(E)'!$H$9:$H$16)),0)</f>
        <v>3.5492441520311247E-3</v>
      </c>
      <c r="I23" s="64">
        <f t="array" aca="1" ref="I23" ca="1">IFERROR(ABS(I9)/SUM(ABS('kU(E)'!$I$9:$I$16)),0)</f>
        <v>3.5492441520311247E-3</v>
      </c>
      <c r="J23" s="64">
        <f t="array" aca="1" ref="J23" ca="1">IFERROR(ABS(J9)/SUM(ABS('kU(E)'!$J$9:$J$16)),0)</f>
        <v>3.5492441520311247E-3</v>
      </c>
      <c r="K23" s="64">
        <f t="array" aca="1" ref="K23" ca="1">IFERROR(ABS(K9)/SUM(ABS('kU(E)'!$K$9:$K$16)),0)</f>
        <v>3.5492441520311247E-3</v>
      </c>
      <c r="L23" s="64">
        <f t="array" aca="1" ref="L23" ca="1">IFERROR(ABS(L9)/SUM(ABS('kU(E)'!$L$9:$L$16)),0)</f>
        <v>3.5492441520311247E-3</v>
      </c>
      <c r="M23" s="64">
        <f t="array" aca="1" ref="M23" ca="1">IFERROR(ABS(M9)/SUM(ABS('kU(E)'!$M$9:$M$16)),0)</f>
        <v>3.5492441520311247E-3</v>
      </c>
      <c r="N23" s="64">
        <f t="array" aca="1" ref="N23" ca="1">IFERROR(ABS(N9)/SUM(ABS('kU(E)'!$N$9:$N$16)),0)</f>
        <v>3.5492441520311247E-3</v>
      </c>
      <c r="O23" s="64">
        <f t="array" aca="1" ref="O23" ca="1">IFERROR(ABS(O9)/SUM(ABS('kU(E)'!$O$9:$O$16)),0)</f>
        <v>3.5492441520311247E-3</v>
      </c>
      <c r="P23" s="64">
        <f ca="1">IFERROR(ABS(P9)/SUM(ABS('kU(E)'!$B9:$P16)),0)</f>
        <v>0</v>
      </c>
    </row>
    <row r="24" spans="2:16" x14ac:dyDescent="0.25">
      <c r="B24" s="71" t="s">
        <v>181</v>
      </c>
      <c r="C24" s="69" t="s">
        <v>180</v>
      </c>
      <c r="D24" s="68" t="s">
        <v>179</v>
      </c>
      <c r="E24" s="72">
        <v>2</v>
      </c>
      <c r="F24" s="72">
        <v>1</v>
      </c>
      <c r="G24" s="64">
        <f t="array" aca="1" ref="G24" ca="1">IFERROR(ABS(G10)/SUM(ABS('kU(E)'!$G$9:$G$16)),0)</f>
        <v>0.12294942399569249</v>
      </c>
      <c r="H24" s="64">
        <f t="array" aca="1" ref="H24" ca="1">IFERROR(ABS(H10)/SUM(ABS('kU(E)'!$H$9:$H$16)),0)</f>
        <v>0.12294942399569249</v>
      </c>
      <c r="I24" s="64">
        <f t="array" aca="1" ref="I24" ca="1">IFERROR(ABS(I10)/SUM(ABS('kU(E)'!$I$9:$I$16)),0)</f>
        <v>0.12294942399569249</v>
      </c>
      <c r="J24" s="64">
        <f t="array" aca="1" ref="J24" ca="1">IFERROR(ABS(J10)/SUM(ABS('kU(E)'!$J$9:$J$16)),0)</f>
        <v>0.12294942399569249</v>
      </c>
      <c r="K24" s="64">
        <f t="array" aca="1" ref="K24" ca="1">IFERROR(ABS(K10)/SUM(ABS('kU(E)'!$K$9:$K$16)),0)</f>
        <v>0.12294942399569249</v>
      </c>
      <c r="L24" s="64">
        <f t="array" aca="1" ref="L24" ca="1">IFERROR(ABS(L10)/SUM(ABS('kU(E)'!$L$9:$L$16)),0)</f>
        <v>0.12294942399569249</v>
      </c>
      <c r="M24" s="64">
        <f t="array" aca="1" ref="M24" ca="1">IFERROR(ABS(M10)/SUM(ABS('kU(E)'!$M$9:$M$16)),0)</f>
        <v>0.12294942399569249</v>
      </c>
      <c r="N24" s="64">
        <f t="array" aca="1" ref="N24" ca="1">IFERROR(ABS(N10)/SUM(ABS('kU(E)'!$N$9:$N$16)),0)</f>
        <v>0.12294942399569249</v>
      </c>
      <c r="O24" s="64">
        <f t="array" aca="1" ref="O24" ca="1">IFERROR(ABS(O10)/SUM(ABS('kU(E)'!$O$9:$O$16)),0)</f>
        <v>0.12294942399569249</v>
      </c>
      <c r="P24" s="64">
        <f ca="1">IFERROR(ABS(P10)/SUM(ABS('kU(E)'!$B9:$P16)),0)</f>
        <v>0</v>
      </c>
    </row>
    <row r="25" spans="2:16" x14ac:dyDescent="0.25">
      <c r="B25" s="71" t="s">
        <v>178</v>
      </c>
      <c r="C25" s="69" t="s">
        <v>177</v>
      </c>
      <c r="D25" s="68" t="s">
        <v>176</v>
      </c>
      <c r="E25" s="73">
        <f>SQRT(6)</f>
        <v>2.4494897427831779</v>
      </c>
      <c r="F25" s="72">
        <v>1</v>
      </c>
      <c r="G25" s="64">
        <f t="array" aca="1" ref="G25" ca="1">IFERROR(ABS(G11)/SUM(ABS('kU(E)'!$G$9:$G$16)),0)</f>
        <v>1.0118076210996004E-2</v>
      </c>
      <c r="H25" s="64">
        <f t="array" aca="1" ref="H25" ca="1">IFERROR(ABS(H11)/SUM(ABS('kU(E)'!$H$9:$H$16)),0)</f>
        <v>1.0118076210996004E-2</v>
      </c>
      <c r="I25" s="64">
        <f t="array" aca="1" ref="I25" ca="1">IFERROR(ABS(I11)/SUM(ABS('kU(E)'!$I$9:$I$16)),0)</f>
        <v>1.0118076210996004E-2</v>
      </c>
      <c r="J25" s="64">
        <f t="array" aca="1" ref="J25" ca="1">IFERROR(ABS(J11)/SUM(ABS('kU(E)'!$J$9:$J$16)),0)</f>
        <v>1.0118076210996004E-2</v>
      </c>
      <c r="K25" s="64">
        <f t="array" aca="1" ref="K25" ca="1">IFERROR(ABS(K11)/SUM(ABS('kU(E)'!$K$9:$K$16)),0)</f>
        <v>1.0118076210996004E-2</v>
      </c>
      <c r="L25" s="64">
        <f t="array" aca="1" ref="L25" ca="1">IFERROR(ABS(L11)/SUM(ABS('kU(E)'!$L$9:$L$16)),0)</f>
        <v>1.0118076210996004E-2</v>
      </c>
      <c r="M25" s="64">
        <f t="array" aca="1" ref="M25" ca="1">IFERROR(ABS(M11)/SUM(ABS('kU(E)'!$M$9:$M$16)),0)</f>
        <v>1.0118076210996004E-2</v>
      </c>
      <c r="N25" s="64">
        <f t="array" aca="1" ref="N25" ca="1">IFERROR(ABS(N11)/SUM(ABS('kU(E)'!$N$9:$N$16)),0)</f>
        <v>1.0118076210996004E-2</v>
      </c>
      <c r="O25" s="64">
        <f t="array" aca="1" ref="O25" ca="1">IFERROR(ABS(O11)/SUM(ABS('kU(E)'!$O$9:$O$16)),0)</f>
        <v>1.0118076210996004E-2</v>
      </c>
      <c r="P25" s="64">
        <f ca="1">IFERROR(ABS(P11)/SUM(ABS('kU(E)'!$B9:$P16)),0)</f>
        <v>0</v>
      </c>
    </row>
    <row r="26" spans="2:16" x14ac:dyDescent="0.25">
      <c r="B26" s="71" t="s">
        <v>175</v>
      </c>
      <c r="C26" s="69" t="s">
        <v>174</v>
      </c>
      <c r="D26" s="68" t="s">
        <v>165</v>
      </c>
      <c r="E26" s="73">
        <f>SQRT(3)</f>
        <v>1.7320508075688772</v>
      </c>
      <c r="F26" s="72">
        <v>1</v>
      </c>
      <c r="G26" s="64">
        <f t="array" aca="1" ref="G26" ca="1">IFERROR(ABS(G12)/SUM(ABS('kU(E)'!$G$9:$G$16)),0)</f>
        <v>7.195339935754155E-3</v>
      </c>
      <c r="H26" s="64">
        <f t="array" aca="1" ref="H26" ca="1">IFERROR(ABS(H12)/SUM(ABS('kU(E)'!$H$9:$H$16)),0)</f>
        <v>7.195339935754155E-3</v>
      </c>
      <c r="I26" s="64">
        <f t="array" aca="1" ref="I26" ca="1">IFERROR(ABS(I12)/SUM(ABS('kU(E)'!$I$9:$I$16)),0)</f>
        <v>7.195339935754155E-3</v>
      </c>
      <c r="J26" s="64">
        <f t="array" aca="1" ref="J26" ca="1">IFERROR(ABS(J12)/SUM(ABS('kU(E)'!$J$9:$J$16)),0)</f>
        <v>7.195339935754155E-3</v>
      </c>
      <c r="K26" s="64">
        <f t="array" aca="1" ref="K26" ca="1">IFERROR(ABS(K12)/SUM(ABS('kU(E)'!$K$9:$K$16)),0)</f>
        <v>7.195339935754155E-3</v>
      </c>
      <c r="L26" s="64">
        <f t="array" aca="1" ref="L26" ca="1">IFERROR(ABS(L12)/SUM(ABS('kU(E)'!$L$9:$L$16)),0)</f>
        <v>7.195339935754155E-3</v>
      </c>
      <c r="M26" s="64">
        <f t="array" aca="1" ref="M26" ca="1">IFERROR(ABS(M12)/SUM(ABS('kU(E)'!$M$9:$M$16)),0)</f>
        <v>7.195339935754155E-3</v>
      </c>
      <c r="N26" s="64">
        <f t="array" aca="1" ref="N26" ca="1">IFERROR(ABS(N12)/SUM(ABS('kU(E)'!$N$9:$N$16)),0)</f>
        <v>7.195339935754155E-3</v>
      </c>
      <c r="O26" s="64">
        <f t="array" aca="1" ref="O26" ca="1">IFERROR(ABS(O12)/SUM(ABS('kU(E)'!$O$9:$O$16)),0)</f>
        <v>7.195339935754155E-3</v>
      </c>
      <c r="P26" s="64">
        <f ca="1">IFERROR(ABS(P12)/SUM(ABS('kU(E)'!$B9:$P16)),0)</f>
        <v>0</v>
      </c>
    </row>
    <row r="27" spans="2:16" x14ac:dyDescent="0.25">
      <c r="B27" s="71" t="s">
        <v>173</v>
      </c>
      <c r="C27" s="69" t="s">
        <v>172</v>
      </c>
      <c r="D27" s="68" t="s">
        <v>165</v>
      </c>
      <c r="E27" s="67">
        <f>SQRT(3)</f>
        <v>1.7320508075688772</v>
      </c>
      <c r="F27" s="66">
        <v>1</v>
      </c>
      <c r="G27" s="64">
        <f t="array" aca="1" ref="G27" ca="1">IFERROR(ABS(G13)/SUM(ABS('kU(E)'!$G$9:$G$16)),0)</f>
        <v>0.14633908529930117</v>
      </c>
      <c r="H27" s="64">
        <f t="array" aca="1" ref="H27" ca="1">IFERROR(ABS(H13)/SUM(ABS('kU(E)'!$H$9:$H$16)),0)</f>
        <v>0.14633908529930117</v>
      </c>
      <c r="I27" s="64">
        <f t="array" aca="1" ref="I27" ca="1">IFERROR(ABS(I13)/SUM(ABS('kU(E)'!$I$9:$I$16)),0)</f>
        <v>0.14633908529930117</v>
      </c>
      <c r="J27" s="64">
        <f t="array" aca="1" ref="J27" ca="1">IFERROR(ABS(J13)/SUM(ABS('kU(E)'!$J$9:$J$16)),0)</f>
        <v>0.14633908529930117</v>
      </c>
      <c r="K27" s="64">
        <f t="array" aca="1" ref="K27" ca="1">IFERROR(ABS(K13)/SUM(ABS('kU(E)'!$K$9:$K$16)),0)</f>
        <v>0.14633908529930117</v>
      </c>
      <c r="L27" s="64">
        <f t="array" aca="1" ref="L27" ca="1">IFERROR(ABS(L13)/SUM(ABS('kU(E)'!$L$9:$L$16)),0)</f>
        <v>0.14633908529930117</v>
      </c>
      <c r="M27" s="64">
        <f t="array" aca="1" ref="M27" ca="1">IFERROR(ABS(M13)/SUM(ABS('kU(E)'!$M$9:$M$16)),0)</f>
        <v>0.14633908529930117</v>
      </c>
      <c r="N27" s="64">
        <f t="array" aca="1" ref="N27" ca="1">IFERROR(ABS(N13)/SUM(ABS('kU(E)'!$N$9:$N$16)),0)</f>
        <v>0.14633908529930117</v>
      </c>
      <c r="O27" s="64">
        <f t="array" aca="1" ref="O27" ca="1">IFERROR(ABS(O13)/SUM(ABS('kU(E)'!$O$9:$O$16)),0)</f>
        <v>0.14633908529930117</v>
      </c>
      <c r="P27" s="64">
        <f ca="1">IFERROR(ABS(P13)/SUM(ABS('kU(E)'!$B9:$P16)),0)</f>
        <v>0</v>
      </c>
    </row>
    <row r="28" spans="2:16" x14ac:dyDescent="0.25">
      <c r="B28" s="71" t="s">
        <v>171</v>
      </c>
      <c r="C28" s="69" t="s">
        <v>170</v>
      </c>
      <c r="D28" s="68" t="s">
        <v>165</v>
      </c>
      <c r="E28" s="67">
        <f>2*SQRT(3)</f>
        <v>3.4641016151377544</v>
      </c>
      <c r="F28" s="72">
        <v>1</v>
      </c>
      <c r="G28" s="64">
        <f t="array" aca="1" ref="G28" ca="1">IFERROR(ABS(G14)/SUM(ABS('kU(E)'!$G$9:$G$16)),0)</f>
        <v>0.70984883040622504</v>
      </c>
      <c r="H28" s="64">
        <f t="array" aca="1" ref="H28" ca="1">IFERROR(ABS(H14)/SUM(ABS('kU(E)'!$H$9:$H$16)),0)</f>
        <v>0.70984883040622504</v>
      </c>
      <c r="I28" s="64">
        <f t="array" aca="1" ref="I28" ca="1">IFERROR(ABS(I14)/SUM(ABS('kU(E)'!$I$9:$I$16)),0)</f>
        <v>0.70984883040622504</v>
      </c>
      <c r="J28" s="64">
        <f t="array" aca="1" ref="J28" ca="1">IFERROR(ABS(J14)/SUM(ABS('kU(E)'!$J$9:$J$16)),0)</f>
        <v>0.70984883040622504</v>
      </c>
      <c r="K28" s="64">
        <f t="array" aca="1" ref="K28" ca="1">IFERROR(ABS(K14)/SUM(ABS('kU(E)'!$K$9:$K$16)),0)</f>
        <v>0.70984883040622504</v>
      </c>
      <c r="L28" s="64">
        <f t="array" aca="1" ref="L28" ca="1">IFERROR(ABS(L14)/SUM(ABS('kU(E)'!$L$9:$L$16)),0)</f>
        <v>0.70984883040622504</v>
      </c>
      <c r="M28" s="64">
        <f t="array" aca="1" ref="M28" ca="1">IFERROR(ABS(M14)/SUM(ABS('kU(E)'!$M$9:$M$16)),0)</f>
        <v>0.70984883040622504</v>
      </c>
      <c r="N28" s="64">
        <f t="array" aca="1" ref="N28" ca="1">IFERROR(ABS(N14)/SUM(ABS('kU(E)'!$N$9:$N$16)),0)</f>
        <v>0.70984883040622504</v>
      </c>
      <c r="O28" s="64">
        <f t="array" aca="1" ref="O28" ca="1">IFERROR(ABS(O14)/SUM(ABS('kU(E)'!$O$9:$O$16)),0)</f>
        <v>0.70984883040622504</v>
      </c>
      <c r="P28" s="64">
        <f ca="1">IFERROR(ABS(P14)/SUM(ABS('kU(E)'!$B9:$P16)),0)</f>
        <v>0</v>
      </c>
    </row>
    <row r="29" spans="2:16" x14ac:dyDescent="0.25">
      <c r="B29" s="71" t="s">
        <v>169</v>
      </c>
      <c r="C29" s="69" t="s">
        <v>168</v>
      </c>
      <c r="D29" s="68" t="s">
        <v>165</v>
      </c>
      <c r="E29" s="67">
        <f>SQRT(3)</f>
        <v>1.7320508075688772</v>
      </c>
      <c r="F29" s="66">
        <v>1</v>
      </c>
      <c r="G29" s="64">
        <f t="array" aca="1" ref="G29" ca="1">IFERROR(ABS(G15)/SUM(ABS('kU(E)'!$G$9:$G$16)),0)</f>
        <v>0</v>
      </c>
      <c r="H29" s="64">
        <f t="array" aca="1" ref="H29" ca="1">IFERROR(ABS(H15)/SUM(ABS('kU(E)'!$H$9:$H$16)),0)</f>
        <v>0</v>
      </c>
      <c r="I29" s="64">
        <f t="array" aca="1" ref="I29" ca="1">IFERROR(ABS(I15)/SUM(ABS('kU(E)'!$I$9:$I$16)),0)</f>
        <v>0</v>
      </c>
      <c r="J29" s="64">
        <f t="array" aca="1" ref="J29" ca="1">IFERROR(ABS(J15)/SUM(ABS('kU(E)'!$J$9:$J$16)),0)</f>
        <v>0</v>
      </c>
      <c r="K29" s="64">
        <f t="array" aca="1" ref="K29" ca="1">IFERROR(ABS(K15)/SUM(ABS('kU(E)'!$K$9:$K$16)),0)</f>
        <v>0</v>
      </c>
      <c r="L29" s="64">
        <f t="array" aca="1" ref="L29" ca="1">IFERROR(ABS(L15)/SUM(ABS('kU(E)'!$L$9:$L$16)),0)</f>
        <v>0</v>
      </c>
      <c r="M29" s="64">
        <f t="array" aca="1" ref="M29" ca="1">IFERROR(ABS(M15)/SUM(ABS('kU(E)'!$M$9:$M$16)),0)</f>
        <v>0</v>
      </c>
      <c r="N29" s="64">
        <f t="array" aca="1" ref="N29" ca="1">IFERROR(ABS(N15)/SUM(ABS('kU(E)'!$N$9:$N$16)),0)</f>
        <v>0</v>
      </c>
      <c r="O29" s="64">
        <f t="array" aca="1" ref="O29" ca="1">IFERROR(ABS(O15)/SUM(ABS('kU(E)'!$O$9:$O$16)),0)</f>
        <v>0</v>
      </c>
      <c r="P29" s="64">
        <f>IFERROR(ABS(P15)/SUM(ABS('kU(E)'!$B9:$P16)),0)</f>
        <v>0</v>
      </c>
    </row>
    <row r="30" spans="2:16" x14ac:dyDescent="0.25">
      <c r="B30" s="70" t="s">
        <v>167</v>
      </c>
      <c r="C30" s="69" t="s">
        <v>166</v>
      </c>
      <c r="D30" s="68" t="s">
        <v>165</v>
      </c>
      <c r="E30" s="67">
        <f>SQRT(3)</f>
        <v>1.7320508075688772</v>
      </c>
      <c r="F30" s="66">
        <v>1</v>
      </c>
      <c r="G30" s="65">
        <f t="array" aca="1" ref="G30" ca="1">IFERROR(ABS(G16)/SUM(ABS('kU(E)'!$G$9:$G$16)),0)</f>
        <v>0</v>
      </c>
      <c r="H30" s="64">
        <f t="array" aca="1" ref="H30" ca="1">IFERROR(ABS(H16)/SUM(ABS('kU(E)'!$H$9:$H$16)),0)</f>
        <v>0</v>
      </c>
      <c r="I30" s="64">
        <f t="array" aca="1" ref="I30" ca="1">IFERROR(ABS(I16)/SUM(ABS('kU(E)'!$I$9:$I$16)),0)</f>
        <v>0</v>
      </c>
      <c r="J30" s="64">
        <f t="array" aca="1" ref="J30" ca="1">IFERROR(ABS(J16)/SUM(ABS('kU(E)'!$J$9:$J$16)),0)</f>
        <v>0</v>
      </c>
      <c r="K30" s="64">
        <f t="array" aca="1" ref="K30" ca="1">IFERROR(ABS(K16)/SUM(ABS('kU(E)'!$K$9:$K$16)),0)</f>
        <v>0</v>
      </c>
      <c r="L30" s="64">
        <f t="array" aca="1" ref="L30" ca="1">IFERROR(ABS(L16)/SUM(ABS('kU(E)'!$L$9:$L$16)),0)</f>
        <v>0</v>
      </c>
      <c r="M30" s="64">
        <f t="array" aca="1" ref="M30" ca="1">IFERROR(ABS(M16)/SUM(ABS('kU(E)'!$M$9:$M$16)),0)</f>
        <v>0</v>
      </c>
      <c r="N30" s="64">
        <f t="array" aca="1" ref="N30" ca="1">IFERROR(ABS(N16)/SUM(ABS('kU(E)'!$N$9:$N$16)),0)</f>
        <v>0</v>
      </c>
      <c r="O30" s="64">
        <f t="array" aca="1" ref="O30" ca="1">IFERROR(ABS(O16)/SUM(ABS('kU(E)'!$O$9:$O$16)),0)</f>
        <v>0</v>
      </c>
      <c r="P30" s="63">
        <f ca="1">IFERROR(ABS(P16)/SUM(ABS('kU(E)'!$B9:$P16)),0)</f>
        <v>0</v>
      </c>
    </row>
    <row r="31" spans="2:16" x14ac:dyDescent="0.25">
      <c r="B31" s="62" t="s">
        <v>164</v>
      </c>
      <c r="C31" s="61"/>
      <c r="D31" s="59"/>
      <c r="E31" s="60"/>
      <c r="F31" s="59"/>
      <c r="G31" s="58">
        <f ca="1">SUBTOTAL(109,tblUcomun10[p1 (%)])</f>
        <v>1</v>
      </c>
      <c r="H31" s="58">
        <f ca="1">SUBTOTAL(109,tblUcomun10[p2 (%)])</f>
        <v>1</v>
      </c>
      <c r="I31" s="58">
        <f ca="1">SUBTOTAL(109,tblUcomun10[p3 (%)])</f>
        <v>1</v>
      </c>
      <c r="J31" s="58">
        <f ca="1">SUBTOTAL(109,tblUcomun10[p4 (%)])</f>
        <v>1</v>
      </c>
      <c r="K31" s="58">
        <f ca="1">SUBTOTAL(109,tblUcomun10[p5 (%)])</f>
        <v>1</v>
      </c>
      <c r="L31" s="58">
        <f ca="1">SUBTOTAL(109,tblUcomun10[p6 (%)])</f>
        <v>1</v>
      </c>
      <c r="M31" s="58">
        <f ca="1">SUBTOTAL(109,tblUcomun10[p7 (%)])</f>
        <v>1</v>
      </c>
      <c r="N31" s="58">
        <f ca="1">SUBTOTAL(109,tblUcomun10[p8 (%)])</f>
        <v>1</v>
      </c>
      <c r="O31" s="58">
        <f ca="1">SUBTOTAL(109,tblUcomun10[p9 (%)])</f>
        <v>1</v>
      </c>
      <c r="P31" s="58">
        <f ca="1">SUBTOTAL(109,tblUcomun10[p10 (%)])</f>
        <v>0</v>
      </c>
    </row>
    <row r="35" spans="2:16" x14ac:dyDescent="0.25">
      <c r="B35" s="57" t="s">
        <v>163</v>
      </c>
    </row>
    <row r="36" spans="2:16" x14ac:dyDescent="0.25">
      <c r="B36" s="56" t="s">
        <v>162</v>
      </c>
      <c r="C36" s="56" t="s">
        <v>161</v>
      </c>
      <c r="D36" s="55"/>
      <c r="E36" s="54" t="s">
        <v>160</v>
      </c>
      <c r="F36" s="54" t="s">
        <v>159</v>
      </c>
    </row>
    <row r="37" spans="2:16" x14ac:dyDescent="0.25">
      <c r="B37" s="49" t="s">
        <v>158</v>
      </c>
      <c r="C37" s="43" t="s">
        <v>157</v>
      </c>
      <c r="D37" s="48"/>
      <c r="E37" s="47" t="s">
        <v>156</v>
      </c>
      <c r="F37" s="53">
        <f>COUNT(Calibración!D15,Calibración!F15,Calibración!H15)</f>
        <v>3</v>
      </c>
    </row>
    <row r="38" spans="2:16" ht="18" x14ac:dyDescent="0.35">
      <c r="B38" s="49" t="s">
        <v>155</v>
      </c>
      <c r="C38" s="43" t="s">
        <v>154</v>
      </c>
      <c r="D38" s="48"/>
      <c r="E38" s="47" t="s">
        <v>153</v>
      </c>
      <c r="F38" s="53">
        <f>F37-1</f>
        <v>2</v>
      </c>
    </row>
    <row r="39" spans="2:16" ht="18" x14ac:dyDescent="0.35">
      <c r="B39" s="49" t="s">
        <v>152</v>
      </c>
      <c r="C39" s="43" t="s">
        <v>151</v>
      </c>
      <c r="D39" s="43"/>
      <c r="E39" s="47" t="s">
        <v>150</v>
      </c>
      <c r="F39" s="52" t="s">
        <v>149</v>
      </c>
      <c r="G39" s="51">
        <f t="shared" ref="G39:P39" ca="1" si="2">G15</f>
        <v>0</v>
      </c>
      <c r="H39" s="51">
        <f t="shared" si="2"/>
        <v>0</v>
      </c>
      <c r="I39" s="51">
        <f t="shared" si="2"/>
        <v>0</v>
      </c>
      <c r="J39" s="51">
        <f t="shared" si="2"/>
        <v>0</v>
      </c>
      <c r="K39" s="51">
        <f t="shared" si="2"/>
        <v>0</v>
      </c>
      <c r="L39" s="51">
        <f t="shared" si="2"/>
        <v>0</v>
      </c>
      <c r="M39" s="51">
        <f t="shared" si="2"/>
        <v>0</v>
      </c>
      <c r="N39" s="51">
        <f t="shared" si="2"/>
        <v>0</v>
      </c>
      <c r="O39" s="51">
        <f t="shared" si="2"/>
        <v>0</v>
      </c>
      <c r="P39" s="51">
        <f t="shared" si="2"/>
        <v>0</v>
      </c>
    </row>
    <row r="40" spans="2:16" ht="18" x14ac:dyDescent="0.35">
      <c r="B40" s="49" t="s">
        <v>148</v>
      </c>
      <c r="C40" s="43" t="s">
        <v>128</v>
      </c>
      <c r="D40" s="48"/>
      <c r="E40" s="47"/>
      <c r="F40" s="46">
        <f ca="1">POWER('kU(E)'!$G$17,4)</f>
        <v>1.2788513132684926E-5</v>
      </c>
      <c r="G40" s="50" t="s">
        <v>147</v>
      </c>
      <c r="H40" s="50" t="s">
        <v>146</v>
      </c>
      <c r="I40" s="50" t="s">
        <v>145</v>
      </c>
      <c r="J40" s="50" t="s">
        <v>144</v>
      </c>
      <c r="K40" s="50" t="s">
        <v>143</v>
      </c>
      <c r="L40" s="50" t="s">
        <v>142</v>
      </c>
      <c r="M40" s="50" t="s">
        <v>141</v>
      </c>
      <c r="N40" s="50" t="s">
        <v>140</v>
      </c>
      <c r="O40" s="50" t="s">
        <v>139</v>
      </c>
      <c r="P40" s="50" t="s">
        <v>138</v>
      </c>
    </row>
    <row r="41" spans="2:16" ht="18" x14ac:dyDescent="0.35">
      <c r="B41" s="49" t="s">
        <v>137</v>
      </c>
      <c r="C41" s="43" t="s">
        <v>128</v>
      </c>
      <c r="D41" s="48"/>
      <c r="E41" s="47"/>
      <c r="F41" s="46">
        <f ca="1">POWER('kU(E)'!$H$17,4)</f>
        <v>1.2788513132684926E-5</v>
      </c>
      <c r="G41" s="46">
        <f t="shared" ref="G41:P41" ca="1" si="3">IFERROR(POWER(G15,4)/$F$38,"")</f>
        <v>0</v>
      </c>
      <c r="H41" s="46">
        <f t="shared" si="3"/>
        <v>0</v>
      </c>
      <c r="I41" s="46">
        <f t="shared" si="3"/>
        <v>0</v>
      </c>
      <c r="J41" s="46">
        <f t="shared" si="3"/>
        <v>0</v>
      </c>
      <c r="K41" s="46">
        <f t="shared" si="3"/>
        <v>0</v>
      </c>
      <c r="L41" s="46">
        <f t="shared" si="3"/>
        <v>0</v>
      </c>
      <c r="M41" s="46">
        <f t="shared" si="3"/>
        <v>0</v>
      </c>
      <c r="N41" s="46">
        <f t="shared" si="3"/>
        <v>0</v>
      </c>
      <c r="O41" s="46">
        <f t="shared" si="3"/>
        <v>0</v>
      </c>
      <c r="P41" s="46">
        <f t="shared" si="3"/>
        <v>0</v>
      </c>
    </row>
    <row r="42" spans="2:16" ht="18" x14ac:dyDescent="0.35">
      <c r="B42" s="49" t="s">
        <v>136</v>
      </c>
      <c r="C42" s="43" t="s">
        <v>128</v>
      </c>
      <c r="D42" s="48"/>
      <c r="E42" s="47"/>
      <c r="F42" s="46">
        <f ca="1">POWER('kU(E)'!$I$17,4)</f>
        <v>1.2788513132684926E-5</v>
      </c>
    </row>
    <row r="43" spans="2:16" ht="18" x14ac:dyDescent="0.35">
      <c r="B43" s="49" t="s">
        <v>135</v>
      </c>
      <c r="C43" s="43" t="s">
        <v>128</v>
      </c>
      <c r="D43" s="48"/>
      <c r="E43" s="47"/>
      <c r="F43" s="46">
        <f ca="1">POWER('kU(E)'!$J$17,4)</f>
        <v>1.2788513132684926E-5</v>
      </c>
    </row>
    <row r="44" spans="2:16" ht="18" x14ac:dyDescent="0.35">
      <c r="B44" s="49" t="s">
        <v>134</v>
      </c>
      <c r="C44" s="43" t="s">
        <v>128</v>
      </c>
      <c r="D44" s="48"/>
      <c r="E44" s="47"/>
      <c r="F44" s="46">
        <f ca="1">POWER('kU(E)'!$K$17,4)</f>
        <v>1.2788513132684926E-5</v>
      </c>
    </row>
    <row r="45" spans="2:16" ht="18" x14ac:dyDescent="0.35">
      <c r="B45" s="49" t="s">
        <v>133</v>
      </c>
      <c r="C45" s="43" t="s">
        <v>128</v>
      </c>
      <c r="D45" s="48"/>
      <c r="E45" s="47"/>
      <c r="F45" s="46">
        <f ca="1">POWER('kU(E)'!$L$17,4)</f>
        <v>1.2788513132684926E-5</v>
      </c>
    </row>
    <row r="46" spans="2:16" ht="18" x14ac:dyDescent="0.35">
      <c r="B46" s="49" t="s">
        <v>132</v>
      </c>
      <c r="C46" s="43" t="s">
        <v>128</v>
      </c>
      <c r="D46" s="48"/>
      <c r="E46" s="47"/>
      <c r="F46" s="46">
        <f ca="1">POWER('kU(E)'!$M$17,4)</f>
        <v>1.2788513132684926E-5</v>
      </c>
    </row>
    <row r="47" spans="2:16" ht="18" x14ac:dyDescent="0.35">
      <c r="B47" s="49" t="s">
        <v>131</v>
      </c>
      <c r="C47" s="43" t="s">
        <v>128</v>
      </c>
      <c r="D47" s="48"/>
      <c r="E47" s="47"/>
      <c r="F47" s="46">
        <f ca="1">POWER('kU(E)'!$N$17,4)</f>
        <v>1.2788513132684926E-5</v>
      </c>
    </row>
    <row r="48" spans="2:16" ht="18" x14ac:dyDescent="0.35">
      <c r="B48" s="49" t="s">
        <v>130</v>
      </c>
      <c r="C48" s="43" t="s">
        <v>128</v>
      </c>
      <c r="D48" s="48"/>
      <c r="E48" s="47"/>
      <c r="F48" s="46">
        <f ca="1">POWER('kU(E)'!$O$17,4)</f>
        <v>1.2788513132684926E-5</v>
      </c>
    </row>
    <row r="49" spans="2:26" ht="18" x14ac:dyDescent="0.35">
      <c r="B49" s="49" t="s">
        <v>129</v>
      </c>
      <c r="C49" s="43" t="s">
        <v>128</v>
      </c>
      <c r="D49" s="48"/>
      <c r="E49" s="47"/>
      <c r="F49" s="46">
        <f ca="1">POWER('kU(E)'!$P$17,4)</f>
        <v>1.2788513132684926E-5</v>
      </c>
      <c r="G49" s="45" t="s">
        <v>113</v>
      </c>
    </row>
    <row r="50" spans="2:26" ht="18" x14ac:dyDescent="0.35">
      <c r="B50" s="44" t="s">
        <v>127</v>
      </c>
      <c r="C50" s="43" t="s">
        <v>117</v>
      </c>
      <c r="D50" s="42"/>
      <c r="E50" s="41"/>
      <c r="F50" s="40" t="str">
        <f ca="1">IFERROR(F40/G41,"")</f>
        <v/>
      </c>
      <c r="G50" s="39">
        <f t="shared" ref="G50:G59" ca="1" si="4">IF(F50&gt;20,2,HLOOKUP(F50,$E$64:$Y$65,2))</f>
        <v>2</v>
      </c>
    </row>
    <row r="51" spans="2:26" ht="18" x14ac:dyDescent="0.35">
      <c r="B51" s="44" t="s">
        <v>126</v>
      </c>
      <c r="C51" s="43" t="s">
        <v>117</v>
      </c>
      <c r="D51" s="42"/>
      <c r="E51" s="41"/>
      <c r="F51" s="40" t="str">
        <f ca="1">IFERROR(F41/H41,"")</f>
        <v/>
      </c>
      <c r="G51" s="39">
        <f t="shared" ca="1" si="4"/>
        <v>2</v>
      </c>
    </row>
    <row r="52" spans="2:26" ht="18" x14ac:dyDescent="0.35">
      <c r="B52" s="44" t="s">
        <v>125</v>
      </c>
      <c r="C52" s="43" t="s">
        <v>117</v>
      </c>
      <c r="D52" s="42"/>
      <c r="E52" s="41"/>
      <c r="F52" s="40" t="str">
        <f ca="1">IFERROR(F42/I41,"")</f>
        <v/>
      </c>
      <c r="G52" s="39">
        <f t="shared" ca="1" si="4"/>
        <v>2</v>
      </c>
    </row>
    <row r="53" spans="2:26" ht="18" x14ac:dyDescent="0.35">
      <c r="B53" s="44" t="s">
        <v>124</v>
      </c>
      <c r="C53" s="43" t="s">
        <v>117</v>
      </c>
      <c r="D53" s="42"/>
      <c r="E53" s="41"/>
      <c r="F53" s="40" t="str">
        <f ca="1">IFERROR(F43/J41,"")</f>
        <v/>
      </c>
      <c r="G53" s="39">
        <f t="shared" ca="1" si="4"/>
        <v>2</v>
      </c>
    </row>
    <row r="54" spans="2:26" ht="18" x14ac:dyDescent="0.35">
      <c r="B54" s="44" t="s">
        <v>123</v>
      </c>
      <c r="C54" s="43" t="s">
        <v>117</v>
      </c>
      <c r="D54" s="42"/>
      <c r="E54" s="41"/>
      <c r="F54" s="40" t="str">
        <f ca="1">IFERROR(F44/K41,"")</f>
        <v/>
      </c>
      <c r="G54" s="39">
        <f t="shared" ca="1" si="4"/>
        <v>2</v>
      </c>
    </row>
    <row r="55" spans="2:26" ht="18" x14ac:dyDescent="0.35">
      <c r="B55" s="44" t="s">
        <v>122</v>
      </c>
      <c r="C55" s="43" t="s">
        <v>117</v>
      </c>
      <c r="D55" s="42"/>
      <c r="E55" s="41"/>
      <c r="F55" s="40" t="str">
        <f ca="1">IFERROR(F45/L41,"")</f>
        <v/>
      </c>
      <c r="G55" s="39">
        <f t="shared" ca="1" si="4"/>
        <v>2</v>
      </c>
    </row>
    <row r="56" spans="2:26" ht="18" x14ac:dyDescent="0.35">
      <c r="B56" s="44" t="s">
        <v>121</v>
      </c>
      <c r="C56" s="43" t="s">
        <v>117</v>
      </c>
      <c r="D56" s="42"/>
      <c r="E56" s="41"/>
      <c r="F56" s="40" t="str">
        <f ca="1">IFERROR(F46/M41,"")</f>
        <v/>
      </c>
      <c r="G56" s="39">
        <f t="shared" ca="1" si="4"/>
        <v>2</v>
      </c>
    </row>
    <row r="57" spans="2:26" ht="18" x14ac:dyDescent="0.35">
      <c r="B57" s="44" t="s">
        <v>120</v>
      </c>
      <c r="C57" s="43" t="s">
        <v>117</v>
      </c>
      <c r="D57" s="42"/>
      <c r="E57" s="41"/>
      <c r="F57" s="40" t="str">
        <f ca="1">IFERROR(F47/N41,"")</f>
        <v/>
      </c>
      <c r="G57" s="39">
        <f t="shared" ca="1" si="4"/>
        <v>2</v>
      </c>
    </row>
    <row r="58" spans="2:26" ht="18" x14ac:dyDescent="0.35">
      <c r="B58" s="44" t="s">
        <v>119</v>
      </c>
      <c r="C58" s="43" t="s">
        <v>117</v>
      </c>
      <c r="D58" s="42"/>
      <c r="E58" s="41"/>
      <c r="F58" s="40" t="str">
        <f ca="1">IFERROR(F48/O41,"")</f>
        <v/>
      </c>
      <c r="G58" s="39">
        <f t="shared" ca="1" si="4"/>
        <v>2</v>
      </c>
    </row>
    <row r="59" spans="2:26" ht="18" x14ac:dyDescent="0.35">
      <c r="B59" s="44" t="s">
        <v>118</v>
      </c>
      <c r="C59" s="43" t="s">
        <v>117</v>
      </c>
      <c r="D59" s="42"/>
      <c r="E59" s="41"/>
      <c r="F59" s="40" t="str">
        <f ca="1">IFERROR(F49/P41,"")</f>
        <v/>
      </c>
      <c r="G59" s="39">
        <f t="shared" ca="1" si="4"/>
        <v>2</v>
      </c>
    </row>
    <row r="63" spans="2:26" x14ac:dyDescent="0.25">
      <c r="E63" s="379" t="s">
        <v>116</v>
      </c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1"/>
    </row>
    <row r="64" spans="2:26" x14ac:dyDescent="0.25">
      <c r="E64" s="38" t="s">
        <v>115</v>
      </c>
      <c r="F64" s="38">
        <v>1</v>
      </c>
      <c r="G64" s="38">
        <v>2</v>
      </c>
      <c r="H64" s="38">
        <v>3</v>
      </c>
      <c r="I64" s="38">
        <v>4</v>
      </c>
      <c r="J64" s="38">
        <v>5</v>
      </c>
      <c r="K64" s="38">
        <v>6</v>
      </c>
      <c r="L64" s="38">
        <v>7</v>
      </c>
      <c r="M64" s="38">
        <v>8</v>
      </c>
      <c r="N64" s="38">
        <v>9</v>
      </c>
      <c r="O64" s="38">
        <v>10</v>
      </c>
      <c r="P64" s="38">
        <v>11</v>
      </c>
      <c r="Q64" s="38">
        <v>12</v>
      </c>
      <c r="R64" s="38">
        <v>13</v>
      </c>
      <c r="S64" s="38">
        <v>14</v>
      </c>
      <c r="T64" s="38">
        <v>15</v>
      </c>
      <c r="U64" s="38">
        <v>16</v>
      </c>
      <c r="V64" s="38">
        <v>17</v>
      </c>
      <c r="W64" s="38">
        <v>18</v>
      </c>
      <c r="X64" s="38">
        <v>19</v>
      </c>
      <c r="Y64" s="38">
        <v>20</v>
      </c>
      <c r="Z64" s="38" t="s">
        <v>114</v>
      </c>
    </row>
    <row r="65" spans="5:26" x14ac:dyDescent="0.25">
      <c r="E65" s="38" t="s">
        <v>113</v>
      </c>
      <c r="F65" s="38">
        <v>13.97</v>
      </c>
      <c r="G65" s="38">
        <v>4.53</v>
      </c>
      <c r="H65" s="38">
        <v>3.31</v>
      </c>
      <c r="I65" s="38">
        <v>2.87</v>
      </c>
      <c r="J65" s="38">
        <v>2.65</v>
      </c>
      <c r="K65" s="38">
        <v>2.52</v>
      </c>
      <c r="L65" s="38">
        <v>2.4300000000000002</v>
      </c>
      <c r="M65" s="38">
        <v>2.37</v>
      </c>
      <c r="N65" s="38">
        <v>2.3199999999999998</v>
      </c>
      <c r="O65" s="38">
        <v>2.2799999999999998</v>
      </c>
      <c r="P65" s="38">
        <v>2.25</v>
      </c>
      <c r="Q65" s="38">
        <v>2.23</v>
      </c>
      <c r="R65" s="38">
        <v>2.21</v>
      </c>
      <c r="S65" s="38">
        <v>2.2000000000000002</v>
      </c>
      <c r="T65" s="38">
        <v>2.1800000000000002</v>
      </c>
      <c r="U65" s="38">
        <v>2.17</v>
      </c>
      <c r="V65" s="38">
        <v>2.16</v>
      </c>
      <c r="W65" s="38">
        <v>2.15</v>
      </c>
      <c r="X65" s="38">
        <v>2.14</v>
      </c>
      <c r="Y65" s="38">
        <v>2.13</v>
      </c>
      <c r="Z65" s="38">
        <v>2</v>
      </c>
    </row>
  </sheetData>
  <sheetProtection formatCells="0"/>
  <mergeCells count="1">
    <mergeCell ref="E63:Z63"/>
  </mergeCells>
  <conditionalFormatting sqref="G23:P30 G9:P16">
    <cfRule type="colorScale" priority="1">
      <colorScale>
        <cfvo type="min"/>
        <cfvo type="max"/>
        <color theme="4" tint="0.79998168889431442"/>
        <color theme="4" tint="-0.249977111117893"/>
      </colorScale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J112"/>
  <sheetViews>
    <sheetView zoomScale="70" zoomScaleNormal="70" workbookViewId="0">
      <selection activeCell="F7" sqref="F7"/>
    </sheetView>
  </sheetViews>
  <sheetFormatPr defaultColWidth="8.85546875" defaultRowHeight="15" x14ac:dyDescent="0.25"/>
  <cols>
    <col min="1" max="1" width="1.42578125" customWidth="1"/>
    <col min="2" max="2" width="3" bestFit="1" customWidth="1"/>
    <col min="3" max="5" width="11.5703125" customWidth="1"/>
    <col min="6" max="6" width="14" customWidth="1"/>
    <col min="7" max="10" width="11.5703125" customWidth="1"/>
    <col min="11" max="11" width="12.42578125" customWidth="1"/>
    <col min="12" max="12" width="3.85546875" customWidth="1"/>
    <col min="13" max="13" width="4" customWidth="1"/>
    <col min="14" max="17" width="11.42578125" customWidth="1"/>
    <col min="18" max="19" width="11.5703125" customWidth="1"/>
    <col min="20" max="20" width="13" customWidth="1"/>
    <col min="21" max="24" width="9.5703125" customWidth="1"/>
    <col min="36" max="36" width="8.85546875" style="90"/>
  </cols>
  <sheetData>
    <row r="1" spans="2:36" ht="16.5" x14ac:dyDescent="0.25">
      <c r="C1" s="162" t="s">
        <v>306</v>
      </c>
      <c r="D1" s="162"/>
      <c r="E1" s="162"/>
      <c r="F1" s="162"/>
      <c r="G1" s="162" t="s">
        <v>305</v>
      </c>
    </row>
    <row r="2" spans="2:36" ht="16.5" x14ac:dyDescent="0.25">
      <c r="C2" s="162" t="s">
        <v>304</v>
      </c>
      <c r="D2" s="162"/>
      <c r="E2" s="162"/>
      <c r="F2" s="162"/>
      <c r="G2" s="162" t="s">
        <v>303</v>
      </c>
      <c r="L2" s="57"/>
      <c r="M2" s="57" t="s">
        <v>302</v>
      </c>
      <c r="N2" s="57"/>
      <c r="O2" s="57"/>
      <c r="P2" s="57"/>
      <c r="Q2" s="57"/>
      <c r="S2" s="57" t="s">
        <v>301</v>
      </c>
      <c r="T2" s="57"/>
      <c r="U2" s="57"/>
      <c r="V2" s="57"/>
    </row>
    <row r="3" spans="2:36" ht="28.9" customHeight="1" x14ac:dyDescent="0.25">
      <c r="L3" s="385" t="s">
        <v>300</v>
      </c>
      <c r="M3" s="385"/>
      <c r="N3" s="385"/>
      <c r="O3" s="385"/>
      <c r="P3" s="161" t="s">
        <v>299</v>
      </c>
      <c r="Q3" s="161" t="s">
        <v>298</v>
      </c>
      <c r="S3" s="150" t="s">
        <v>260</v>
      </c>
      <c r="T3" s="149"/>
      <c r="U3" s="148" t="s">
        <v>282</v>
      </c>
      <c r="V3" s="148" t="s">
        <v>281</v>
      </c>
    </row>
    <row r="4" spans="2:36" x14ac:dyDescent="0.25">
      <c r="C4" s="160" t="s">
        <v>297</v>
      </c>
      <c r="D4" s="159"/>
      <c r="E4" s="57"/>
      <c r="F4" s="57"/>
      <c r="H4" s="57" t="s">
        <v>296</v>
      </c>
      <c r="I4" s="57"/>
      <c r="L4" s="146" t="s">
        <v>295</v>
      </c>
      <c r="M4" s="151"/>
      <c r="N4" s="151"/>
      <c r="O4" s="144"/>
      <c r="P4" s="114">
        <v>2.5000000000000001E-2</v>
      </c>
      <c r="Q4" s="100">
        <f>Histeresis/SQRT(3)</f>
        <v>1.4433756729740645E-2</v>
      </c>
      <c r="S4" s="158" t="s">
        <v>235</v>
      </c>
      <c r="T4" s="157"/>
      <c r="U4" s="53">
        <f>IFERROR(VLOOKUP(S4,tblBD_PatronTerm[[Código Patrón]:[max.]],8,FALSE),"")</f>
        <v>-30</v>
      </c>
      <c r="V4" s="53">
        <f>IFERROR(VLOOKUP(S4,tblBD_PatronTerm[[Código Patrón]:[max.]],9,FALSE),"")</f>
        <v>155</v>
      </c>
    </row>
    <row r="5" spans="2:36" x14ac:dyDescent="0.25">
      <c r="C5" s="382" t="s">
        <v>294</v>
      </c>
      <c r="D5" s="382"/>
      <c r="E5" s="382"/>
      <c r="F5" s="156">
        <v>0.2</v>
      </c>
      <c r="H5" s="382" t="s">
        <v>293</v>
      </c>
      <c r="I5" s="382"/>
      <c r="J5" s="302" t="s">
        <v>292</v>
      </c>
      <c r="L5" s="146" t="s">
        <v>291</v>
      </c>
      <c r="M5" s="151"/>
      <c r="N5" s="151"/>
      <c r="O5" s="144"/>
      <c r="P5" s="114">
        <v>0.02</v>
      </c>
      <c r="Q5" s="100">
        <f>P5/SQRT(3)</f>
        <v>1.1547005383792516E-2</v>
      </c>
      <c r="S5" s="137" t="str">
        <f>J5</f>
        <v>NI-MCPT-05</v>
      </c>
      <c r="T5" s="136"/>
      <c r="U5" s="113">
        <f>IFERROR(VLOOKUP(S5,tblBD_PatronTerm[[Código Patrón]:[max.]],8,FALSE),"")</f>
        <v>-30</v>
      </c>
      <c r="V5" s="113">
        <f>IFERROR(VLOOKUP(S5,tblBD_PatronTerm[[Código Patrón]:[max.]],9,FALSE),"")</f>
        <v>250</v>
      </c>
      <c r="AJ5" s="135"/>
    </row>
    <row r="6" spans="2:36" x14ac:dyDescent="0.25">
      <c r="C6" s="382" t="s">
        <v>290</v>
      </c>
      <c r="D6" s="382"/>
      <c r="E6" s="382"/>
      <c r="F6" s="155">
        <f>RangoMedida</f>
        <v>0</v>
      </c>
      <c r="H6" s="153" t="s">
        <v>289</v>
      </c>
      <c r="I6" s="153"/>
      <c r="J6" s="93">
        <f>IFERROR(VLOOKUP(J5,tblBD_PatronTerm[[Código Patrón]:[Fecha calib.]],12,FALSE),"")</f>
        <v>1E-3</v>
      </c>
      <c r="L6" s="146" t="s">
        <v>288</v>
      </c>
      <c r="M6" s="151"/>
      <c r="N6" s="151"/>
      <c r="O6" s="144"/>
      <c r="P6" s="114">
        <v>0.01</v>
      </c>
      <c r="Q6" s="100">
        <f>P6/SQRT(3)</f>
        <v>5.773502691896258E-3</v>
      </c>
      <c r="AJ6" s="135"/>
    </row>
    <row r="7" spans="2:36" ht="18" x14ac:dyDescent="0.35">
      <c r="C7" s="153" t="s">
        <v>287</v>
      </c>
      <c r="D7" s="153"/>
      <c r="E7" s="154">
        <f>IF(unidad="°C",0,IF(unidad="°F",32,273.15))</f>
        <v>0</v>
      </c>
      <c r="F7" s="152" t="s">
        <v>218</v>
      </c>
      <c r="L7" s="146" t="s">
        <v>286</v>
      </c>
      <c r="M7" s="151"/>
      <c r="N7" s="151"/>
      <c r="O7" s="144"/>
      <c r="P7" s="114">
        <v>5.0000000000000001E-3</v>
      </c>
      <c r="Q7" s="100">
        <f>P7/SQRT(3)</f>
        <v>2.886751345948129E-3</v>
      </c>
      <c r="S7" s="57" t="s">
        <v>285</v>
      </c>
      <c r="T7" s="57"/>
      <c r="U7" s="57"/>
      <c r="V7" s="57"/>
      <c r="W7" s="57"/>
      <c r="X7" s="57"/>
      <c r="AJ7" s="135"/>
    </row>
    <row r="8" spans="2:36" ht="18" x14ac:dyDescent="0.25">
      <c r="C8" s="383" t="s">
        <v>284</v>
      </c>
      <c r="D8" s="384"/>
      <c r="E8" s="153"/>
      <c r="F8" s="152" t="s">
        <v>228</v>
      </c>
      <c r="L8" s="146" t="s">
        <v>283</v>
      </c>
      <c r="M8" s="151"/>
      <c r="N8" s="151"/>
      <c r="O8" s="144"/>
      <c r="P8" s="114">
        <v>5.0000000000000001E-3</v>
      </c>
      <c r="Q8" s="100">
        <f>P8/SQRT(3)</f>
        <v>2.886751345948129E-3</v>
      </c>
      <c r="S8" s="150" t="s">
        <v>260</v>
      </c>
      <c r="T8" s="149"/>
      <c r="U8" s="148" t="s">
        <v>282</v>
      </c>
      <c r="V8" s="148" t="s">
        <v>281</v>
      </c>
      <c r="W8" s="148" t="s">
        <v>280</v>
      </c>
      <c r="X8" s="148" t="s">
        <v>279</v>
      </c>
      <c r="AJ8" s="135"/>
    </row>
    <row r="9" spans="2:36" x14ac:dyDescent="0.25">
      <c r="E9" s="147" t="s">
        <v>278</v>
      </c>
      <c r="F9" s="133">
        <f>LEN(MOD(ABS(ResolTerm),1))-1-(MOD(ResolTerm,1)&gt;0)</f>
        <v>1</v>
      </c>
      <c r="L9" s="146" t="s">
        <v>277</v>
      </c>
      <c r="M9" s="145"/>
      <c r="N9" s="145"/>
      <c r="O9" s="144"/>
      <c r="P9" s="143">
        <v>0.01</v>
      </c>
      <c r="Q9" s="100">
        <f>P9/SQRT(3)</f>
        <v>5.773502691896258E-3</v>
      </c>
      <c r="S9" s="137" t="str">
        <f>S4</f>
        <v>NI-MCPT-37</v>
      </c>
      <c r="T9" s="136"/>
      <c r="U9" s="53">
        <f>IFERROR(LOOKUP(S9,tblBD_PatronTerm[Código Patrón],tblBD_PatronTerm[t min]),"")</f>
        <v>-40</v>
      </c>
      <c r="V9" s="53">
        <f>IFERROR(LOOKUP(S9,tblBD_PatronTerm[Código Patrón],tblBD_PatronTerm[t max]),"")</f>
        <v>140</v>
      </c>
      <c r="W9" s="53">
        <f>IFERROR(VLOOKUP(S9,tblBD_PatronTerm[[Código Patrón]:[Certificado]],13,FALSE),"")</f>
        <v>0</v>
      </c>
      <c r="X9" s="53">
        <f>IFERROR(VLOOKUP(S9,tblBD_PatronTerm[[Código Patrón]:[Certificado]],14,FALSE),"")</f>
        <v>0</v>
      </c>
      <c r="AJ9" s="135"/>
    </row>
    <row r="10" spans="2:36" x14ac:dyDescent="0.25">
      <c r="L10" s="56" t="s">
        <v>276</v>
      </c>
      <c r="M10" s="142"/>
      <c r="N10" s="141"/>
      <c r="O10" s="140"/>
      <c r="P10" s="139"/>
      <c r="Q10" s="138">
        <f>IFERROR(SQRT(SUMSQ(Q4:Q9)),"")</f>
        <v>2.0615528128088305E-2</v>
      </c>
      <c r="S10" s="137" t="str">
        <f>IF(S4=S5,"",J5)</f>
        <v>NI-MCPT-05</v>
      </c>
      <c r="T10" s="136"/>
      <c r="U10" s="53">
        <f>IFERROR(LOOKUP(S10,tblBD_PatronTerm[Código Patrón],tblBD_PatronTerm[t min]),"")</f>
        <v>16</v>
      </c>
      <c r="V10" s="53">
        <f>IFERROR(LOOKUP(S10,tblBD_PatronTerm[Código Patrón],tblBD_PatronTerm[t max]),"")</f>
        <v>30</v>
      </c>
      <c r="W10" s="53">
        <f>IFERROR(VLOOKUP(S10,tblBD_PatronTerm[[Código Patrón]:[Certificado]],13,FALSE),"")</f>
        <v>3.8500000000000001E-3</v>
      </c>
      <c r="X10" s="53">
        <f>IFERROR(VLOOKUP(S10,tblBD_PatronTerm[[Código Patrón]:[Certificado]],14,FALSE),"")</f>
        <v>0</v>
      </c>
      <c r="AJ10" s="135"/>
    </row>
    <row r="11" spans="2:36" x14ac:dyDescent="0.25">
      <c r="AJ11" s="135"/>
    </row>
    <row r="13" spans="2:36" x14ac:dyDescent="0.25">
      <c r="B13" s="57" t="s">
        <v>14</v>
      </c>
      <c r="C13" s="57"/>
      <c r="F13" s="57" t="str">
        <f>CONCATENATE("Todo en [",unidad,"]")</f>
        <v>Todo en [°C]</v>
      </c>
      <c r="G13" s="57"/>
      <c r="I13" s="57" t="s">
        <v>275</v>
      </c>
      <c r="J13" s="57"/>
      <c r="N13" s="134" t="str">
        <f>CONCATENATE("Todo en [",unidad,"]")</f>
        <v>Todo en [°C]</v>
      </c>
      <c r="O13" s="133" t="s">
        <v>274</v>
      </c>
      <c r="P13" s="22"/>
      <c r="Q13" s="22"/>
      <c r="R13" s="22"/>
      <c r="S13" s="133" t="s">
        <v>274</v>
      </c>
      <c r="T13" s="133" t="s">
        <v>274</v>
      </c>
      <c r="U13" s="22"/>
      <c r="V13" s="22"/>
    </row>
    <row r="14" spans="2:36" ht="75" x14ac:dyDescent="0.25">
      <c r="B14" s="45" t="s">
        <v>255</v>
      </c>
      <c r="C14" s="45" t="s">
        <v>260</v>
      </c>
      <c r="D14" s="45" t="s">
        <v>273</v>
      </c>
      <c r="E14" s="45" t="s">
        <v>260</v>
      </c>
      <c r="F14" s="45" t="s">
        <v>273</v>
      </c>
      <c r="G14" s="45" t="s">
        <v>260</v>
      </c>
      <c r="H14" s="132" t="s">
        <v>273</v>
      </c>
      <c r="I14" s="131" t="s">
        <v>260</v>
      </c>
      <c r="J14" s="45" t="s">
        <v>273</v>
      </c>
      <c r="K14" s="130" t="s">
        <v>272</v>
      </c>
      <c r="M14" s="129" t="s">
        <v>255</v>
      </c>
      <c r="N14" s="128" t="s">
        <v>271</v>
      </c>
      <c r="O14" s="127" t="s">
        <v>270</v>
      </c>
      <c r="P14" s="126" t="s">
        <v>269</v>
      </c>
      <c r="Q14" s="126" t="s">
        <v>268</v>
      </c>
      <c r="R14" s="126" t="s">
        <v>267</v>
      </c>
      <c r="S14" s="127" t="s">
        <v>266</v>
      </c>
      <c r="T14" s="126" t="s">
        <v>175</v>
      </c>
      <c r="U14" s="126" t="s">
        <v>265</v>
      </c>
      <c r="V14" s="126" t="s">
        <v>264</v>
      </c>
    </row>
    <row r="15" spans="2:36" x14ac:dyDescent="0.25">
      <c r="B15" s="103">
        <v>1</v>
      </c>
      <c r="C15" s="123">
        <f>'NI-R01-MCIT-T-01'!B24</f>
        <v>0</v>
      </c>
      <c r="D15" s="123">
        <f>'NI-R01-MCIT-T-01'!C24</f>
        <v>0</v>
      </c>
      <c r="E15" s="123">
        <f>'NI-R01-MCIT-T-01'!D24</f>
        <v>0</v>
      </c>
      <c r="F15" s="123">
        <f>'NI-R01-MCIT-T-01'!E24</f>
        <v>0</v>
      </c>
      <c r="G15" s="123">
        <f>'NI-R01-MCIT-T-01'!F24</f>
        <v>0</v>
      </c>
      <c r="H15" s="123">
        <f>'NI-R01-MCIT-T-01'!G24</f>
        <v>0</v>
      </c>
      <c r="I15" s="122">
        <f t="shared" ref="I15:I24" si="0">IFERROR(AVERAGE(C15,E15,G15),"")</f>
        <v>0</v>
      </c>
      <c r="J15" s="121">
        <f t="shared" ref="J15:J24" si="1">IFERROR(AVERAGE(D15,F15,H15),"")</f>
        <v>0</v>
      </c>
      <c r="K15" s="120">
        <f t="shared" ref="K15:K24" si="2">IFERROR(IF(C15="","",_xlfn.STDEV.S(D15,F15,H15)),"")</f>
        <v>0</v>
      </c>
      <c r="M15" s="119">
        <v>1</v>
      </c>
      <c r="N15" s="118">
        <f t="shared" ref="N15:N24" si="3">IFERROR(AVERAGE(C15,E15,G15),"")</f>
        <v>0</v>
      </c>
      <c r="O15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15" s="117">
        <f ca="1">IFERROR(tblResultCalib[[#This Row],[Promedio Patrón]]+tblResultCalib[[#This Row],[Corrección patrón]],"")</f>
        <v>-2.0157982925077794E-3</v>
      </c>
      <c r="Q15" s="117">
        <f t="shared" ref="Q15:Q24" si="4">IFERROR(J15,"")</f>
        <v>0</v>
      </c>
      <c r="R15" s="117">
        <f ca="1">IFERROR(tblResultCalib[[#This Row],[Patrón corregido]]-tblResultCalib[[#This Row],[Promedio equipo]],"")</f>
        <v>-2.0157982925077794E-3</v>
      </c>
      <c r="S15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15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15" s="125">
        <f>IFERROR(ABS(IF(OR(CertTempC&lt;Calibración!$U$9,CertTempC&gt;Calibración!$V$9),tblResultCalib[[#This Row],[Promedio Patrón]]*Calibración!$W$9/100+Calibración!$X$9,0)),"")</f>
        <v>0</v>
      </c>
      <c r="V15" s="125">
        <f>IFERROR(ABS(IF(OR(CertTempC&lt;Calibración!$U$10,CertTempC&gt;Calibración!$V$10),tblResultCalib[[#This Row],[Promedio Patrón]]*Calibración!$W$10/100+Calibración!$X$10,0)),"")</f>
        <v>0</v>
      </c>
    </row>
    <row r="16" spans="2:36" x14ac:dyDescent="0.25">
      <c r="B16" s="103">
        <v>2</v>
      </c>
      <c r="C16" s="123">
        <f>'NI-R01-MCIT-T-01'!B25</f>
        <v>0</v>
      </c>
      <c r="D16" s="123">
        <f>'NI-R01-MCIT-T-01'!C25</f>
        <v>0</v>
      </c>
      <c r="E16" s="123">
        <f>'NI-R01-MCIT-T-01'!D25</f>
        <v>0</v>
      </c>
      <c r="F16" s="123">
        <f>'NI-R01-MCIT-T-01'!E25</f>
        <v>0</v>
      </c>
      <c r="G16" s="123">
        <f>'NI-R01-MCIT-T-01'!F25</f>
        <v>0</v>
      </c>
      <c r="H16" s="123">
        <f>'NI-R01-MCIT-T-01'!G25</f>
        <v>0</v>
      </c>
      <c r="I16" s="122">
        <f t="shared" si="0"/>
        <v>0</v>
      </c>
      <c r="J16" s="121">
        <f t="shared" si="1"/>
        <v>0</v>
      </c>
      <c r="K16" s="120">
        <f t="shared" si="2"/>
        <v>0</v>
      </c>
      <c r="M16" s="119">
        <v>2</v>
      </c>
      <c r="N16" s="118">
        <f t="shared" si="3"/>
        <v>0</v>
      </c>
      <c r="O16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16" s="117">
        <f ca="1">IFERROR(tblResultCalib[[#This Row],[Promedio Patrón]]+tblResultCalib[[#This Row],[Corrección patrón]],"")</f>
        <v>-2.0157982925077794E-3</v>
      </c>
      <c r="Q16" s="117">
        <f t="shared" si="4"/>
        <v>0</v>
      </c>
      <c r="R16" s="117">
        <f ca="1">IFERROR(tblResultCalib[[#This Row],[Patrón corregido]]-tblResultCalib[[#This Row],[Promedio equipo]],"")</f>
        <v>-2.0157982925077794E-3</v>
      </c>
      <c r="S16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16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16" s="124">
        <f>IFERROR(ABS(IF(OR(CertTempC&lt;Calibración!$U$9,CertTempC&gt;Calibración!$V$9),tblResultCalib[[#This Row],[Promedio Patrón]]*Calibración!$W$9/100+Calibración!$X$9,0)),"")</f>
        <v>0</v>
      </c>
      <c r="V16" s="124">
        <f>IFERROR(ABS(IF(OR(CertTempC&lt;Calibración!$U$10,CertTempC&gt;Calibración!$V$10),tblResultCalib[[#This Row],[Promedio Patrón]]*Calibración!$W$10/100+Calibración!$X$10,0)),"")</f>
        <v>0</v>
      </c>
    </row>
    <row r="17" spans="2:31" x14ac:dyDescent="0.25">
      <c r="B17" s="103">
        <v>3</v>
      </c>
      <c r="C17" s="123">
        <f>'NI-R01-MCIT-T-01'!B26</f>
        <v>0</v>
      </c>
      <c r="D17" s="123">
        <f>'NI-R01-MCIT-T-01'!C26</f>
        <v>0</v>
      </c>
      <c r="E17" s="123">
        <f>'NI-R01-MCIT-T-01'!D26</f>
        <v>0</v>
      </c>
      <c r="F17" s="123">
        <f>'NI-R01-MCIT-T-01'!E26</f>
        <v>0</v>
      </c>
      <c r="G17" s="123">
        <f>'NI-R01-MCIT-T-01'!F26</f>
        <v>0</v>
      </c>
      <c r="H17" s="123">
        <f>'NI-R01-MCIT-T-01'!G26</f>
        <v>0</v>
      </c>
      <c r="I17" s="122">
        <f t="shared" si="0"/>
        <v>0</v>
      </c>
      <c r="J17" s="121">
        <f t="shared" si="1"/>
        <v>0</v>
      </c>
      <c r="K17" s="120">
        <f t="shared" si="2"/>
        <v>0</v>
      </c>
      <c r="M17" s="119">
        <v>3</v>
      </c>
      <c r="N17" s="118">
        <f t="shared" si="3"/>
        <v>0</v>
      </c>
      <c r="O17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17" s="117">
        <f ca="1">IFERROR(tblResultCalib[[#This Row],[Promedio Patrón]]+tblResultCalib[[#This Row],[Corrección patrón]],"")</f>
        <v>-2.0157982925077794E-3</v>
      </c>
      <c r="Q17" s="117">
        <f t="shared" si="4"/>
        <v>0</v>
      </c>
      <c r="R17" s="117">
        <f ca="1">IFERROR(tblResultCalib[[#This Row],[Patrón corregido]]-tblResultCalib[[#This Row],[Promedio equipo]],"")</f>
        <v>-2.0157982925077794E-3</v>
      </c>
      <c r="S17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17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17" s="124">
        <f>IFERROR(ABS(IF(OR(CertTempC&lt;Calibración!$U$9,CertTempC&gt;Calibración!$V$9),tblResultCalib[[#This Row],[Promedio Patrón]]*Calibración!$W$9/100+Calibración!$X$9,0)),"")</f>
        <v>0</v>
      </c>
      <c r="V17" s="124">
        <f>IFERROR(ABS(IF(OR(CertTempC&lt;Calibración!$U$10,CertTempC&gt;Calibración!$V$10),tblResultCalib[[#This Row],[Promedio Patrón]]*Calibración!$W$10/100+Calibración!$X$10,0)),"")</f>
        <v>0</v>
      </c>
    </row>
    <row r="18" spans="2:31" x14ac:dyDescent="0.25">
      <c r="B18" s="103">
        <v>4</v>
      </c>
      <c r="C18" s="123">
        <f>'NI-R01-MCIT-T-01'!B27</f>
        <v>0</v>
      </c>
      <c r="D18" s="123">
        <f>'NI-R01-MCIT-T-01'!C27</f>
        <v>0</v>
      </c>
      <c r="E18" s="123">
        <f>'NI-R01-MCIT-T-01'!D27</f>
        <v>0</v>
      </c>
      <c r="F18" s="123">
        <f>'NI-R01-MCIT-T-01'!E27</f>
        <v>0</v>
      </c>
      <c r="G18" s="123">
        <f>'NI-R01-MCIT-T-01'!F27</f>
        <v>0</v>
      </c>
      <c r="H18" s="123">
        <f>'NI-R01-MCIT-T-01'!G27</f>
        <v>0</v>
      </c>
      <c r="I18" s="122">
        <f t="shared" si="0"/>
        <v>0</v>
      </c>
      <c r="J18" s="121">
        <f t="shared" si="1"/>
        <v>0</v>
      </c>
      <c r="K18" s="120">
        <f t="shared" si="2"/>
        <v>0</v>
      </c>
      <c r="M18" s="119">
        <v>4</v>
      </c>
      <c r="N18" s="118">
        <f t="shared" si="3"/>
        <v>0</v>
      </c>
      <c r="O18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18" s="117">
        <f ca="1">IFERROR(tblResultCalib[[#This Row],[Promedio Patrón]]+tblResultCalib[[#This Row],[Corrección patrón]],"")</f>
        <v>-2.0157982925077794E-3</v>
      </c>
      <c r="Q18" s="117">
        <f t="shared" si="4"/>
        <v>0</v>
      </c>
      <c r="R18" s="117">
        <f ca="1">IFERROR(tblResultCalib[[#This Row],[Patrón corregido]]-tblResultCalib[[#This Row],[Promedio equipo]],"")</f>
        <v>-2.0157982925077794E-3</v>
      </c>
      <c r="S18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18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18" s="124">
        <f>IFERROR(ABS(IF(OR(CertTempC&lt;Calibración!$U$9,CertTempC&gt;Calibración!$V$9),tblResultCalib[[#This Row],[Promedio Patrón]]*Calibración!$W$9/100+Calibración!$X$9,0)),"")</f>
        <v>0</v>
      </c>
      <c r="V18" s="124">
        <f>IFERROR(ABS(IF(OR(CertTempC&lt;Calibración!$U$10,CertTempC&gt;Calibración!$V$10),tblResultCalib[[#This Row],[Promedio Patrón]]*Calibración!$W$10/100+Calibración!$X$10,0)),"")</f>
        <v>0</v>
      </c>
    </row>
    <row r="19" spans="2:31" x14ac:dyDescent="0.25">
      <c r="B19" s="103">
        <v>5</v>
      </c>
      <c r="C19" s="123">
        <f>'NI-R01-MCIT-T-01'!B28</f>
        <v>0</v>
      </c>
      <c r="D19" s="123">
        <f>'NI-R01-MCIT-T-01'!C28</f>
        <v>0</v>
      </c>
      <c r="E19" s="123">
        <f>'NI-R01-MCIT-T-01'!D28</f>
        <v>0</v>
      </c>
      <c r="F19" s="123">
        <f>'NI-R01-MCIT-T-01'!E28</f>
        <v>0</v>
      </c>
      <c r="G19" s="123">
        <f>'NI-R01-MCIT-T-01'!F28</f>
        <v>0</v>
      </c>
      <c r="H19" s="123">
        <f>'NI-R01-MCIT-T-01'!G28</f>
        <v>0</v>
      </c>
      <c r="I19" s="122">
        <f t="shared" si="0"/>
        <v>0</v>
      </c>
      <c r="J19" s="121">
        <f t="shared" si="1"/>
        <v>0</v>
      </c>
      <c r="K19" s="120">
        <f t="shared" si="2"/>
        <v>0</v>
      </c>
      <c r="M19" s="119">
        <v>5</v>
      </c>
      <c r="N19" s="118">
        <f t="shared" si="3"/>
        <v>0</v>
      </c>
      <c r="O19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19" s="117">
        <f ca="1">IFERROR(tblResultCalib[[#This Row],[Promedio Patrón]]+tblResultCalib[[#This Row],[Corrección patrón]],"")</f>
        <v>-2.0157982925077794E-3</v>
      </c>
      <c r="Q19" s="117">
        <f t="shared" si="4"/>
        <v>0</v>
      </c>
      <c r="R19" s="117">
        <f ca="1">IFERROR(tblResultCalib[[#This Row],[Patrón corregido]]-tblResultCalib[[#This Row],[Promedio equipo]],"")</f>
        <v>-2.0157982925077794E-3</v>
      </c>
      <c r="S19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19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19" s="124">
        <f>IFERROR(ABS(IF(OR(CertTempC&lt;Calibración!$U$9,CertTempC&gt;Calibración!$V$9),tblResultCalib[[#This Row],[Promedio Patrón]]*Calibración!$W$9/100+Calibración!$X$9,0)),"")</f>
        <v>0</v>
      </c>
      <c r="V19" s="124">
        <f>IFERROR(ABS(IF(OR(CertTempC&lt;Calibración!$U$10,CertTempC&gt;Calibración!$V$10),tblResultCalib[[#This Row],[Promedio Patrón]]*Calibración!$W$10/100+Calibración!$X$10,0)),"")</f>
        <v>0</v>
      </c>
    </row>
    <row r="20" spans="2:31" ht="14.45" customHeight="1" x14ac:dyDescent="0.25">
      <c r="B20" s="103">
        <v>6</v>
      </c>
      <c r="C20" s="123">
        <f>'NI-R01-MCIT-T-01'!B29</f>
        <v>0</v>
      </c>
      <c r="D20" s="123">
        <f>'NI-R01-MCIT-T-01'!C29</f>
        <v>0</v>
      </c>
      <c r="E20" s="123">
        <f>'NI-R01-MCIT-T-01'!D29</f>
        <v>0</v>
      </c>
      <c r="F20" s="123">
        <f>'NI-R01-MCIT-T-01'!E29</f>
        <v>0</v>
      </c>
      <c r="G20" s="123">
        <f>'NI-R01-MCIT-T-01'!F29</f>
        <v>0</v>
      </c>
      <c r="H20" s="123">
        <f>'NI-R01-MCIT-T-01'!G29</f>
        <v>0</v>
      </c>
      <c r="I20" s="122">
        <f t="shared" si="0"/>
        <v>0</v>
      </c>
      <c r="J20" s="121">
        <f t="shared" si="1"/>
        <v>0</v>
      </c>
      <c r="K20" s="120">
        <f t="shared" si="2"/>
        <v>0</v>
      </c>
      <c r="M20" s="119">
        <v>6</v>
      </c>
      <c r="N20" s="118">
        <f t="shared" si="3"/>
        <v>0</v>
      </c>
      <c r="O20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20" s="117">
        <f ca="1">IFERROR(tblResultCalib[[#This Row],[Promedio Patrón]]+tblResultCalib[[#This Row],[Corrección patrón]],"")</f>
        <v>-2.0157982925077794E-3</v>
      </c>
      <c r="Q20" s="117">
        <f t="shared" si="4"/>
        <v>0</v>
      </c>
      <c r="R20" s="117">
        <f ca="1">IFERROR(tblResultCalib[[#This Row],[Patrón corregido]]-tblResultCalib[[#This Row],[Promedio equipo]],"")</f>
        <v>-2.0157982925077794E-3</v>
      </c>
      <c r="S20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20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20" s="124">
        <f>IFERROR(ABS(IF(OR(CertTempC&lt;Calibración!$U$9,CertTempC&gt;Calibración!$V$9),tblResultCalib[[#This Row],[Promedio Patrón]]*Calibración!$W$9/100+Calibración!$X$9,0)),"")</f>
        <v>0</v>
      </c>
      <c r="V20" s="124">
        <f>IFERROR(ABS(IF(OR(CertTempC&lt;Calibración!$U$10,CertTempC&gt;Calibración!$V$10),tblResultCalib[[#This Row],[Promedio Patrón]]*Calibración!$W$10/100+Calibración!$X$10,0)),"")</f>
        <v>0</v>
      </c>
    </row>
    <row r="21" spans="2:31" x14ac:dyDescent="0.25">
      <c r="B21" s="103">
        <v>7</v>
      </c>
      <c r="C21" s="123">
        <f>'NI-R01-MCIT-T-01'!B30</f>
        <v>0</v>
      </c>
      <c r="D21" s="123">
        <f>'NI-R01-MCIT-T-01'!C30</f>
        <v>0</v>
      </c>
      <c r="E21" s="123">
        <f>'NI-R01-MCIT-T-01'!D30</f>
        <v>0</v>
      </c>
      <c r="F21" s="123">
        <f>'NI-R01-MCIT-T-01'!E30</f>
        <v>0</v>
      </c>
      <c r="G21" s="123">
        <f>'NI-R01-MCIT-T-01'!F30</f>
        <v>0</v>
      </c>
      <c r="H21" s="123">
        <f>'NI-R01-MCIT-T-01'!G30</f>
        <v>0</v>
      </c>
      <c r="I21" s="122">
        <f t="shared" si="0"/>
        <v>0</v>
      </c>
      <c r="J21" s="121">
        <f t="shared" si="1"/>
        <v>0</v>
      </c>
      <c r="K21" s="120">
        <f t="shared" si="2"/>
        <v>0</v>
      </c>
      <c r="M21" s="119">
        <v>7</v>
      </c>
      <c r="N21" s="118">
        <f t="shared" si="3"/>
        <v>0</v>
      </c>
      <c r="O21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21" s="117">
        <f ca="1">IFERROR(tblResultCalib[[#This Row],[Promedio Patrón]]+tblResultCalib[[#This Row],[Corrección patrón]],"")</f>
        <v>-2.0157982925077794E-3</v>
      </c>
      <c r="Q21" s="117">
        <f t="shared" si="4"/>
        <v>0</v>
      </c>
      <c r="R21" s="117">
        <f ca="1">IFERROR(tblResultCalib[[#This Row],[Patrón corregido]]-tblResultCalib[[#This Row],[Promedio equipo]],"")</f>
        <v>-2.0157982925077794E-3</v>
      </c>
      <c r="S21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21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21" s="124">
        <f>IFERROR(ABS(IF(OR(CertTempC&lt;Calibración!$U$9,CertTempC&gt;Calibración!$V$9),tblResultCalib[[#This Row],[Promedio Patrón]]*Calibración!$W$9/100+Calibración!$X$9,0)),"")</f>
        <v>0</v>
      </c>
      <c r="V21" s="124">
        <f>IFERROR(ABS(IF(OR(CertTempC&lt;Calibración!$U$10,CertTempC&gt;Calibración!$V$10),tblResultCalib[[#This Row],[Promedio Patrón]]*Calibración!$W$10/100+Calibración!$X$10,0)),"")</f>
        <v>0</v>
      </c>
    </row>
    <row r="22" spans="2:31" x14ac:dyDescent="0.25">
      <c r="B22" s="103">
        <v>8</v>
      </c>
      <c r="C22" s="123">
        <f>'NI-R01-MCIT-T-01'!B31</f>
        <v>0</v>
      </c>
      <c r="D22" s="123">
        <f>'NI-R01-MCIT-T-01'!C31</f>
        <v>0</v>
      </c>
      <c r="E22" s="123">
        <f>'NI-R01-MCIT-T-01'!D31</f>
        <v>0</v>
      </c>
      <c r="F22" s="123">
        <f>'NI-R01-MCIT-T-01'!E31</f>
        <v>0</v>
      </c>
      <c r="G22" s="123">
        <f>'NI-R01-MCIT-T-01'!F31</f>
        <v>0</v>
      </c>
      <c r="H22" s="123">
        <f>'NI-R01-MCIT-T-01'!G31</f>
        <v>0</v>
      </c>
      <c r="I22" s="122">
        <f t="shared" si="0"/>
        <v>0</v>
      </c>
      <c r="J22" s="121">
        <f t="shared" si="1"/>
        <v>0</v>
      </c>
      <c r="K22" s="120">
        <f t="shared" si="2"/>
        <v>0</v>
      </c>
      <c r="M22" s="119">
        <v>8</v>
      </c>
      <c r="N22" s="118">
        <f t="shared" si="3"/>
        <v>0</v>
      </c>
      <c r="O22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22" s="117">
        <f ca="1">IFERROR(tblResultCalib[[#This Row],[Promedio Patrón]]+tblResultCalib[[#This Row],[Corrección patrón]],"")</f>
        <v>-2.0157982925077794E-3</v>
      </c>
      <c r="Q22" s="117">
        <f t="shared" si="4"/>
        <v>0</v>
      </c>
      <c r="R22" s="117">
        <f ca="1">IFERROR(tblResultCalib[[#This Row],[Patrón corregido]]-tblResultCalib[[#This Row],[Promedio equipo]],"")</f>
        <v>-2.0157982925077794E-3</v>
      </c>
      <c r="S22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22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22" s="124">
        <f>IFERROR(ABS(IF(OR(CertTempC&lt;Calibración!$U$9,CertTempC&gt;Calibración!$V$9),tblResultCalib[[#This Row],[Promedio Patrón]]*Calibración!$W$9/100+Calibración!$X$9,0)),"")</f>
        <v>0</v>
      </c>
      <c r="V22" s="124">
        <f>IFERROR(ABS(IF(OR(CertTempC&lt;Calibración!$U$10,CertTempC&gt;Calibración!$V$10),tblResultCalib[[#This Row],[Promedio Patrón]]*Calibración!$W$10/100+Calibración!$X$10,0)),"")</f>
        <v>0</v>
      </c>
    </row>
    <row r="23" spans="2:31" x14ac:dyDescent="0.25">
      <c r="B23" s="103">
        <v>9</v>
      </c>
      <c r="C23" s="123">
        <f>'NI-R01-MCIT-T-01'!B32</f>
        <v>0</v>
      </c>
      <c r="D23" s="123">
        <f>'NI-R01-MCIT-T-01'!C32</f>
        <v>0</v>
      </c>
      <c r="E23" s="123">
        <f>'NI-R01-MCIT-T-01'!D32</f>
        <v>0</v>
      </c>
      <c r="F23" s="123">
        <f>'NI-R01-MCIT-T-01'!E32</f>
        <v>0</v>
      </c>
      <c r="G23" s="123">
        <f>'NI-R01-MCIT-T-01'!F32</f>
        <v>0</v>
      </c>
      <c r="H23" s="123">
        <f>'NI-R01-MCIT-T-01'!G32</f>
        <v>0</v>
      </c>
      <c r="I23" s="122">
        <f t="shared" si="0"/>
        <v>0</v>
      </c>
      <c r="J23" s="121">
        <f t="shared" si="1"/>
        <v>0</v>
      </c>
      <c r="K23" s="120">
        <f t="shared" si="2"/>
        <v>0</v>
      </c>
      <c r="M23" s="119">
        <v>9</v>
      </c>
      <c r="N23" s="118">
        <f t="shared" si="3"/>
        <v>0</v>
      </c>
      <c r="O23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23" s="117">
        <f ca="1">IFERROR(tblResultCalib[[#This Row],[Promedio Patrón]]+tblResultCalib[[#This Row],[Corrección patrón]],"")</f>
        <v>-2.0157982925077794E-3</v>
      </c>
      <c r="Q23" s="117">
        <f t="shared" si="4"/>
        <v>0</v>
      </c>
      <c r="R23" s="117">
        <f ca="1">IFERROR(tblResultCalib[[#This Row],[Patrón corregido]]-tblResultCalib[[#This Row],[Promedio equipo]],"")</f>
        <v>-2.0157982925077794E-3</v>
      </c>
      <c r="S23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23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23" s="124">
        <f>IFERROR(ABS(IF(OR(CertTempC&lt;Calibración!$U$9,CertTempC&gt;Calibración!$V$9),tblResultCalib[[#This Row],[Promedio Patrón]]*Calibración!$W$9/100+Calibración!$X$9,0)),"")</f>
        <v>0</v>
      </c>
      <c r="V23" s="124">
        <f>IFERROR(ABS(IF(OR(CertTempC&lt;Calibración!$U$10,CertTempC&gt;Calibración!$V$10),tblResultCalib[[#This Row],[Promedio Patrón]]*Calibración!$W$10/100+Calibración!$X$10,0)),"")</f>
        <v>0</v>
      </c>
    </row>
    <row r="24" spans="2:31" x14ac:dyDescent="0.25">
      <c r="B24" s="103">
        <v>10</v>
      </c>
      <c r="C24" s="123">
        <f>'NI-R01-MCIT-T-01'!B33</f>
        <v>0</v>
      </c>
      <c r="D24" s="123">
        <f>'NI-R01-MCIT-T-01'!C33</f>
        <v>0</v>
      </c>
      <c r="E24" s="123">
        <f>'NI-R01-MCIT-T-01'!D33</f>
        <v>0</v>
      </c>
      <c r="F24" s="123">
        <f>'NI-R01-MCIT-T-01'!E33</f>
        <v>0</v>
      </c>
      <c r="G24" s="123">
        <f>'NI-R01-MCIT-T-01'!F33</f>
        <v>0</v>
      </c>
      <c r="H24" s="123">
        <f>'NI-R01-MCIT-T-01'!G33</f>
        <v>0</v>
      </c>
      <c r="I24" s="122">
        <f t="shared" si="0"/>
        <v>0</v>
      </c>
      <c r="J24" s="121">
        <f t="shared" si="1"/>
        <v>0</v>
      </c>
      <c r="K24" s="120">
        <f t="shared" si="2"/>
        <v>0</v>
      </c>
      <c r="M24" s="119">
        <v>10</v>
      </c>
      <c r="N24" s="118">
        <f t="shared" si="3"/>
        <v>0</v>
      </c>
      <c r="O24" s="117">
        <f ca="1">IF(tblResultCalib[[#This Row],[Promedio Patrón]]="","",IFERROR(IF(coef_unidad=32,(OFFSET($V$36,0,tblResultCalib[[#This Row],['#]]-1)),OFFSET($V$36,0,tblResultCalib[[#This Row],['#]]-1)+coef_unidad),TREND($O$31:OFFSET($O$31,NumPuntosCalib-1,0),$N$31:OFFSET($N$31,NumPuntosCalib-1,0),tblResultCalib[[#This Row],[Promedio Patrón]])))</f>
        <v>-2.0157982925077794E-3</v>
      </c>
      <c r="P24" s="117">
        <f ca="1">IFERROR(tblResultCalib[[#This Row],[Promedio Patrón]]+tblResultCalib[[#This Row],[Corrección patrón]],"")</f>
        <v>-2.0157982925077794E-3</v>
      </c>
      <c r="Q24" s="117">
        <f t="shared" si="4"/>
        <v>0</v>
      </c>
      <c r="R24" s="117">
        <f ca="1">IFERROR(tblResultCalib[[#This Row],[Patrón corregido]]-tblResultCalib[[#This Row],[Promedio equipo]],"")</f>
        <v>-2.0157982925077794E-3</v>
      </c>
      <c r="S24" s="117">
        <f ca="1">IF(tblResultCalib[[#This Row],[Promedio Patrón]]="","",IFERROR(IF(coef_unidad=32,(OFFSET($V$47,0,tblResultCalib[[#This Row],['#]]-1)),OFFSET($V$47,0,tblResultCalib[[#This Row],['#]]-1)+coef_unidad),TREND($P$31:OFFSET($P$31,NumPuntosCalib-1,0),$N$31:OFFSET($N$31,NumPuntosCalib-1,0),tblResultCalib[[#This Row],[Promedio Patrón]])))</f>
        <v>0.02</v>
      </c>
      <c r="T24" s="116">
        <f ca="1">IF(tblResultCalib[[#This Row],[Promedio Patrón]]="","",IFERROR(IF(coef_unidad=32,(OFFSET($V$58,0,tblResultCalib[[#This Row],['#]]-1)),OFFSET($V$58,0,tblResultCalib[[#This Row],['#]]-1)+coef_unidad),TREND($Q$31:OFFSET($Q$31,NumPuntosCalib-1,0),$N$31:OFFSET($N$31,NumPuntosCalib-1,0),tblResultCalib[[#This Row],[Promedio Patrón]])))</f>
        <v>1.0136439798930823E-3</v>
      </c>
      <c r="U24" s="115">
        <f>IFERROR(ABS(IF(OR(CertTempC&lt;Calibración!$U$9,CertTempC&gt;Calibración!$V$9),tblResultCalib[[#This Row],[Promedio Patrón]]*Calibración!$W$9/100+Calibración!$X$9,0)),"")</f>
        <v>0</v>
      </c>
      <c r="V24" s="115">
        <f>IFERROR(ABS(IF(OR(CertTempC&lt;Calibración!$U$10,CertTempC&gt;Calibración!$V$10),tblResultCalib[[#This Row],[Promedio Patrón]]*Calibración!$W$10/100+Calibración!$X$10,0)),"")</f>
        <v>0</v>
      </c>
    </row>
    <row r="27" spans="2:31" x14ac:dyDescent="0.25">
      <c r="M27" s="57" t="s">
        <v>263</v>
      </c>
      <c r="N27" s="57"/>
      <c r="O27" s="57"/>
      <c r="P27" s="57"/>
      <c r="Q27" s="57" t="str">
        <f>CONCATENATE("[Todo en ", unidad,"]")</f>
        <v>[Todo en °C]</v>
      </c>
    </row>
    <row r="28" spans="2:31" x14ac:dyDescent="0.25">
      <c r="U28" s="57" t="s">
        <v>262</v>
      </c>
      <c r="V28" s="57"/>
      <c r="W28" s="57"/>
      <c r="X28" s="57"/>
      <c r="Y28" s="57" t="str">
        <f>CONCATENATE("[Todo en ", unidad,"]")</f>
        <v>[Todo en °C]</v>
      </c>
      <c r="Z28" s="57"/>
    </row>
    <row r="29" spans="2:31" x14ac:dyDescent="0.25">
      <c r="C29" s="57" t="s">
        <v>261</v>
      </c>
      <c r="D29" s="57"/>
      <c r="E29" s="57"/>
      <c r="N29" s="114" t="s">
        <v>260</v>
      </c>
      <c r="O29" s="113" t="str">
        <f>J5</f>
        <v>NI-MCPT-05</v>
      </c>
    </row>
    <row r="30" spans="2:31" ht="63" x14ac:dyDescent="0.25">
      <c r="C30" s="110" t="s">
        <v>259</v>
      </c>
      <c r="D30" s="110" t="s">
        <v>12</v>
      </c>
      <c r="E30" s="110" t="s">
        <v>258</v>
      </c>
      <c r="F30" s="112" t="s">
        <v>257</v>
      </c>
      <c r="G30" s="111" t="s">
        <v>259</v>
      </c>
      <c r="H30" s="110" t="s">
        <v>12</v>
      </c>
      <c r="I30" s="110" t="s">
        <v>258</v>
      </c>
      <c r="J30" s="110" t="s">
        <v>257</v>
      </c>
      <c r="K30" s="110" t="s">
        <v>256</v>
      </c>
      <c r="M30" s="45" t="s">
        <v>255</v>
      </c>
      <c r="N30" s="95" t="s">
        <v>254</v>
      </c>
      <c r="O30" s="95" t="s">
        <v>253</v>
      </c>
      <c r="P30" s="95" t="s">
        <v>252</v>
      </c>
      <c r="Q30" s="95" t="s">
        <v>175</v>
      </c>
      <c r="U30" s="95" t="s">
        <v>242</v>
      </c>
      <c r="V30" s="95">
        <v>1</v>
      </c>
      <c r="W30" s="95">
        <v>2</v>
      </c>
      <c r="X30" s="95">
        <v>3</v>
      </c>
      <c r="Y30" s="95">
        <v>4</v>
      </c>
      <c r="Z30" s="95">
        <v>5</v>
      </c>
      <c r="AA30" s="95">
        <v>6</v>
      </c>
      <c r="AB30" s="95">
        <v>7</v>
      </c>
      <c r="AC30" s="95">
        <v>8</v>
      </c>
      <c r="AD30" s="95">
        <v>9</v>
      </c>
      <c r="AE30" s="95">
        <v>10</v>
      </c>
    </row>
    <row r="31" spans="2:31" x14ac:dyDescent="0.25">
      <c r="C31" s="104" t="str">
        <f>unidad</f>
        <v>°C</v>
      </c>
      <c r="D31" s="104" t="str">
        <f>unidad</f>
        <v>°C</v>
      </c>
      <c r="E31" s="104" t="str">
        <f>unidad</f>
        <v>°C</v>
      </c>
      <c r="F31" s="109" t="str">
        <f>unidad</f>
        <v>°C</v>
      </c>
      <c r="G31" s="108" t="s">
        <v>231</v>
      </c>
      <c r="H31" s="104" t="s">
        <v>231</v>
      </c>
      <c r="I31" s="104" t="s">
        <v>231</v>
      </c>
      <c r="J31" s="104" t="s">
        <v>231</v>
      </c>
      <c r="K31" s="104" t="str">
        <f>unidad</f>
        <v>°C</v>
      </c>
      <c r="M31" s="103">
        <v>1</v>
      </c>
      <c r="N31" s="107">
        <f>IF(coef_unidad=32,(INDEX(Cert_patrones[[Código Patrón]:[Deriva]],MATCH($O$29,Cert_patrones[Código Patrón],0),3)*1.8+coef_unidad),INDEX(Cert_patrones[[Código Patrón]:[Deriva]],MATCH($O$29,Cert_patrones[Código Patrón],0),3)-coef_unidad)</f>
        <v>-30.067</v>
      </c>
      <c r="O31" s="107">
        <f>IF(coef_unidad=32,(INDEX(Cert_patrones[[Código Patrón]:[Deriva]],MATCH($O$29,Cert_patrones[Código Patrón],0),4)),INDEX(Cert_patrones[[Código Patrón]:[Deriva]],MATCH($O$29,Cert_patrones[Código Patrón],0),4)+coef_unidad)</f>
        <v>-1.7000000000000001E-2</v>
      </c>
      <c r="P31" s="107">
        <f>IF(coef_unidad=32,(INDEX(Cert_patrones[[Código Patrón]:[Deriva]],MATCH($O$29,Cert_patrones[Código Patrón],0),5)),INDEX(Cert_patrones[[Código Patrón]:[Deriva]],MATCH($O$29,Cert_patrones[Código Patrón],0),5)+coef_unidad)</f>
        <v>2.3E-2</v>
      </c>
      <c r="Q31" s="107">
        <f>IFERROR(IF(coef_unidad=32,(INDEX(Cert_patrones[[Código Patrón]:[Deriva]],MATCH($O$29,Cert_patrones[Código Patrón],0),9)),INDEX(Cert_patrones[[Código Patrón]:[Deriva]],MATCH($O$29,Cert_patrones[Código Patrón],0),9)+coef_unidad),0)</f>
        <v>4.0000000000000001E-3</v>
      </c>
      <c r="U31" s="92" t="s">
        <v>241</v>
      </c>
      <c r="V31" s="94">
        <f t="array" ref="V31:AE31">TRANSPOSE(N15:N24)</f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3">
        <v>0</v>
      </c>
      <c r="AC31" s="93">
        <v>0</v>
      </c>
      <c r="AD31" s="93">
        <v>0</v>
      </c>
      <c r="AE31" s="93">
        <v>0</v>
      </c>
    </row>
    <row r="32" spans="2:31" x14ac:dyDescent="0.25">
      <c r="C32" s="100">
        <f t="shared" ref="C32:C41" ca="1" si="5">P15</f>
        <v>-2.0157982925077794E-3</v>
      </c>
      <c r="D32" s="100">
        <f t="shared" ref="D32:D41" si="6">Q15</f>
        <v>0</v>
      </c>
      <c r="E32" s="100">
        <f t="shared" ref="E32:E41" ca="1" si="7">R15</f>
        <v>-2.0157982925077794E-3</v>
      </c>
      <c r="F32" s="102">
        <f ca="1">IFERROR(IF(C32&lt;&gt;"",'kU(E)'!$G$17*'kU(E)'!G50,""),"")</f>
        <v>0.1196010545967775</v>
      </c>
      <c r="G32" s="101">
        <f t="shared" ref="G32:G41" si="8">IFERROR(N15+273.15,"")</f>
        <v>273.14999999999998</v>
      </c>
      <c r="H32" s="100">
        <f t="shared" ref="H32:H41" si="9">IFERROR(Q15+273.15,"")</f>
        <v>273.14999999999998</v>
      </c>
      <c r="I32" s="100">
        <f t="shared" ref="I32:I41" ca="1" si="10">IFERROR(R15+273.15,"")</f>
        <v>273.14798420170746</v>
      </c>
      <c r="J32" s="100">
        <f ca="1">IFERROR(IF(G32&lt;&gt;"",('kU(E)'!$G$17+273.15)*'kU(E)'!G50,""),"")</f>
        <v>546.41960105459668</v>
      </c>
      <c r="K32" s="100">
        <f ca="1">IFERROR(IF(C32="","",IF(unidad="°C",CMC!M16,IF(unidad="K",CMC!M16+273.15,CMC!M16*9/5))),"")</f>
        <v>7.0999999999999994E-2</v>
      </c>
      <c r="M32" s="103">
        <v>2</v>
      </c>
      <c r="N32" s="105">
        <f>IF(coef_unidad=32,(INDEX(Cert_patrones[[Código Patrón]:[Deriva]],MATCH($O$29,Cert_patrones[Código Patrón],0)+$M31,3)*1.8+coef_unidad),INDEX(Cert_patrones[[Código Patrón]:[Deriva]],MATCH($O$29,Cert_patrones[Código Patrón],0)+$M31,3)+coef_unidad)</f>
        <v>-1.7999999999999999E-2</v>
      </c>
      <c r="O32" s="105">
        <f>IF(coef_unidad=32,(INDEX(Cert_patrones[[Código Patrón]:[Deriva]],MATCH($O$29,Cert_patrones[Código Patrón],0)+$M31,4)),INDEX(Cert_patrones[[Código Patrón]:[Deriva]],MATCH($O$29,Cert_patrones[Código Patrón],0)+$M31,4)+coef_unidad)</f>
        <v>-2E-3</v>
      </c>
      <c r="P32" s="105">
        <f>IF(coef_unidad=32,(INDEX(Cert_patrones[[Código Patrón]:[Deriva]],MATCH($O$29,Cert_patrones[Código Patrón],0)+$M31,5)),INDEX(Cert_patrones[[Código Patrón]:[Deriva]],MATCH($O$29,Cert_patrones[Código Patrón],0)+$M31,5)+coef_unidad)</f>
        <v>0.02</v>
      </c>
      <c r="Q32" s="105">
        <f>IFERROR(IF(coef_unidad=32,(INDEX(Cert_patrones[[Código Patrón]:[Deriva]],MATCH($O$29,Cert_patrones[Código Patrón],0)+$M31,9)),INDEX(Cert_patrones[[Código Patrón]:[Deriva]],MATCH($O$29,Cert_patrones[Código Patrón],0)+$M31,9)+coef_unidad),0)</f>
        <v>1E-3</v>
      </c>
      <c r="U32" s="92" t="s">
        <v>240</v>
      </c>
      <c r="V32" s="53">
        <f ca="1">IFERROR(INDEX($N$31:$N$39,MATCH(V$31,$N$31:OFFSET($N$31,NumPuntosCalib-1,0),1)),"")</f>
        <v>-1.7999999999999999E-2</v>
      </c>
      <c r="W32" s="53">
        <f ca="1">IFERROR(INDEX($N$31:$N$39,MATCH(W$31,$N$31:OFFSET($N$31,NumPuntosCalib-1,0),1)),"")</f>
        <v>-1.7999999999999999E-2</v>
      </c>
      <c r="X32" s="53">
        <f ca="1">IFERROR(INDEX($N$31:$N$39,MATCH(X$31,$N$31:OFFSET($N$31,NumPuntosCalib-1,0),1)),"")</f>
        <v>-1.7999999999999999E-2</v>
      </c>
      <c r="Y32" s="53">
        <f ca="1">IFERROR(INDEX($N$31:$N$39,MATCH(Y$31,$N$31:OFFSET($N$31,NumPuntosCalib-1,0),1)),"")</f>
        <v>-1.7999999999999999E-2</v>
      </c>
      <c r="Z32" s="53">
        <f ca="1">IFERROR(INDEX($N$31:$N$39,MATCH(Z$31,$N$31:OFFSET($N$31,NumPuntosCalib-1,0),1)),"")</f>
        <v>-1.7999999999999999E-2</v>
      </c>
      <c r="AA32" s="53">
        <f ca="1">IFERROR(INDEX($N$31:$N$39,MATCH(AA$31,$N$31:OFFSET($N$31,NumPuntosCalib-1,0),1)),"")</f>
        <v>-1.7999999999999999E-2</v>
      </c>
      <c r="AB32" s="53">
        <f ca="1">IFERROR(INDEX($N$31:$N$39,MATCH(AB$31,$N$31:OFFSET($N$31,NumPuntosCalib-1,0),1)),"")</f>
        <v>-1.7999999999999999E-2</v>
      </c>
      <c r="AC32" s="53">
        <f ca="1">IFERROR(INDEX($N$31:$N$39,MATCH(AC$31,$N$31:OFFSET($N$31,NumPuntosCalib-1,0),1)),"")</f>
        <v>-1.7999999999999999E-2</v>
      </c>
      <c r="AD32" s="53">
        <f ca="1">IFERROR(INDEX($N$31:$N$39,MATCH(AD$31,$N$31:OFFSET($N$31,NumPuntosCalib-1,0),1)),"")</f>
        <v>-1.7999999999999999E-2</v>
      </c>
      <c r="AE32" s="53">
        <f ca="1">IFERROR(INDEX($N$31:$N$39,MATCH(AE$31,$N$31:OFFSET($N$31,NumPuntosCalib-1,0),1)),"")</f>
        <v>-1.7999999999999999E-2</v>
      </c>
    </row>
    <row r="33" spans="3:31" x14ac:dyDescent="0.25">
      <c r="C33" s="100">
        <f t="shared" ca="1" si="5"/>
        <v>-2.0157982925077794E-3</v>
      </c>
      <c r="D33" s="100">
        <f t="shared" si="6"/>
        <v>0</v>
      </c>
      <c r="E33" s="100">
        <f t="shared" ca="1" si="7"/>
        <v>-2.0157982925077794E-3</v>
      </c>
      <c r="F33" s="102">
        <f ca="1">IFERROR(IF(C33&lt;&gt;"",'kU(E)'!$H$17*'kU(E)'!G51,""),"")</f>
        <v>0.1196010545967775</v>
      </c>
      <c r="G33" s="101">
        <f t="shared" si="8"/>
        <v>273.14999999999998</v>
      </c>
      <c r="H33" s="100">
        <f t="shared" si="9"/>
        <v>273.14999999999998</v>
      </c>
      <c r="I33" s="100">
        <f t="shared" ca="1" si="10"/>
        <v>273.14798420170746</v>
      </c>
      <c r="J33" s="100">
        <f ca="1">IFERROR(IF(G33&lt;&gt;"",('kU(E)'!$H$17+273.15)*'kU(E)'!G51,""),"")</f>
        <v>546.41960105459668</v>
      </c>
      <c r="K33" s="100">
        <f ca="1">IFERROR(IF(C33="","",IF(unidad="°C",CMC!M17,IF(unidad="K",CMC!M17+273.15,CMC!M17*9/5))),"")</f>
        <v>7.0999999999999994E-2</v>
      </c>
      <c r="M33" s="103">
        <v>3</v>
      </c>
      <c r="N33" s="105">
        <f>IF(coef_unidad=32,(INDEX(Cert_patrones[[Código Patrón]:[Deriva]],MATCH($O$29,Cert_patrones[Código Patrón],0)+$M32,3)*1.8+coef_unidad),INDEX(Cert_patrones[[Código Patrón]:[Deriva]],MATCH($O$29,Cert_patrones[Código Patrón],0)+$M32,3)+coef_unidad)</f>
        <v>25.047999999999998</v>
      </c>
      <c r="O33" s="105">
        <f>IF(coef_unidad=32,(INDEX(Cert_patrones[[Código Patrón]:[Deriva]],MATCH($O$29,Cert_patrones[Código Patrón],0)+$M32,4)),INDEX(Cert_patrones[[Código Patrón]:[Deriva]],MATCH($O$29,Cert_patrones[Código Patrón],0)+$M32,4)+coef_unidad)</f>
        <v>-2.4E-2</v>
      </c>
      <c r="P33" s="105">
        <f>IF(coef_unidad=32,(INDEX(Cert_patrones[[Código Patrón]:[Deriva]],MATCH($O$29,Cert_patrones[Código Patrón],0)+$M32,5)),INDEX(Cert_patrones[[Código Patrón]:[Deriva]],MATCH($O$29,Cert_patrones[Código Patrón],0)+$M32,5)+coef_unidad)</f>
        <v>0.02</v>
      </c>
      <c r="Q33" s="105">
        <f>IFERROR(IF(coef_unidad=32,(INDEX(Cert_patrones[[Código Patrón]:[Deriva]],MATCH($O$29,Cert_patrones[Código Patrón],0)+$M32,9)),INDEX(Cert_patrones[[Código Patrón]:[Deriva]],MATCH($O$29,Cert_patrones[Código Patrón],0)+$M32,9)+coef_unidad),0)</f>
        <v>0.02</v>
      </c>
      <c r="U33" s="92" t="s">
        <v>239</v>
      </c>
      <c r="V33" s="53">
        <f ca="1">IFERROR(INDEX($O$31:$O$39,MATCH(V$31,$N$31:OFFSET($N$31,NumPuntosCalib-1,0),1)),"")</f>
        <v>-2E-3</v>
      </c>
      <c r="W33" s="53">
        <f ca="1">IFERROR(INDEX($O$31:$O$39,MATCH(W$31,$N$31:OFFSET($N$31,NumPuntosCalib-1,0),1)),"")</f>
        <v>-2E-3</v>
      </c>
      <c r="X33" s="53">
        <f ca="1">IFERROR(INDEX($O$31:$O$39,MATCH(X$31,$N$31:OFFSET($N$31,NumPuntosCalib-1,0),1)),"")</f>
        <v>-2E-3</v>
      </c>
      <c r="Y33" s="53">
        <f ca="1">IFERROR(INDEX($O$31:$O$39,MATCH(Y$31,$N$31:OFFSET($N$31,NumPuntosCalib-1,0),1)),"")</f>
        <v>-2E-3</v>
      </c>
      <c r="Z33" s="53">
        <f ca="1">IFERROR(INDEX($O$31:$O$39,MATCH(Z$31,$N$31:OFFSET($N$31,NumPuntosCalib-1,0),1)),"")</f>
        <v>-2E-3</v>
      </c>
      <c r="AA33" s="53">
        <f ca="1">IFERROR(INDEX($O$31:$O$39,MATCH(AA$31,$N$31:OFFSET($N$31,NumPuntosCalib-1,0),1)),"")</f>
        <v>-2E-3</v>
      </c>
      <c r="AB33" s="53">
        <f ca="1">IFERROR(INDEX($O$31:$O$39,MATCH(AB$31,$N$31:OFFSET($N$31,NumPuntosCalib-1,0),1)),"")</f>
        <v>-2E-3</v>
      </c>
      <c r="AC33" s="53">
        <f ca="1">IFERROR(INDEX($O$31:$O$39,MATCH(AC$31,$N$31:OFFSET($N$31,NumPuntosCalib-1,0),1)),"")</f>
        <v>-2E-3</v>
      </c>
      <c r="AD33" s="53">
        <f ca="1">IFERROR(INDEX($O$31:$O$39,MATCH(AD$31,$N$31:OFFSET($N$31,NumPuntosCalib-1,0),1)),"")</f>
        <v>-2E-3</v>
      </c>
      <c r="AE33" s="53">
        <f ca="1">IFERROR(INDEX($O$31:$O$39,MATCH(AE$31,$N$31:OFFSET($N$31,NumPuntosCalib-1,0),1)),"")</f>
        <v>-2E-3</v>
      </c>
    </row>
    <row r="34" spans="3:31" x14ac:dyDescent="0.25">
      <c r="C34" s="100">
        <f t="shared" ca="1" si="5"/>
        <v>-2.0157982925077794E-3</v>
      </c>
      <c r="D34" s="100">
        <f t="shared" si="6"/>
        <v>0</v>
      </c>
      <c r="E34" s="100">
        <f t="shared" ca="1" si="7"/>
        <v>-2.0157982925077794E-3</v>
      </c>
      <c r="F34" s="102">
        <f ca="1">IFERROR(IF(C34&lt;&gt;"",'kU(E)'!$I$17*'kU(E)'!G52,""),"")</f>
        <v>0.1196010545967775</v>
      </c>
      <c r="G34" s="101">
        <f t="shared" si="8"/>
        <v>273.14999999999998</v>
      </c>
      <c r="H34" s="100">
        <f t="shared" si="9"/>
        <v>273.14999999999998</v>
      </c>
      <c r="I34" s="100">
        <f t="shared" ca="1" si="10"/>
        <v>273.14798420170746</v>
      </c>
      <c r="J34" s="100">
        <f ca="1">IFERROR(IF(G34&lt;&gt;"",('kU(E)'!$I$17+273.15)*'kU(E)'!G52,""),"")</f>
        <v>546.41960105459668</v>
      </c>
      <c r="K34" s="100">
        <f ca="1">IFERROR(IF(C34="","",IF(unidad="°C",CMC!M18,IF(unidad="K",CMC!M18+273.15,CMC!M18*9/5))),"")</f>
        <v>7.0999999999999994E-2</v>
      </c>
      <c r="M34" s="103">
        <v>4</v>
      </c>
      <c r="N34" s="105">
        <f>IF(coef_unidad=32,(INDEX(Cert_patrones[[Código Patrón]:[Deriva]],MATCH($O$29,Cert_patrones[Código Patrón],0)+$M33,3)*1.8+coef_unidad),INDEX(Cert_patrones[[Código Patrón]:[Deriva]],MATCH($O$29,Cert_patrones[Código Patrón],0)+$M33,3)+coef_unidad)</f>
        <v>49.993000000000002</v>
      </c>
      <c r="O34" s="105">
        <f>IF(coef_unidad=32,(INDEX(Cert_patrones[[Código Patrón]:[Deriva]],MATCH($O$29,Cert_patrones[Código Patrón],0)+$M33,4)),INDEX(Cert_patrones[[Código Patrón]:[Deriva]],MATCH($O$29,Cert_patrones[Código Patrón],0)+$M33,4)+coef_unidad)</f>
        <v>-0.01</v>
      </c>
      <c r="P34" s="105">
        <f>IF(coef_unidad=32,(INDEX(Cert_patrones[[Código Patrón]:[Deriva]],MATCH($O$29,Cert_patrones[Código Patrón],0)+$M33,5)),INDEX(Cert_patrones[[Código Patrón]:[Deriva]],MATCH($O$29,Cert_patrones[Código Patrón],0)+$M33,5)+coef_unidad)</f>
        <v>0.02</v>
      </c>
      <c r="Q34" s="105">
        <f>IFERROR(IF(coef_unidad=32,(INDEX(Cert_patrones[[Código Patrón]:[Deriva]],MATCH($O$29,Cert_patrones[Código Patrón],0)+$M33,9)),INDEX(Cert_patrones[[Código Patrón]:[Deriva]],MATCH($O$29,Cert_patrones[Código Patrón],0)+$M33,9)+coef_unidad),0)</f>
        <v>0</v>
      </c>
      <c r="U34" s="92" t="s">
        <v>238</v>
      </c>
      <c r="V34" s="53">
        <f ca="1">IFERROR(INDEX($N$31:$N$39,MATCH(V$31,$N$31:OFFSET($N$31,NumPuntosCalib-1,0),1)+1),"")</f>
        <v>25.047999999999998</v>
      </c>
      <c r="W34" s="53">
        <f ca="1">IFERROR(INDEX($N$31:$N$39,MATCH(W$31,$N$31:OFFSET($N$31,NumPuntosCalib-1,0),1)+1),"")</f>
        <v>25.047999999999998</v>
      </c>
      <c r="X34" s="53">
        <f ca="1">IFERROR(INDEX($N$31:$N$39,MATCH(X$31,$N$31:OFFSET($N$31,NumPuntosCalib-1,0),1)+1),"")</f>
        <v>25.047999999999998</v>
      </c>
      <c r="Y34" s="53">
        <f ca="1">IFERROR(INDEX($N$31:$N$39,MATCH(Y$31,$N$31:OFFSET($N$31,NumPuntosCalib-1,0),1)+1),"")</f>
        <v>25.047999999999998</v>
      </c>
      <c r="Z34" s="53">
        <f ca="1">IFERROR(INDEX($N$31:$N$39,MATCH(Z$31,$N$31:OFFSET($N$31,NumPuntosCalib-1,0),1)+1),"")</f>
        <v>25.047999999999998</v>
      </c>
      <c r="AA34" s="53">
        <f ca="1">IFERROR(INDEX($N$31:$N$39,MATCH(AA$31,$N$31:OFFSET($N$31,NumPuntosCalib-1,0),1)+1),"")</f>
        <v>25.047999999999998</v>
      </c>
      <c r="AB34" s="53">
        <f ca="1">IFERROR(INDEX($N$31:$N$39,MATCH(AB$31,$N$31:OFFSET($N$31,NumPuntosCalib-1,0),1)+1),"")</f>
        <v>25.047999999999998</v>
      </c>
      <c r="AC34" s="53">
        <f ca="1">IFERROR(INDEX($N$31:$N$39,MATCH(AC$31,$N$31:OFFSET($N$31,NumPuntosCalib-1,0),1)+1),"")</f>
        <v>25.047999999999998</v>
      </c>
      <c r="AD34" s="53">
        <f ca="1">IFERROR(INDEX($N$31:$N$39,MATCH(AD$31,$N$31:OFFSET($N$31,NumPuntosCalib-1,0),1)+1),"")</f>
        <v>25.047999999999998</v>
      </c>
      <c r="AE34" s="53">
        <f ca="1">IFERROR(INDEX($N$31:$N$39,MATCH(AE$31,$N$31:OFFSET($N$31,NumPuntosCalib-1,0),1)+1),"")</f>
        <v>25.047999999999998</v>
      </c>
    </row>
    <row r="35" spans="3:31" x14ac:dyDescent="0.25">
      <c r="C35" s="100">
        <f t="shared" ca="1" si="5"/>
        <v>-2.0157982925077794E-3</v>
      </c>
      <c r="D35" s="100">
        <f t="shared" si="6"/>
        <v>0</v>
      </c>
      <c r="E35" s="100">
        <f t="shared" ca="1" si="7"/>
        <v>-2.0157982925077794E-3</v>
      </c>
      <c r="F35" s="102">
        <f ca="1">IFERROR(IF(C35&lt;&gt;"",'kU(E)'!$J$17*'kU(E)'!G53,""),"")</f>
        <v>0.1196010545967775</v>
      </c>
      <c r="G35" s="101">
        <f t="shared" si="8"/>
        <v>273.14999999999998</v>
      </c>
      <c r="H35" s="100">
        <f t="shared" si="9"/>
        <v>273.14999999999998</v>
      </c>
      <c r="I35" s="100">
        <f t="shared" ca="1" si="10"/>
        <v>273.14798420170746</v>
      </c>
      <c r="J35" s="100">
        <f ca="1">IFERROR(IF(G35&lt;&gt;"",('kU(E)'!$J$17+273.15)*'kU(E)'!G53,""),"")</f>
        <v>546.41960105459668</v>
      </c>
      <c r="K35" s="100">
        <f ca="1">IFERROR(IF(C35="","",IF(unidad="°C",CMC!M19,IF(unidad="K",CMC!M19+273.15,CMC!M19*9/5))),"")</f>
        <v>7.0999999999999994E-2</v>
      </c>
      <c r="M35" s="103">
        <v>5</v>
      </c>
      <c r="N35" s="105">
        <f>IF(coef_unidad=32,(INDEX(Cert_patrones[[Código Patrón]:[Deriva]],MATCH($O$29,Cert_patrones[Código Patrón],0)+$M34,3)*1.8+coef_unidad),INDEX(Cert_patrones[[Código Patrón]:[Deriva]],MATCH($O$29,Cert_patrones[Código Patrón],0)+$M34,3)+coef_unidad)</f>
        <v>99.995000000000005</v>
      </c>
      <c r="O35" s="105">
        <f>IF(coef_unidad=32,(INDEX(Cert_patrones[[Código Patrón]:[Deriva]],MATCH($O$29,Cert_patrones[Código Patrón],0)+$M34,4)),INDEX(Cert_patrones[[Código Patrón]:[Deriva]],MATCH($O$29,Cert_patrones[Código Patrón],0)+$M34,4)+coef_unidad)</f>
        <v>-7.0000000000000001E-3</v>
      </c>
      <c r="P35" s="105">
        <f>IF(coef_unidad=32,(INDEX(Cert_patrones[[Código Patrón]:[Deriva]],MATCH($O$29,Cert_patrones[Código Patrón],0)+$M34,5)),INDEX(Cert_patrones[[Código Patrón]:[Deriva]],MATCH($O$29,Cert_patrones[Código Patrón],0)+$M34,5)+coef_unidad)</f>
        <v>0.02</v>
      </c>
      <c r="Q35" s="105">
        <f>IFERROR(IF(coef_unidad=32,(INDEX(Cert_patrones[[Código Patrón]:[Deriva]],MATCH($O$29,Cert_patrones[Código Patrón],0)+$M34,9)),INDEX(Cert_patrones[[Código Patrón]:[Deriva]],MATCH($O$29,Cert_patrones[Código Patrón],0)+$M34,9)+coef_unidad),0)</f>
        <v>3.0000000000000001E-3</v>
      </c>
      <c r="U35" s="92" t="s">
        <v>237</v>
      </c>
      <c r="V35" s="53">
        <f ca="1">IFERROR(INDEX($O$31:$O$39,MATCH(V$31,$N$31:OFFSET($N$31,NumPuntosCalib-1,0),1)+1),"")</f>
        <v>-2.4E-2</v>
      </c>
      <c r="W35" s="53">
        <f ca="1">IFERROR(INDEX($O$31:$O$39,MATCH(W$31,$N$31:OFFSET($N$31,NumPuntosCalib-1,0),1)+1),"")</f>
        <v>-2.4E-2</v>
      </c>
      <c r="X35" s="53">
        <f ca="1">IFERROR(INDEX($O$31:$O$39,MATCH(X$31,$N$31:OFFSET($N$31,NumPuntosCalib-1,0),1)+1),"")</f>
        <v>-2.4E-2</v>
      </c>
      <c r="Y35" s="53">
        <f ca="1">IFERROR(INDEX($O$31:$O$39,MATCH(Y$31,$N$31:OFFSET($N$31,NumPuntosCalib-1,0),1)+1),"")</f>
        <v>-2.4E-2</v>
      </c>
      <c r="Z35" s="53">
        <f ca="1">IFERROR(INDEX($O$31:$O$39,MATCH(Z$31,$N$31:OFFSET($N$31,NumPuntosCalib-1,0),1)+1),"")</f>
        <v>-2.4E-2</v>
      </c>
      <c r="AA35" s="53">
        <f ca="1">IFERROR(INDEX($O$31:$O$39,MATCH(AA$31,$N$31:OFFSET($N$31,NumPuntosCalib-1,0),1)+1),"")</f>
        <v>-2.4E-2</v>
      </c>
      <c r="AB35" s="53">
        <f ca="1">IFERROR(INDEX($O$31:$O$39,MATCH(AB$31,$N$31:OFFSET($N$31,NumPuntosCalib-1,0),1)+1),"")</f>
        <v>-2.4E-2</v>
      </c>
      <c r="AC35" s="53">
        <f ca="1">IFERROR(INDEX($O$31:$O$39,MATCH(AC$31,$N$31:OFFSET($N$31,NumPuntosCalib-1,0),1)+1),"")</f>
        <v>-2.4E-2</v>
      </c>
      <c r="AD35" s="53">
        <f ca="1">IFERROR(INDEX($O$31:$O$39,MATCH(AD$31,$N$31:OFFSET($N$31,NumPuntosCalib-1,0),1)+1),"")</f>
        <v>-2.4E-2</v>
      </c>
      <c r="AE35" s="53">
        <f ca="1">IFERROR(INDEX($O$31:$O$39,MATCH(AE$31,$N$31:OFFSET($N$31,NumPuntosCalib-1,0),1)+1),"")</f>
        <v>-2.4E-2</v>
      </c>
    </row>
    <row r="36" spans="3:31" x14ac:dyDescent="0.25">
      <c r="C36" s="100">
        <f t="shared" ca="1" si="5"/>
        <v>-2.0157982925077794E-3</v>
      </c>
      <c r="D36" s="100">
        <f t="shared" si="6"/>
        <v>0</v>
      </c>
      <c r="E36" s="100">
        <f t="shared" ca="1" si="7"/>
        <v>-2.0157982925077794E-3</v>
      </c>
      <c r="F36" s="102">
        <f ca="1">IFERROR(IF(C36&lt;&gt;"",'kU(E)'!$K$17*'kU(E)'!G54,""),"")</f>
        <v>0.1196010545967775</v>
      </c>
      <c r="G36" s="101">
        <f t="shared" si="8"/>
        <v>273.14999999999998</v>
      </c>
      <c r="H36" s="100">
        <f t="shared" si="9"/>
        <v>273.14999999999998</v>
      </c>
      <c r="I36" s="100">
        <f t="shared" ca="1" si="10"/>
        <v>273.14798420170746</v>
      </c>
      <c r="J36" s="100">
        <f ca="1">IFERROR(IF(G36&lt;&gt;"",('kU(E)'!$K$17+273.15)*'kU(E)'!G54,""),"")</f>
        <v>546.41960105459668</v>
      </c>
      <c r="K36" s="100">
        <f ca="1">IFERROR(IF(C36="","",IF(unidad="°C",CMC!M20,IF(unidad="K",CMC!M20+273.15,CMC!M20*9/5))),"")</f>
        <v>7.0999999999999994E-2</v>
      </c>
      <c r="M36" s="103">
        <v>6</v>
      </c>
      <c r="N36" s="105">
        <f>IF(coef_unidad=32,(INDEX(Cert_patrones[[Código Patrón]:[Deriva]],MATCH($O$29,Cert_patrones[Código Patrón],0)+$M35,3)*1.8+coef_unidad),INDEX(Cert_patrones[[Código Patrón]:[Deriva]],MATCH($O$29,Cert_patrones[Código Patrón],0)+$M35,3)+coef_unidad)</f>
        <v>150.08699999999999</v>
      </c>
      <c r="O36" s="105">
        <f>IF(coef_unidad=32,(INDEX(Cert_patrones[[Código Patrón]:[Deriva]],MATCH($O$29,Cert_patrones[Código Patrón],0)+$M35,4)),INDEX(Cert_patrones[[Código Patrón]:[Deriva]],MATCH($O$29,Cert_patrones[Código Patrón],0)+$M35,4)+coef_unidad)</f>
        <v>2E-3</v>
      </c>
      <c r="P36" s="105">
        <f>IF(coef_unidad=32,(INDEX(Cert_patrones[[Código Patrón]:[Deriva]],MATCH($O$29,Cert_patrones[Código Patrón],0)+$M35,5)),INDEX(Cert_patrones[[Código Patrón]:[Deriva]],MATCH($O$29,Cert_patrones[Código Patrón],0)+$M35,5)+coef_unidad)</f>
        <v>2.5999999999999999E-2</v>
      </c>
      <c r="Q36" s="105">
        <f>IFERROR(IF(coef_unidad=32,(INDEX(Cert_patrones[[Código Patrón]:[Deriva]],MATCH($O$29,Cert_patrones[Código Patrón],0)+$M35,9)),INDEX(Cert_patrones[[Código Patrón]:[Deriva]],MATCH($O$29,Cert_patrones[Código Patrón],0)+$M35,9)+coef_unidad),0)</f>
        <v>2E-3</v>
      </c>
      <c r="U36" s="92" t="s">
        <v>236</v>
      </c>
      <c r="V36" s="91">
        <f t="shared" ref="V36:AE36" ca="1" si="11">IFERROR(V33+(V31-V32)*(V35-V33)/(V34-V32),"")</f>
        <v>-2.0157982925077794E-3</v>
      </c>
      <c r="W36" s="91">
        <f t="shared" ca="1" si="11"/>
        <v>-2.0157982925077794E-3</v>
      </c>
      <c r="X36" s="91">
        <f t="shared" ca="1" si="11"/>
        <v>-2.0157982925077794E-3</v>
      </c>
      <c r="Y36" s="91">
        <f t="shared" ca="1" si="11"/>
        <v>-2.0157982925077794E-3</v>
      </c>
      <c r="Z36" s="91">
        <f t="shared" ca="1" si="11"/>
        <v>-2.0157982925077794E-3</v>
      </c>
      <c r="AA36" s="91">
        <f t="shared" ca="1" si="11"/>
        <v>-2.0157982925077794E-3</v>
      </c>
      <c r="AB36" s="91">
        <f t="shared" ca="1" si="11"/>
        <v>-2.0157982925077794E-3</v>
      </c>
      <c r="AC36" s="91">
        <f t="shared" ca="1" si="11"/>
        <v>-2.0157982925077794E-3</v>
      </c>
      <c r="AD36" s="91">
        <f t="shared" ca="1" si="11"/>
        <v>-2.0157982925077794E-3</v>
      </c>
      <c r="AE36" s="91">
        <f t="shared" ca="1" si="11"/>
        <v>-2.0157982925077794E-3</v>
      </c>
    </row>
    <row r="37" spans="3:31" x14ac:dyDescent="0.25">
      <c r="C37" s="100">
        <f t="shared" ca="1" si="5"/>
        <v>-2.0157982925077794E-3</v>
      </c>
      <c r="D37" s="100">
        <f t="shared" si="6"/>
        <v>0</v>
      </c>
      <c r="E37" s="100">
        <f t="shared" ca="1" si="7"/>
        <v>-2.0157982925077794E-3</v>
      </c>
      <c r="F37" s="102">
        <f ca="1">IFERROR(IF(C37&lt;&gt;"",'kU(E)'!$L$17*'kU(E)'!G55,""),"")</f>
        <v>0.1196010545967775</v>
      </c>
      <c r="G37" s="101">
        <f t="shared" si="8"/>
        <v>273.14999999999998</v>
      </c>
      <c r="H37" s="100">
        <f t="shared" si="9"/>
        <v>273.14999999999998</v>
      </c>
      <c r="I37" s="100">
        <f t="shared" ca="1" si="10"/>
        <v>273.14798420170746</v>
      </c>
      <c r="J37" s="100">
        <f ca="1">IFERROR(IF(G37&lt;&gt;"",('kU(E)'!$L$17+273.15)*'kU(E)'!G55,""),"")</f>
        <v>546.41960105459668</v>
      </c>
      <c r="K37" s="100">
        <f ca="1">IFERROR(IF(C37="","",IF(unidad="°C",CMC!M21,IF(unidad="K",CMC!M21+273.15,CMC!M21*9/5))),"")</f>
        <v>7.0999999999999994E-2</v>
      </c>
      <c r="M37" s="103">
        <v>7</v>
      </c>
      <c r="N37" s="105">
        <f>IF(coef_unidad=32,(INDEX(Cert_patrones[[Código Patrón]:[Deriva]],MATCH($O$29,Cert_patrones[Código Patrón],0)+$M36,3)*1.8+coef_unidad),INDEX(Cert_patrones[[Código Patrón]:[Deriva]],MATCH($O$29,Cert_patrones[Código Patrón],0)+$M36,3)+coef_unidad)</f>
        <v>200.096</v>
      </c>
      <c r="O37" s="105">
        <f>IF(coef_unidad=32,(INDEX(Cert_patrones[[Código Patrón]:[Deriva]],MATCH($O$29,Cert_patrones[Código Patrón],0)+$M36,4)),INDEX(Cert_patrones[[Código Patrón]:[Deriva]],MATCH($O$29,Cert_patrones[Código Patrón],0)+$M36,4)+coef_unidad)</f>
        <v>-5.0000000000000001E-3</v>
      </c>
      <c r="P37" s="105">
        <f>IF(coef_unidad=32,(INDEX(Cert_patrones[[Código Patrón]:[Deriva]],MATCH($O$29,Cert_patrones[Código Patrón],0)+$M36,5)),INDEX(Cert_patrones[[Código Patrón]:[Deriva]],MATCH($O$29,Cert_patrones[Código Patrón],0)+$M36,5)+coef_unidad)</f>
        <v>2.5999999999999999E-2</v>
      </c>
      <c r="Q37" s="105">
        <f>IFERROR(IF(coef_unidad=32,(INDEX(Cert_patrones[[Código Patrón]:[Deriva]],MATCH($O$29,Cert_patrones[Código Patrón],0)+$M36,9)),INDEX(Cert_patrones[[Código Patrón]:[Deriva]],MATCH($O$29,Cert_patrones[Código Patrón],0)+$M36,9)+coef_unidad),0)</f>
        <v>0</v>
      </c>
      <c r="U37" s="106"/>
      <c r="V37" s="22"/>
      <c r="W37" s="22"/>
      <c r="X37" s="22"/>
      <c r="Y37" s="22"/>
      <c r="Z37" s="22"/>
      <c r="AA37" s="22"/>
    </row>
    <row r="38" spans="3:31" x14ac:dyDescent="0.25">
      <c r="C38" s="100">
        <f t="shared" ca="1" si="5"/>
        <v>-2.0157982925077794E-3</v>
      </c>
      <c r="D38" s="100">
        <f t="shared" si="6"/>
        <v>0</v>
      </c>
      <c r="E38" s="100">
        <f t="shared" ca="1" si="7"/>
        <v>-2.0157982925077794E-3</v>
      </c>
      <c r="F38" s="102">
        <f ca="1">IFERROR(IF(C38&lt;&gt;"",'kU(E)'!$M$17*'kU(E)'!G56,""),"")</f>
        <v>0.1196010545967775</v>
      </c>
      <c r="G38" s="101">
        <f t="shared" si="8"/>
        <v>273.14999999999998</v>
      </c>
      <c r="H38" s="100">
        <f t="shared" si="9"/>
        <v>273.14999999999998</v>
      </c>
      <c r="I38" s="100">
        <f t="shared" ca="1" si="10"/>
        <v>273.14798420170746</v>
      </c>
      <c r="J38" s="100">
        <f ca="1">IFERROR(IF(G38&lt;&gt;"",('kU(E)'!$M$17+273.15)*'kU(E)'!G56,""),"")</f>
        <v>546.41960105459668</v>
      </c>
      <c r="K38" s="100">
        <f ca="1">IFERROR(IF(C38="","",IF(unidad="°C",CMC!M22,IF(unidad="K",CMC!M22+273.15,CMC!M22*9/5))),"")</f>
        <v>7.0999999999999994E-2</v>
      </c>
      <c r="M38" s="103">
        <v>8</v>
      </c>
      <c r="N38" s="105">
        <f>IF(coef_unidad=32,(INDEX(Cert_patrones[[Código Patrón]:[Deriva]],MATCH($O$29,Cert_patrones[Código Patrón],0)+$M37,3)*1.8+coef_unidad),INDEX(Cert_patrones[[Código Patrón]:[Deriva]],MATCH($O$29,Cert_patrones[Código Patrón],0)+$M37,3)+coef_unidad)</f>
        <v>250.01400000000001</v>
      </c>
      <c r="O38" s="105">
        <f>IF(coef_unidad=32,(INDEX(Cert_patrones[[Código Patrón]:[Deriva]],MATCH($O$29,Cert_patrones[Código Patrón],0)+$M37,4)),INDEX(Cert_patrones[[Código Patrón]:[Deriva]],MATCH($O$29,Cert_patrones[Código Patrón],0)+$M37,4)+coef_unidad)</f>
        <v>-1.2E-2</v>
      </c>
      <c r="P38" s="105">
        <f>IF(coef_unidad=32,(INDEX(Cert_patrones[[Código Patrón]:[Deriva]],MATCH($O$29,Cert_patrones[Código Patrón],0)+$M37,5)),INDEX(Cert_patrones[[Código Patrón]:[Deriva]],MATCH($O$29,Cert_patrones[Código Patrón],0)+$M37,5)+coef_unidad)</f>
        <v>2.5999999999999999E-2</v>
      </c>
      <c r="Q38" s="105">
        <f>IFERROR(IF(coef_unidad=32,(INDEX(Cert_patrones[[Código Patrón]:[Deriva]],MATCH($O$29,Cert_patrones[Código Patrón],0)+$M37,9)),INDEX(Cert_patrones[[Código Patrón]:[Deriva]],MATCH($O$29,Cert_patrones[Código Patrón],0)+$M37,9)+coef_unidad),0)</f>
        <v>4.0000000000000001E-3</v>
      </c>
    </row>
    <row r="39" spans="3:31" x14ac:dyDescent="0.25">
      <c r="C39" s="100">
        <f t="shared" ca="1" si="5"/>
        <v>-2.0157982925077794E-3</v>
      </c>
      <c r="D39" s="100">
        <f t="shared" si="6"/>
        <v>0</v>
      </c>
      <c r="E39" s="100">
        <f t="shared" ca="1" si="7"/>
        <v>-2.0157982925077794E-3</v>
      </c>
      <c r="F39" s="102">
        <f ca="1">IFERROR(IF(C39&lt;&gt;"",'kU(E)'!$N$17*'kU(E)'!G57,""),"")</f>
        <v>0.1196010545967775</v>
      </c>
      <c r="G39" s="101">
        <f t="shared" si="8"/>
        <v>273.14999999999998</v>
      </c>
      <c r="H39" s="100">
        <f t="shared" si="9"/>
        <v>273.14999999999998</v>
      </c>
      <c r="I39" s="100">
        <f t="shared" ca="1" si="10"/>
        <v>273.14798420170746</v>
      </c>
      <c r="J39" s="100">
        <f ca="1">IFERROR(IF(G39&lt;&gt;"",('kU(E)'!$N$17+273.15)*'kU(E)'!G57,""),"")</f>
        <v>546.41960105459668</v>
      </c>
      <c r="K39" s="100">
        <f ca="1">IFERROR(IF(C39="","",IF(unidad="°C",CMC!M23,IF(unidad="K",CMC!M23+273.15,CMC!M23*9/5))),"")</f>
        <v>7.0999999999999994E-2</v>
      </c>
      <c r="M39" s="103">
        <v>9</v>
      </c>
      <c r="N39" s="105">
        <f>IF(coef_unidad=32,(INDEX(Cert_patrones[[Código Patrón]:[Deriva]],MATCH($O$29,Cert_patrones[Código Patrón],0)+$M38,3)*1.8+coef_unidad),INDEX(Cert_patrones[[Código Patrón]:[Deriva]],MATCH($O$29,Cert_patrones[Código Patrón],0)+$M38,3)+coef_unidad)</f>
        <v>0</v>
      </c>
      <c r="O39" s="105">
        <f>IF(coef_unidad=32,(INDEX(Cert_patrones[[Código Patrón]:[Deriva]],MATCH($O$29,Cert_patrones[Código Patrón],0)+$M38,4)),INDEX(Cert_patrones[[Código Patrón]:[Deriva]],MATCH($O$29,Cert_patrones[Código Patrón],0)+$M38,4)+coef_unidad)</f>
        <v>0</v>
      </c>
      <c r="P39" s="105">
        <f>IF(coef_unidad=32,(INDEX(Cert_patrones[[Código Patrón]:[Deriva]],MATCH($O$29,Cert_patrones[Código Patrón],0)+$M38,5)),INDEX(Cert_patrones[[Código Patrón]:[Deriva]],MATCH($O$29,Cert_patrones[Código Patrón],0)+$M38,5)+coef_unidad)</f>
        <v>0</v>
      </c>
      <c r="Q39" s="105">
        <f>IFERROR(IF(coef_unidad=32,(INDEX(Cert_patrones[[Código Patrón]:[Deriva]],MATCH($O$29,Cert_patrones[Código Patrón],0)+$M38,9)),INDEX(Cert_patrones[[Código Patrón]:[Deriva]],MATCH($O$29,Cert_patrones[Código Patrón],0)+$M38,9)+coef_unidad),0)</f>
        <v>0</v>
      </c>
      <c r="U39" s="57" t="s">
        <v>251</v>
      </c>
      <c r="V39" s="57"/>
      <c r="W39" s="57"/>
      <c r="X39" s="57"/>
      <c r="Y39" s="57" t="str">
        <f>CONCATENATE("[Todo en ", unidad,"]")</f>
        <v>[Todo en °C]</v>
      </c>
      <c r="Z39" s="57"/>
    </row>
    <row r="40" spans="3:31" x14ac:dyDescent="0.25">
      <c r="C40" s="100">
        <f t="shared" ca="1" si="5"/>
        <v>-2.0157982925077794E-3</v>
      </c>
      <c r="D40" s="100">
        <f t="shared" si="6"/>
        <v>0</v>
      </c>
      <c r="E40" s="100">
        <f t="shared" ca="1" si="7"/>
        <v>-2.0157982925077794E-3</v>
      </c>
      <c r="F40" s="102">
        <f ca="1">IFERROR(IF(C40&lt;&gt;"",'kU(E)'!$O$17*'kU(E)'!G58,""),"")</f>
        <v>0.1196010545967775</v>
      </c>
      <c r="G40" s="101">
        <f t="shared" si="8"/>
        <v>273.14999999999998</v>
      </c>
      <c r="H40" s="100">
        <f t="shared" si="9"/>
        <v>273.14999999999998</v>
      </c>
      <c r="I40" s="100">
        <f t="shared" ca="1" si="10"/>
        <v>273.14798420170746</v>
      </c>
      <c r="J40" s="100">
        <f ca="1">IFERROR(IF(G40&lt;&gt;"",('kU(E)'!$O$17+273.15)*'kU(E)'!G58,""),"")</f>
        <v>546.41960105459668</v>
      </c>
      <c r="K40" s="100">
        <f ca="1">IFERROR(IF(C40="","",IF(unidad="°C",CMC!M24,IF(unidad="K",CMC!M24+273.15,CMC!M24*9/5))),"")</f>
        <v>7.0999999999999994E-2</v>
      </c>
      <c r="M40" s="103">
        <v>12</v>
      </c>
      <c r="N40" s="103" t="s">
        <v>250</v>
      </c>
      <c r="O40" s="103"/>
      <c r="P40" s="104">
        <f>COUNTIF(P31:P39,"&lt;&gt;0")</f>
        <v>8</v>
      </c>
      <c r="Q40" s="103"/>
    </row>
    <row r="41" spans="3:31" ht="16.5" x14ac:dyDescent="0.25">
      <c r="C41" s="100">
        <f t="shared" ca="1" si="5"/>
        <v>-2.0157982925077794E-3</v>
      </c>
      <c r="D41" s="100">
        <f t="shared" si="6"/>
        <v>0</v>
      </c>
      <c r="E41" s="100">
        <f t="shared" ca="1" si="7"/>
        <v>-2.0157982925077794E-3</v>
      </c>
      <c r="F41" s="102">
        <f ca="1">IFERROR(IF(C41&lt;&gt;"",'kU(E)'!$P$17*'kU(E)'!G59,""),"")</f>
        <v>0.1196010545967775</v>
      </c>
      <c r="G41" s="101">
        <f t="shared" si="8"/>
        <v>273.14999999999998</v>
      </c>
      <c r="H41" s="100">
        <f t="shared" si="9"/>
        <v>273.14999999999998</v>
      </c>
      <c r="I41" s="100">
        <f t="shared" ca="1" si="10"/>
        <v>273.14798420170746</v>
      </c>
      <c r="J41" s="100">
        <f ca="1">IFERROR(IF(G41&lt;&gt;"",('kU(E)'!$P$17+273.15)*'kU(E)'!G59,""),"")</f>
        <v>546.41960105459668</v>
      </c>
      <c r="K41" s="100">
        <f ca="1">IFERROR(IF(C41="","",IF(unidad="°C",CMC!M25,IF(unidad="K",CMC!M25+273.15,CMC!M25*9/5))),"")</f>
        <v>7.0999999999999994E-2</v>
      </c>
      <c r="N41" s="99" t="s">
        <v>249</v>
      </c>
      <c r="O41" s="98">
        <f t="array" aca="1" ref="O41" ca="1">RSQ($O$31:OFFSET($O$31,MATCH(TRUE,$O$31:$O$39&lt;&gt;0,1)-1,0),$N$31:OFFSET($N$31,MATCH(TRUE,$O$31:$O$39&lt;&gt;0,1)-1,0))</f>
        <v>0.11709908329445744</v>
      </c>
      <c r="P41" s="98">
        <f t="array" aca="1" ref="P41" ca="1">RSQ($P$31:OFFSET($P$31,MATCH(TRUE,$O$31:$O$39&lt;&gt;0,1)-1,0),$N$31:OFFSET($N$31,MATCH(TRUE,$O$31:$O$39&lt;&gt;0,1)-1,0))</f>
        <v>0.56068942130280142</v>
      </c>
      <c r="Q41" s="98">
        <f t="array" aca="1" ref="Q41" ca="1">RSQ($Q$31:OFFSET($Q$31,MATCH(TRUE,$O$31:$O$39&lt;&gt;0,1)-1,0),$N$31:OFFSET($N$31,MATCH(TRUE,$O$31:$O$39&lt;&gt;0,1)-1,0))</f>
        <v>6.6937529453132236E-2</v>
      </c>
      <c r="U41" s="95" t="s">
        <v>242</v>
      </c>
      <c r="V41" s="95">
        <v>1</v>
      </c>
      <c r="W41" s="95">
        <v>2</v>
      </c>
      <c r="X41" s="95">
        <v>3</v>
      </c>
      <c r="Y41" s="95">
        <v>4</v>
      </c>
      <c r="Z41" s="95">
        <v>5</v>
      </c>
      <c r="AA41" s="95">
        <v>6</v>
      </c>
      <c r="AB41" s="95">
        <v>7</v>
      </c>
      <c r="AC41" s="95">
        <v>8</v>
      </c>
      <c r="AD41" s="95">
        <v>9</v>
      </c>
      <c r="AE41" s="95">
        <v>10</v>
      </c>
    </row>
    <row r="42" spans="3:31" x14ac:dyDescent="0.25">
      <c r="F42" s="88"/>
      <c r="U42" s="92" t="s">
        <v>241</v>
      </c>
      <c r="V42" s="94">
        <f t="array" ref="V42:AE42">TRANSPOSE(N15:N24)</f>
        <v>0</v>
      </c>
      <c r="W42" s="94">
        <v>0</v>
      </c>
      <c r="X42" s="94">
        <v>0</v>
      </c>
      <c r="Y42" s="94">
        <v>0</v>
      </c>
      <c r="Z42" s="94">
        <v>0</v>
      </c>
      <c r="AA42" s="94">
        <v>0</v>
      </c>
      <c r="AB42" s="93">
        <v>0</v>
      </c>
      <c r="AC42" s="93">
        <v>0</v>
      </c>
      <c r="AD42" s="93">
        <v>0</v>
      </c>
      <c r="AE42" s="93">
        <v>0</v>
      </c>
    </row>
    <row r="43" spans="3:31" x14ac:dyDescent="0.25">
      <c r="C43" s="96" t="s">
        <v>248</v>
      </c>
      <c r="O43" s="97"/>
      <c r="U43" s="92" t="s">
        <v>240</v>
      </c>
      <c r="V43" s="53">
        <f ca="1">IFERROR(INDEX($N$31:$N$39,MATCH(V$42,$N$31:OFFSET($N$31,NumPuntosCalib-1,0),1)),"")</f>
        <v>-1.7999999999999999E-2</v>
      </c>
      <c r="W43" s="53">
        <f ca="1">IFERROR(INDEX($N$31:$N$39,MATCH(W$42,$N$31:OFFSET($N$31,NumPuntosCalib-1,0),1)),"")</f>
        <v>-1.7999999999999999E-2</v>
      </c>
      <c r="X43" s="53">
        <f ca="1">IFERROR(INDEX($N$31:$N$39,MATCH(X$42,$N$31:OFFSET($N$31,NumPuntosCalib-1,0),1)),"")</f>
        <v>-1.7999999999999999E-2</v>
      </c>
      <c r="Y43" s="53">
        <f ca="1">IFERROR(INDEX($N$31:$N$39,MATCH(Y$42,$N$31:OFFSET($N$31,NumPuntosCalib-1,0),1)),"")</f>
        <v>-1.7999999999999999E-2</v>
      </c>
      <c r="Z43" s="53">
        <f ca="1">IFERROR(INDEX($N$31:$N$39,MATCH(Z$42,$N$31:OFFSET($N$31,NumPuntosCalib-1,0),1)),"")</f>
        <v>-1.7999999999999999E-2</v>
      </c>
      <c r="AA43" s="53">
        <f ca="1">IFERROR(INDEX($N$31:$N$39,MATCH(AA$42,$N$31:OFFSET($N$31,NumPuntosCalib-1,0),1)),"")</f>
        <v>-1.7999999999999999E-2</v>
      </c>
      <c r="AB43" s="53">
        <f ca="1">IFERROR(INDEX($N$31:$N$39,MATCH(AB$42,$N$31:OFFSET($N$31,NumPuntosCalib-1,0),1)),"")</f>
        <v>-1.7999999999999999E-2</v>
      </c>
      <c r="AC43" s="53">
        <f ca="1">IFERROR(INDEX($N$31:$N$39,MATCH(AC$42,$N$31:OFFSET($N$31,NumPuntosCalib-1,0),1)),"")</f>
        <v>-1.7999999999999999E-2</v>
      </c>
      <c r="AD43" s="53">
        <f ca="1">IFERROR(INDEX($N$31:$N$39,MATCH(AD$42,$N$31:OFFSET($N$31,NumPuntosCalib-1,0),1)),"")</f>
        <v>-1.7999999999999999E-2</v>
      </c>
      <c r="AE43" s="53">
        <f ca="1">IFERROR(INDEX($N$31:$N$39,MATCH(AE$42,$N$31:OFFSET($N$31,NumPuntosCalib-1,0),1)),"")</f>
        <v>-1.7999999999999999E-2</v>
      </c>
    </row>
    <row r="44" spans="3:31" x14ac:dyDescent="0.25">
      <c r="C44" s="96" t="s">
        <v>247</v>
      </c>
      <c r="U44" s="92" t="s">
        <v>239</v>
      </c>
      <c r="V44" s="53">
        <f ca="1">IFERROR(INDEX($P$31:$P$39,MATCH(V$42,$N$31:OFFSET($N$31,NumPuntosCalib-1,0),1)),"")</f>
        <v>0.02</v>
      </c>
      <c r="W44" s="53">
        <f ca="1">IFERROR(INDEX($P$31:$P$39,MATCH(W$42,$N$31:OFFSET($N$31,NumPuntosCalib-1,0),1)),"")</f>
        <v>0.02</v>
      </c>
      <c r="X44" s="53">
        <f ca="1">IFERROR(INDEX($P$31:$P$39,MATCH(X$42,$N$31:OFFSET($N$31,NumPuntosCalib-1,0),1)),"")</f>
        <v>0.02</v>
      </c>
      <c r="Y44" s="53">
        <f ca="1">IFERROR(INDEX($P$31:$P$39,MATCH(Y$42,$N$31:OFFSET($N$31,NumPuntosCalib-1,0),1)),"")</f>
        <v>0.02</v>
      </c>
      <c r="Z44" s="53">
        <f ca="1">IFERROR(INDEX($P$31:$P$39,MATCH(Z$42,$N$31:OFFSET($N$31,NumPuntosCalib-1,0),1)),"")</f>
        <v>0.02</v>
      </c>
      <c r="AA44" s="53">
        <f ca="1">IFERROR(INDEX($P$31:$P$39,MATCH(AA$42,$N$31:OFFSET($N$31,NumPuntosCalib-1,0),1)),"")</f>
        <v>0.02</v>
      </c>
      <c r="AB44" s="53">
        <f ca="1">IFERROR(INDEX($P$31:$P$39,MATCH(AB$42,$N$31:OFFSET($N$31,NumPuntosCalib-1,0),1)),"")</f>
        <v>0.02</v>
      </c>
      <c r="AC44" s="53">
        <f ca="1">IFERROR(INDEX($P$31:$P$39,MATCH(AC$42,$N$31:OFFSET($N$31,NumPuntosCalib-1,0),1)),"")</f>
        <v>0.02</v>
      </c>
      <c r="AD44" s="53">
        <f ca="1">IFERROR(INDEX($P$31:$P$39,MATCH(AD$42,$N$31:OFFSET($N$31,NumPuntosCalib-1,0),1)),"")</f>
        <v>0.02</v>
      </c>
      <c r="AE44" s="53">
        <f ca="1">IFERROR(INDEX($P$31:$P$39,MATCH(AE$42,$N$31:OFFSET($N$31,NumPuntosCalib-1,0),1)),"")</f>
        <v>0.02</v>
      </c>
    </row>
    <row r="45" spans="3:31" x14ac:dyDescent="0.25">
      <c r="C45" s="96" t="s">
        <v>246</v>
      </c>
      <c r="U45" s="92" t="s">
        <v>238</v>
      </c>
      <c r="V45" s="53">
        <f ca="1">IFERROR(INDEX($N$31:$N$39,MATCH(V$42,$N$31:OFFSET($N$31,NumPuntosCalib-1,0),1)+1),"")</f>
        <v>25.047999999999998</v>
      </c>
      <c r="W45" s="53">
        <f ca="1">IFERROR(INDEX($N$31:$N$39,MATCH(W$42,$N$31:OFFSET($N$31,NumPuntosCalib-1,0),1)+1),"")</f>
        <v>25.047999999999998</v>
      </c>
      <c r="X45" s="53">
        <f ca="1">IFERROR(INDEX($N$31:$N$39,MATCH(X$42,$N$31:OFFSET($N$31,NumPuntosCalib-1,0),1)+1),"")</f>
        <v>25.047999999999998</v>
      </c>
      <c r="Y45" s="53">
        <f ca="1">IFERROR(INDEX($N$31:$N$39,MATCH(Y$42,$N$31:OFFSET($N$31,NumPuntosCalib-1,0),1)+1),"")</f>
        <v>25.047999999999998</v>
      </c>
      <c r="Z45" s="53">
        <f ca="1">IFERROR(INDEX($N$31:$N$39,MATCH(Z$42,$N$31:OFFSET($N$31,NumPuntosCalib-1,0),1)+1),"")</f>
        <v>25.047999999999998</v>
      </c>
      <c r="AA45" s="53">
        <f ca="1">IFERROR(INDEX($N$31:$N$39,MATCH(AA$42,$N$31:OFFSET($N$31,NumPuntosCalib-1,0),1)+1),"")</f>
        <v>25.047999999999998</v>
      </c>
      <c r="AB45" s="53">
        <f ca="1">IFERROR(INDEX($N$31:$N$39,MATCH(AB$42,$N$31:OFFSET($N$31,NumPuntosCalib-1,0),1)+1),"")</f>
        <v>25.047999999999998</v>
      </c>
      <c r="AC45" s="53">
        <f ca="1">IFERROR(INDEX($N$31:$N$39,MATCH(AC$42,$N$31:OFFSET($N$31,NumPuntosCalib-1,0),1)+1),"")</f>
        <v>25.047999999999998</v>
      </c>
      <c r="AD45" s="53">
        <f ca="1">IFERROR(INDEX($N$31:$N$39,MATCH(AD$42,$N$31:OFFSET($N$31,NumPuntosCalib-1,0),1)+1),"")</f>
        <v>25.047999999999998</v>
      </c>
      <c r="AE45" s="53">
        <f ca="1">IFERROR(INDEX($N$31:$N$39,MATCH(AE$42,$N$31:OFFSET($N$31,NumPuntosCalib-1,0),1)+1),"")</f>
        <v>25.047999999999998</v>
      </c>
    </row>
    <row r="46" spans="3:31" x14ac:dyDescent="0.25">
      <c r="C46" s="96" t="s">
        <v>245</v>
      </c>
      <c r="U46" s="92" t="s">
        <v>237</v>
      </c>
      <c r="V46" s="53">
        <f ca="1">IFERROR(INDEX($P$31:$P$39,MATCH(V$32,$N$31:OFFSET($N$31,NumPuntosCalib-1,0),1)+1),"")</f>
        <v>0.02</v>
      </c>
      <c r="W46" s="53">
        <f ca="1">IFERROR(INDEX($P$31:$P$39,MATCH(W$32,$N$31:OFFSET($N$31,NumPuntosCalib-1,0),1)+1),"")</f>
        <v>0.02</v>
      </c>
      <c r="X46" s="53">
        <f ca="1">IFERROR(INDEX($P$31:$P$39,MATCH(X$32,$N$31:OFFSET($N$31,NumPuntosCalib-1,0),1)+1),"")</f>
        <v>0.02</v>
      </c>
      <c r="Y46" s="53">
        <f ca="1">IFERROR(INDEX($P$31:$P$39,MATCH(Y$32,$N$31:OFFSET($N$31,NumPuntosCalib-1,0),1)+1),"")</f>
        <v>0.02</v>
      </c>
      <c r="Z46" s="53">
        <f ca="1">IFERROR(INDEX($P$31:$P$39,MATCH(Z$32,$N$31:OFFSET($N$31,NumPuntosCalib-1,0),1)+1),"")</f>
        <v>0.02</v>
      </c>
      <c r="AA46" s="53">
        <f ca="1">IFERROR(INDEX($P$31:$P$39,MATCH(AA$32,$N$31:OFFSET($N$31,NumPuntosCalib-1,0),1)+1),"")</f>
        <v>0.02</v>
      </c>
      <c r="AB46" s="53">
        <f ca="1">IFERROR(INDEX($P$31:$P$39,MATCH(AB$32,$N$31:OFFSET($N$31,NumPuntosCalib-1,0),1)+1),"")</f>
        <v>0.02</v>
      </c>
      <c r="AC46" s="53">
        <f ca="1">IFERROR(INDEX($P$31:$P$39,MATCH(AC$32,$N$31:OFFSET($N$31,NumPuntosCalib-1,0),1)+1),"")</f>
        <v>0.02</v>
      </c>
      <c r="AD46" s="53">
        <f ca="1">IFERROR(INDEX($P$31:$P$39,MATCH(AD$32,$N$31:OFFSET($N$31,NumPuntosCalib-1,0),1)+1),"")</f>
        <v>0.02</v>
      </c>
      <c r="AE46" s="53">
        <f ca="1">IFERROR(INDEX($P$31:$P$39,MATCH(AE$32,$N$31:OFFSET($N$31,NumPuntosCalib-1,0),1)+1),"")</f>
        <v>0.02</v>
      </c>
    </row>
    <row r="47" spans="3:31" x14ac:dyDescent="0.25">
      <c r="C47" s="96" t="s">
        <v>244</v>
      </c>
      <c r="U47" s="92" t="s">
        <v>236</v>
      </c>
      <c r="V47" s="91">
        <f t="shared" ref="V47:AE47" ca="1" si="12">IFERROR(V44+(V42-V43)*(V46-V44)/(V45-V43),"")</f>
        <v>0.02</v>
      </c>
      <c r="W47" s="91">
        <f t="shared" ca="1" si="12"/>
        <v>0.02</v>
      </c>
      <c r="X47" s="91">
        <f t="shared" ca="1" si="12"/>
        <v>0.02</v>
      </c>
      <c r="Y47" s="91">
        <f t="shared" ca="1" si="12"/>
        <v>0.02</v>
      </c>
      <c r="Z47" s="91">
        <f t="shared" ca="1" si="12"/>
        <v>0.02</v>
      </c>
      <c r="AA47" s="91">
        <f t="shared" ca="1" si="12"/>
        <v>0.02</v>
      </c>
      <c r="AB47" s="91">
        <f t="shared" ca="1" si="12"/>
        <v>0.02</v>
      </c>
      <c r="AC47" s="91">
        <f t="shared" ca="1" si="12"/>
        <v>0.02</v>
      </c>
      <c r="AD47" s="91">
        <f t="shared" ca="1" si="12"/>
        <v>0.02</v>
      </c>
      <c r="AE47" s="91">
        <f t="shared" ca="1" si="12"/>
        <v>0.02</v>
      </c>
    </row>
    <row r="50" spans="21:31" x14ac:dyDescent="0.25">
      <c r="U50" s="57" t="s">
        <v>243</v>
      </c>
      <c r="V50" s="57"/>
      <c r="W50" s="57"/>
      <c r="X50" s="57"/>
      <c r="Y50" s="57" t="str">
        <f>CONCATENATE("[Todo en ", unidad,"]")</f>
        <v>[Todo en °C]</v>
      </c>
      <c r="Z50" s="57"/>
    </row>
    <row r="52" spans="21:31" x14ac:dyDescent="0.25">
      <c r="U52" s="95" t="s">
        <v>242</v>
      </c>
      <c r="V52" s="95">
        <v>1</v>
      </c>
      <c r="W52" s="95">
        <v>2</v>
      </c>
      <c r="X52" s="95">
        <v>3</v>
      </c>
      <c r="Y52" s="95">
        <v>4</v>
      </c>
      <c r="Z52" s="95">
        <v>5</v>
      </c>
      <c r="AA52" s="95">
        <v>6</v>
      </c>
      <c r="AB52" s="95">
        <v>7</v>
      </c>
      <c r="AC52" s="95">
        <v>8</v>
      </c>
      <c r="AD52" s="95">
        <v>9</v>
      </c>
      <c r="AE52" s="95">
        <v>10</v>
      </c>
    </row>
    <row r="53" spans="21:31" x14ac:dyDescent="0.25">
      <c r="U53" s="92" t="s">
        <v>241</v>
      </c>
      <c r="V53" s="94">
        <f t="array" ref="V53:AE53">TRANSPOSE(N15:N24)</f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3">
        <v>0</v>
      </c>
      <c r="AC53" s="93">
        <v>0</v>
      </c>
      <c r="AD53" s="93">
        <v>0</v>
      </c>
      <c r="AE53" s="93">
        <v>0</v>
      </c>
    </row>
    <row r="54" spans="21:31" x14ac:dyDescent="0.25">
      <c r="U54" s="92" t="s">
        <v>240</v>
      </c>
      <c r="V54" s="53">
        <f ca="1">IFERROR(INDEX($N$31:$N$39,MATCH(V$42,$N$31:OFFSET($N$31,NumPuntosCalib-1,0),1)),"")</f>
        <v>-1.7999999999999999E-2</v>
      </c>
      <c r="W54" s="53">
        <f ca="1">IFERROR(INDEX($N$31:$N$39,MATCH(W$42,$N$31:OFFSET($N$31,NumPuntosCalib-1,0),1)),"")</f>
        <v>-1.7999999999999999E-2</v>
      </c>
      <c r="X54" s="53">
        <f ca="1">IFERROR(INDEX($N$31:$N$39,MATCH(X$42,$N$31:OFFSET($N$31,NumPuntosCalib-1,0),1)),"")</f>
        <v>-1.7999999999999999E-2</v>
      </c>
      <c r="Y54" s="53">
        <f ca="1">IFERROR(INDEX($N$31:$N$39,MATCH(Y$42,$N$31:OFFSET($N$31,NumPuntosCalib-1,0),1)),"")</f>
        <v>-1.7999999999999999E-2</v>
      </c>
      <c r="Z54" s="53">
        <f ca="1">IFERROR(INDEX($N$31:$N$39,MATCH(Z$42,$N$31:OFFSET($N$31,NumPuntosCalib-1,0),1)),"")</f>
        <v>-1.7999999999999999E-2</v>
      </c>
      <c r="AA54" s="53">
        <f ca="1">IFERROR(INDEX($N$31:$N$39,MATCH(AA$42,$N$31:OFFSET($N$31,NumPuntosCalib-1,0),1)),"")</f>
        <v>-1.7999999999999999E-2</v>
      </c>
      <c r="AB54" s="53">
        <f ca="1">IFERROR(INDEX($N$31:$N$39,MATCH(AB$42,$N$31:OFFSET($N$31,NumPuntosCalib-1,0),1)),"")</f>
        <v>-1.7999999999999999E-2</v>
      </c>
      <c r="AC54" s="53">
        <f ca="1">IFERROR(INDEX($N$31:$N$39,MATCH(AC$42,$N$31:OFFSET($N$31,NumPuntosCalib-1,0),1)),"")</f>
        <v>-1.7999999999999999E-2</v>
      </c>
      <c r="AD54" s="53">
        <f ca="1">IFERROR(INDEX($N$31:$N$39,MATCH(AD$42,$N$31:OFFSET($N$31,NumPuntosCalib-1,0),1)),"")</f>
        <v>-1.7999999999999999E-2</v>
      </c>
      <c r="AE54" s="53">
        <f ca="1">IFERROR(INDEX($N$31:$N$39,MATCH(AE$42,$N$31:OFFSET($N$31,NumPuntosCalib-1,0),1)),"")</f>
        <v>-1.7999999999999999E-2</v>
      </c>
    </row>
    <row r="55" spans="21:31" x14ac:dyDescent="0.25">
      <c r="U55" s="92" t="s">
        <v>239</v>
      </c>
      <c r="V55" s="53">
        <f ca="1">IFERROR(INDEX($Q$31:$Q$39,MATCH(V$42,$N$31:OFFSET($N$31,NumPuntosCalib-1,0),1)),"")</f>
        <v>1E-3</v>
      </c>
      <c r="W55" s="53">
        <f ca="1">IFERROR(INDEX($Q$31:$Q$39,MATCH(W$42,$N$31:OFFSET($N$31,NumPuntosCalib-1,0),1)),"")</f>
        <v>1E-3</v>
      </c>
      <c r="X55" s="53">
        <f ca="1">IFERROR(INDEX($Q$31:$Q$39,MATCH(X$42,$N$31:OFFSET($N$31,NumPuntosCalib-1,0),1)),"")</f>
        <v>1E-3</v>
      </c>
      <c r="Y55" s="53">
        <f ca="1">IFERROR(INDEX($Q$31:$Q$39,MATCH(Y$42,$N$31:OFFSET($N$31,NumPuntosCalib-1,0),1)),"")</f>
        <v>1E-3</v>
      </c>
      <c r="Z55" s="53">
        <f ca="1">IFERROR(INDEX($Q$31:$Q$39,MATCH(Z$42,$N$31:OFFSET($N$31,NumPuntosCalib-1,0),1)),"")</f>
        <v>1E-3</v>
      </c>
      <c r="AA55" s="53">
        <f ca="1">IFERROR(INDEX($Q$31:$Q$39,MATCH(AA$42,$N$31:OFFSET($N$31,NumPuntosCalib-1,0),1)),"")</f>
        <v>1E-3</v>
      </c>
      <c r="AB55" s="53">
        <f ca="1">IFERROR(INDEX($Q$31:$Q$39,MATCH(AB$42,$N$31:OFFSET($N$31,NumPuntosCalib-1,0),1)),"")</f>
        <v>1E-3</v>
      </c>
      <c r="AC55" s="53">
        <f ca="1">IFERROR(INDEX($Q$31:$Q$39,MATCH(AC$42,$N$31:OFFSET($N$31,NumPuntosCalib-1,0),1)),"")</f>
        <v>1E-3</v>
      </c>
      <c r="AD55" s="53">
        <f ca="1">IFERROR(INDEX($Q$31:$Q$39,MATCH(AD$42,$N$31:OFFSET($N$31,NumPuntosCalib-1,0),1)),"")</f>
        <v>1E-3</v>
      </c>
      <c r="AE55" s="53">
        <f ca="1">IFERROR(INDEX($Q$31:$Q$39,MATCH(AE$42,$N$31:OFFSET($N$31,NumPuntosCalib-1,0),1)),"")</f>
        <v>1E-3</v>
      </c>
    </row>
    <row r="56" spans="21:31" x14ac:dyDescent="0.25">
      <c r="U56" s="92" t="s">
        <v>238</v>
      </c>
      <c r="V56" s="53">
        <f ca="1">IFERROR(INDEX($N$31:$N$39,MATCH(V$42,$N$31:OFFSET($N$31,NumPuntosCalib-1,0),1)+1),"")</f>
        <v>25.047999999999998</v>
      </c>
      <c r="W56" s="53">
        <f ca="1">IFERROR(INDEX($N$31:$N$39,MATCH(W$42,$N$31:OFFSET($N$31,NumPuntosCalib-1,0),1)+1),"")</f>
        <v>25.047999999999998</v>
      </c>
      <c r="X56" s="53">
        <f ca="1">IFERROR(INDEX($N$31:$N$39,MATCH(X$42,$N$31:OFFSET($N$31,NumPuntosCalib-1,0),1)+1),"")</f>
        <v>25.047999999999998</v>
      </c>
      <c r="Y56" s="53">
        <f ca="1">IFERROR(INDEX($N$31:$N$39,MATCH(Y$42,$N$31:OFFSET($N$31,NumPuntosCalib-1,0),1)+1),"")</f>
        <v>25.047999999999998</v>
      </c>
      <c r="Z56" s="53">
        <f ca="1">IFERROR(INDEX($N$31:$N$39,MATCH(Z$42,$N$31:OFFSET($N$31,NumPuntosCalib-1,0),1)+1),"")</f>
        <v>25.047999999999998</v>
      </c>
      <c r="AA56" s="53">
        <f ca="1">IFERROR(INDEX($N$31:$N$39,MATCH(AA$42,$N$31:OFFSET($N$31,NumPuntosCalib-1,0),1)+1),"")</f>
        <v>25.047999999999998</v>
      </c>
      <c r="AB56" s="53">
        <f ca="1">IFERROR(INDEX($N$31:$N$39,MATCH(AB$42,$N$31:OFFSET($N$31,NumPuntosCalib-1,0),1)+1),"")</f>
        <v>25.047999999999998</v>
      </c>
      <c r="AC56" s="53">
        <f ca="1">IFERROR(INDEX($N$31:$N$39,MATCH(AC$42,$N$31:OFFSET($N$31,NumPuntosCalib-1,0),1)+1),"")</f>
        <v>25.047999999999998</v>
      </c>
      <c r="AD56" s="53">
        <f ca="1">IFERROR(INDEX($N$31:$N$39,MATCH(AD$42,$N$31:OFFSET($N$31,NumPuntosCalib-1,0),1)+1),"")</f>
        <v>25.047999999999998</v>
      </c>
      <c r="AE56" s="53">
        <f ca="1">IFERROR(INDEX($N$31:$N$39,MATCH(AE$42,$N$31:OFFSET($N$31,NumPuntosCalib-1,0),1)+1),"")</f>
        <v>25.047999999999998</v>
      </c>
    </row>
    <row r="57" spans="21:31" x14ac:dyDescent="0.25">
      <c r="U57" s="92" t="s">
        <v>237</v>
      </c>
      <c r="V57" s="53">
        <f ca="1">IFERROR(INDEX($Q$31:$Q$39,MATCH(V$42,$N$31:OFFSET($N$31,NumPuntosCalib-1,0),1)+1),"")</f>
        <v>0.02</v>
      </c>
      <c r="W57" s="53">
        <f ca="1">IFERROR(INDEX($Q$31:$Q$39,MATCH(W$42,$N$31:OFFSET($N$31,NumPuntosCalib-1,0),1)+1),"")</f>
        <v>0.02</v>
      </c>
      <c r="X57" s="53">
        <f ca="1">IFERROR(INDEX($Q$31:$Q$39,MATCH(X$42,$N$31:OFFSET($N$31,NumPuntosCalib-1,0),1)+1),"")</f>
        <v>0.02</v>
      </c>
      <c r="Y57" s="53">
        <f ca="1">IFERROR(INDEX($Q$31:$Q$39,MATCH(Y$42,$N$31:OFFSET($N$31,NumPuntosCalib-1,0),1)+1),"")</f>
        <v>0.02</v>
      </c>
      <c r="Z57" s="53">
        <f ca="1">IFERROR(INDEX($Q$31:$Q$39,MATCH(Z$42,$N$31:OFFSET($N$31,NumPuntosCalib-1,0),1)+1),"")</f>
        <v>0.02</v>
      </c>
      <c r="AA57" s="53">
        <f ca="1">IFERROR(INDEX($Q$31:$Q$39,MATCH(AA$42,$N$31:OFFSET($N$31,NumPuntosCalib-1,0),1)+1),"")</f>
        <v>0.02</v>
      </c>
      <c r="AB57" s="53">
        <f ca="1">IFERROR(INDEX($Q$31:$Q$39,MATCH(AB$42,$N$31:OFFSET($N$31,NumPuntosCalib-1,0),1)+1),"")</f>
        <v>0.02</v>
      </c>
      <c r="AC57" s="53">
        <f ca="1">IFERROR(INDEX($Q$31:$Q$39,MATCH(AC$42,$N$31:OFFSET($N$31,NumPuntosCalib-1,0),1)+1),"")</f>
        <v>0.02</v>
      </c>
      <c r="AD57" s="53">
        <f ca="1">IFERROR(INDEX($Q$31:$Q$39,MATCH(AD$42,$N$31:OFFSET($N$31,NumPuntosCalib-1,0),1)+1),"")</f>
        <v>0.02</v>
      </c>
      <c r="AE57" s="53">
        <f ca="1">IFERROR(INDEX($Q$31:$Q$39,MATCH(AE$42,$N$31:OFFSET($N$31,NumPuntosCalib-1,0),1)+1),"")</f>
        <v>0.02</v>
      </c>
    </row>
    <row r="58" spans="21:31" x14ac:dyDescent="0.25">
      <c r="U58" s="92" t="s">
        <v>236</v>
      </c>
      <c r="V58" s="91">
        <f t="shared" ref="V58:AE58" ca="1" si="13">IFERROR(V55+(V53-V54)*(V57-V55)/(V56-V54),"")</f>
        <v>1.0136439798930823E-3</v>
      </c>
      <c r="W58" s="91">
        <f t="shared" ca="1" si="13"/>
        <v>1.0136439798930823E-3</v>
      </c>
      <c r="X58" s="91">
        <f t="shared" ca="1" si="13"/>
        <v>1.0136439798930823E-3</v>
      </c>
      <c r="Y58" s="91">
        <f t="shared" ca="1" si="13"/>
        <v>1.0136439798930823E-3</v>
      </c>
      <c r="Z58" s="91">
        <f t="shared" ca="1" si="13"/>
        <v>1.0136439798930823E-3</v>
      </c>
      <c r="AA58" s="91">
        <f t="shared" ca="1" si="13"/>
        <v>1.0136439798930823E-3</v>
      </c>
      <c r="AB58" s="91">
        <f t="shared" ca="1" si="13"/>
        <v>1.0136439798930823E-3</v>
      </c>
      <c r="AC58" s="91">
        <f t="shared" ca="1" si="13"/>
        <v>1.0136439798930823E-3</v>
      </c>
      <c r="AD58" s="91">
        <f t="shared" ca="1" si="13"/>
        <v>1.0136439798930823E-3</v>
      </c>
      <c r="AE58" s="91">
        <f t="shared" ca="1" si="13"/>
        <v>1.0136439798930823E-3</v>
      </c>
    </row>
    <row r="96" spans="36:36" x14ac:dyDescent="0.25">
      <c r="AJ96" s="90" t="s">
        <v>235</v>
      </c>
    </row>
    <row r="97" spans="36:36" x14ac:dyDescent="0.25">
      <c r="AJ97" s="90" t="s">
        <v>234</v>
      </c>
    </row>
    <row r="98" spans="36:36" x14ac:dyDescent="0.25">
      <c r="AJ98" s="90" t="s">
        <v>233</v>
      </c>
    </row>
    <row r="100" spans="36:36" x14ac:dyDescent="0.25">
      <c r="AJ100" s="90" t="s">
        <v>232</v>
      </c>
    </row>
    <row r="101" spans="36:36" x14ac:dyDescent="0.25">
      <c r="AJ101" s="90" t="s">
        <v>231</v>
      </c>
    </row>
    <row r="102" spans="36:36" x14ac:dyDescent="0.25">
      <c r="AJ102" s="90" t="s">
        <v>218</v>
      </c>
    </row>
    <row r="103" spans="36:36" x14ac:dyDescent="0.25">
      <c r="AJ103" s="90" t="s">
        <v>230</v>
      </c>
    </row>
    <row r="105" spans="36:36" x14ac:dyDescent="0.25">
      <c r="AJ105" s="90" t="s">
        <v>229</v>
      </c>
    </row>
    <row r="106" spans="36:36" x14ac:dyDescent="0.25">
      <c r="AJ106" s="90" t="s">
        <v>228</v>
      </c>
    </row>
    <row r="107" spans="36:36" x14ac:dyDescent="0.25">
      <c r="AJ107" s="90" t="s">
        <v>227</v>
      </c>
    </row>
    <row r="108" spans="36:36" x14ac:dyDescent="0.25">
      <c r="AJ108" s="90" t="s">
        <v>226</v>
      </c>
    </row>
    <row r="109" spans="36:36" x14ac:dyDescent="0.25">
      <c r="AJ109" s="90" t="s">
        <v>225</v>
      </c>
    </row>
    <row r="111" spans="36:36" x14ac:dyDescent="0.25">
      <c r="AJ111" s="90" t="s">
        <v>49</v>
      </c>
    </row>
    <row r="112" spans="36:36" x14ac:dyDescent="0.25">
      <c r="AJ112" s="90" t="s">
        <v>48</v>
      </c>
    </row>
  </sheetData>
  <sheetProtection formatCells="0"/>
  <mergeCells count="5">
    <mergeCell ref="H5:I5"/>
    <mergeCell ref="C5:E5"/>
    <mergeCell ref="C8:D8"/>
    <mergeCell ref="C6:E6"/>
    <mergeCell ref="L3:O3"/>
  </mergeCells>
  <conditionalFormatting sqref="C15:H24">
    <cfRule type="cellIs" dxfId="8" priority="1" operator="notBetween">
      <formula>MAX($U$4:$U$5)</formula>
      <formula>MIN($V$4:$V$5)</formula>
    </cfRule>
  </conditionalFormatting>
  <conditionalFormatting sqref="C32:K41">
    <cfRule type="expression" dxfId="7" priority="5">
      <formula>$C32&lt;&gt;0</formula>
    </cfRule>
  </conditionalFormatting>
  <conditionalFormatting sqref="F32:F41">
    <cfRule type="cellIs" dxfId="6" priority="2" operator="lessThan">
      <formula>K32</formula>
    </cfRule>
  </conditionalFormatting>
  <conditionalFormatting sqref="N14">
    <cfRule type="duplicateValues" dxfId="5" priority="4"/>
  </conditionalFormatting>
  <conditionalFormatting sqref="N16:N24 P16:R24">
    <cfRule type="expression" dxfId="4" priority="3">
      <formula>$N16&lt;&gt;0</formula>
    </cfRule>
  </conditionalFormatting>
  <conditionalFormatting sqref="N15:T15 O16:O24 S16:T24">
    <cfRule type="expression" dxfId="3" priority="8">
      <formula>$N15&lt;&gt;0</formula>
    </cfRule>
  </conditionalFormatting>
  <conditionalFormatting sqref="U9:U10">
    <cfRule type="expression" dxfId="2" priority="7">
      <formula>CertTempC&lt;$U9</formula>
    </cfRule>
  </conditionalFormatting>
  <conditionalFormatting sqref="V9:V10">
    <cfRule type="expression" dxfId="1" priority="6">
      <formula>CertTempC&gt;$V9</formula>
    </cfRule>
  </conditionalFormatting>
  <dataValidations count="5">
    <dataValidation type="list" allowBlank="1" showInputMessage="1" showErrorMessage="1" sqref="S4" xr:uid="{00000000-0002-0000-0300-000000000000}">
      <formula1>$AJ$96:$AJ$98</formula1>
    </dataValidation>
    <dataValidation allowBlank="1" showInputMessage="1" showErrorMessage="1" errorTitle="Error metrológico" error="Las temperaturas de calibración no pueden salir de las trazables, establecidas por el certificado de calibración de los patrones." sqref="H15 C15:C24 E15:E24 D15 F15 G15:G24" xr:uid="{00000000-0002-0000-0300-000001000000}"/>
    <dataValidation type="list" allowBlank="1" showInputMessage="1" showErrorMessage="1" sqref="J5" xr:uid="{00000000-0002-0000-0300-000002000000}">
      <formula1>INDIRECT("tblBD_PatronTerm[Código Patrón]")</formula1>
    </dataValidation>
    <dataValidation type="list" allowBlank="1" showInputMessage="1" showErrorMessage="1" sqref="F8" xr:uid="{00000000-0002-0000-0300-000003000000}">
      <formula1>$AJ$106:$AJ$109</formula1>
    </dataValidation>
    <dataValidation type="list" allowBlank="1" showInputMessage="1" showErrorMessage="1" sqref="F7" xr:uid="{00000000-0002-0000-0300-000004000000}">
      <formula1>$AJ$101:$AJ$103</formula1>
    </dataValidation>
  </dataValidations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"/>
  <sheetViews>
    <sheetView workbookViewId="0">
      <selection activeCell="A36" sqref="A36:I36"/>
    </sheetView>
  </sheetViews>
  <sheetFormatPr defaultColWidth="11.42578125" defaultRowHeight="15" x14ac:dyDescent="0.25"/>
  <cols>
    <col min="2" max="4" width="23" customWidth="1"/>
    <col min="5" max="5" width="22.85546875" customWidth="1"/>
  </cols>
  <sheetData>
    <row r="2" spans="2:9" x14ac:dyDescent="0.25">
      <c r="B2" s="166" t="s">
        <v>273</v>
      </c>
      <c r="C2" s="166" t="s">
        <v>309</v>
      </c>
      <c r="D2" s="166" t="s">
        <v>308</v>
      </c>
      <c r="E2" s="166" t="s">
        <v>307</v>
      </c>
      <c r="F2" s="163"/>
      <c r="G2" s="163"/>
      <c r="H2" s="163"/>
      <c r="I2" s="163"/>
    </row>
    <row r="3" spans="2:9" x14ac:dyDescent="0.25">
      <c r="B3" s="165">
        <f>TermometroTipo</f>
        <v>0</v>
      </c>
      <c r="C3" s="165">
        <f>CertDate</f>
        <v>44964</v>
      </c>
      <c r="D3" s="165">
        <f>TermometroCode</f>
        <v>0</v>
      </c>
      <c r="E3" s="165" t="str">
        <f>CertNum</f>
        <v>NI-MC-T-1325-2023</v>
      </c>
      <c r="F3" s="164"/>
      <c r="G3" s="164"/>
      <c r="H3" s="163"/>
      <c r="I3" s="163"/>
    </row>
  </sheetData>
  <sheetProtection algorithmName="SHA-512" hashValue="4SQJIgjQEW6lACPrEbDpwmTRsA3CKKkKUgeEoOp9mVptT6+9oviZwHw+u5SO7UT2FTXwbbaNtS0WjgnwzDPwvA==" saltValue="M99rzUmAEScrB3CANCfaGg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Z85"/>
  <sheetViews>
    <sheetView view="pageLayout" zoomScaleNormal="40" zoomScaleSheetLayoutView="100" workbookViewId="0">
      <selection activeCell="L12" sqref="L12"/>
    </sheetView>
  </sheetViews>
  <sheetFormatPr defaultColWidth="11.42578125" defaultRowHeight="15" x14ac:dyDescent="0.25"/>
  <cols>
    <col min="1" max="1" width="3.5703125" customWidth="1"/>
    <col min="2" max="2" width="3.140625" customWidth="1"/>
    <col min="3" max="3" width="0.140625" hidden="1" customWidth="1"/>
    <col min="4" max="4" width="12.42578125" customWidth="1"/>
    <col min="5" max="5" width="4.42578125" customWidth="1"/>
    <col min="6" max="6" width="3.5703125" customWidth="1"/>
    <col min="7" max="7" width="4.85546875" customWidth="1"/>
    <col min="8" max="9" width="3" customWidth="1"/>
    <col min="10" max="10" width="2.5703125" customWidth="1"/>
    <col min="11" max="11" width="3" customWidth="1"/>
    <col min="12" max="12" width="4.140625" customWidth="1"/>
    <col min="13" max="13" width="4.42578125" customWidth="1"/>
    <col min="14" max="15" width="2.42578125" customWidth="1"/>
    <col min="16" max="17" width="3.42578125" customWidth="1"/>
    <col min="18" max="18" width="4" customWidth="1"/>
    <col min="19" max="21" width="2.42578125" customWidth="1"/>
    <col min="22" max="22" width="4.42578125" customWidth="1"/>
    <col min="23" max="23" width="2.42578125" customWidth="1"/>
    <col min="24" max="24" width="4.140625" customWidth="1"/>
    <col min="25" max="25" width="6.140625" customWidth="1"/>
  </cols>
  <sheetData>
    <row r="6" spans="1:25" ht="16.5" customHeight="1" x14ac:dyDescent="0.25"/>
    <row r="7" spans="1:25" ht="16.5" customHeight="1" x14ac:dyDescent="0.25"/>
    <row r="8" spans="1:25" x14ac:dyDescent="0.25">
      <c r="A8" s="175" t="s">
        <v>324</v>
      </c>
      <c r="B8" s="178"/>
      <c r="C8" s="177"/>
      <c r="E8" s="177"/>
      <c r="F8" s="177"/>
      <c r="G8" s="185"/>
      <c r="H8" s="185"/>
      <c r="I8" s="185"/>
      <c r="J8" s="185"/>
      <c r="K8" s="185"/>
      <c r="L8" s="96"/>
      <c r="M8" s="96"/>
      <c r="N8" s="326" t="str">
        <f>General!F3</f>
        <v>NI-MC-T-1325-2023</v>
      </c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</row>
    <row r="9" spans="1:25" x14ac:dyDescent="0.25">
      <c r="A9" s="175" t="s">
        <v>349</v>
      </c>
      <c r="B9" s="178"/>
      <c r="C9" s="177"/>
      <c r="E9" s="177"/>
      <c r="F9" s="177"/>
      <c r="G9" s="185"/>
      <c r="H9" s="185"/>
      <c r="I9" s="185"/>
      <c r="J9" s="185"/>
      <c r="K9" s="185"/>
      <c r="L9" s="96"/>
      <c r="M9" s="96"/>
      <c r="N9" s="347" t="str">
        <f>General!F4</f>
        <v>NI-CS-0063-23</v>
      </c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</row>
    <row r="10" spans="1:25" x14ac:dyDescent="0.25">
      <c r="A10" s="175" t="s">
        <v>348</v>
      </c>
      <c r="B10" s="178"/>
      <c r="C10" s="178"/>
      <c r="E10" s="178"/>
      <c r="F10" s="178"/>
      <c r="G10" s="185"/>
      <c r="H10" s="185"/>
      <c r="I10" s="185"/>
      <c r="J10" s="185"/>
      <c r="K10" s="185"/>
      <c r="L10" s="188"/>
      <c r="M10" s="96"/>
      <c r="N10" s="348">
        <f>General!F5</f>
        <v>44964</v>
      </c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</row>
    <row r="11" spans="1:25" x14ac:dyDescent="0.25">
      <c r="A11" s="175" t="s">
        <v>347</v>
      </c>
      <c r="B11" s="178"/>
      <c r="C11" s="178"/>
      <c r="E11" s="178"/>
      <c r="F11" s="178"/>
      <c r="G11" s="185"/>
      <c r="H11" s="185"/>
      <c r="I11" s="185"/>
      <c r="J11" s="185"/>
      <c r="K11" s="185"/>
      <c r="L11" s="188"/>
      <c r="M11" s="96"/>
      <c r="N11" s="348">
        <f ca="1">NOW()</f>
        <v>46188.488317939817</v>
      </c>
      <c r="O11" s="348"/>
      <c r="P11" s="348"/>
      <c r="Q11" s="348"/>
      <c r="R11" s="348"/>
      <c r="S11" s="187"/>
      <c r="T11" s="187"/>
      <c r="U11" s="187"/>
      <c r="V11" s="187"/>
      <c r="W11" s="187"/>
      <c r="X11" s="187"/>
      <c r="Y11" s="187"/>
    </row>
    <row r="12" spans="1:25" x14ac:dyDescent="0.25">
      <c r="A12" s="175" t="s">
        <v>346</v>
      </c>
      <c r="B12" s="178"/>
      <c r="C12" s="178"/>
      <c r="E12" s="178"/>
      <c r="F12" s="178"/>
      <c r="G12" s="185"/>
      <c r="H12" s="185"/>
      <c r="I12" s="185"/>
      <c r="J12" s="185"/>
      <c r="K12" s="185"/>
      <c r="L12" s="96"/>
      <c r="M12" s="96"/>
      <c r="N12" s="349">
        <f>General!F7</f>
        <v>0</v>
      </c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</row>
    <row r="13" spans="1:25" x14ac:dyDescent="0.25">
      <c r="A13" s="175" t="s">
        <v>345</v>
      </c>
      <c r="B13" s="178"/>
      <c r="C13" s="178"/>
      <c r="E13" s="178"/>
      <c r="F13" s="178"/>
      <c r="G13" s="185"/>
      <c r="H13" s="185"/>
      <c r="I13" s="185"/>
      <c r="J13" s="185"/>
      <c r="K13" s="185"/>
      <c r="L13" s="96"/>
      <c r="M13" s="96"/>
      <c r="N13" s="347">
        <f>General!F8</f>
        <v>0</v>
      </c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</row>
    <row r="14" spans="1:25" x14ac:dyDescent="0.25">
      <c r="A14" s="175" t="s">
        <v>344</v>
      </c>
      <c r="B14" s="178"/>
      <c r="C14" s="178"/>
      <c r="E14" s="178"/>
      <c r="F14" s="178"/>
      <c r="G14" s="185"/>
      <c r="H14" s="185"/>
      <c r="I14" s="185"/>
      <c r="J14" s="185"/>
      <c r="K14" s="185"/>
      <c r="L14" s="96"/>
      <c r="M14" s="96"/>
      <c r="N14" s="347">
        <f>General!F10</f>
        <v>0</v>
      </c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</row>
    <row r="15" spans="1:25" x14ac:dyDescent="0.25">
      <c r="A15" s="175" t="s">
        <v>343</v>
      </c>
      <c r="B15" s="178"/>
      <c r="C15" s="178"/>
      <c r="E15" s="178"/>
      <c r="F15" s="178"/>
      <c r="G15" s="185"/>
      <c r="H15" s="185"/>
      <c r="I15" s="185"/>
      <c r="J15" s="185"/>
      <c r="K15" s="185"/>
      <c r="L15" s="96"/>
      <c r="M15" s="96"/>
      <c r="N15" s="347">
        <f>General!F9</f>
        <v>0</v>
      </c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</row>
    <row r="16" spans="1:25" x14ac:dyDescent="0.25">
      <c r="A16" s="175" t="s">
        <v>342</v>
      </c>
      <c r="B16" s="178"/>
      <c r="C16" s="178"/>
      <c r="E16" s="178"/>
      <c r="F16" s="178"/>
      <c r="G16" s="185"/>
      <c r="H16" s="185"/>
      <c r="I16" s="185"/>
      <c r="J16" s="185"/>
      <c r="K16" s="185"/>
      <c r="L16" s="96"/>
      <c r="M16" s="96"/>
      <c r="N16" s="347">
        <f>General!F11</f>
        <v>0</v>
      </c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</row>
    <row r="17" spans="1:25" x14ac:dyDescent="0.25">
      <c r="A17" s="175" t="s">
        <v>341</v>
      </c>
      <c r="B17" s="178"/>
      <c r="C17" s="178"/>
      <c r="E17" s="178"/>
      <c r="F17" s="178"/>
      <c r="G17" s="185"/>
      <c r="H17" s="185"/>
      <c r="I17" s="185"/>
      <c r="J17" s="185"/>
      <c r="K17" s="185"/>
      <c r="L17" s="96"/>
      <c r="M17" s="96"/>
      <c r="N17" s="347">
        <f>General!F12</f>
        <v>0</v>
      </c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</row>
    <row r="18" spans="1:25" x14ac:dyDescent="0.25">
      <c r="A18" s="175" t="s">
        <v>340</v>
      </c>
      <c r="B18" s="178"/>
      <c r="C18" s="178"/>
      <c r="E18" s="178"/>
      <c r="F18" s="178"/>
      <c r="G18" s="185"/>
      <c r="H18" s="185"/>
      <c r="I18" s="185"/>
      <c r="J18" s="185"/>
      <c r="K18" s="185"/>
      <c r="L18" s="96"/>
      <c r="M18" s="96"/>
      <c r="N18" s="347">
        <f>General!F6</f>
        <v>0</v>
      </c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</row>
    <row r="19" spans="1:25" x14ac:dyDescent="0.25">
      <c r="A19" s="175" t="s">
        <v>339</v>
      </c>
      <c r="B19" s="178"/>
      <c r="C19" s="178"/>
      <c r="E19" s="178"/>
      <c r="F19" s="178"/>
      <c r="G19" s="185"/>
      <c r="H19" s="185"/>
      <c r="I19" s="185"/>
      <c r="J19" s="185"/>
      <c r="K19" s="185"/>
      <c r="L19" s="96"/>
      <c r="M19" s="96"/>
      <c r="N19" s="347" t="str">
        <f>General!L3</f>
        <v xml:space="preserve">Agricola Nicavista </v>
      </c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</row>
    <row r="20" spans="1:25" x14ac:dyDescent="0.25">
      <c r="A20" s="186" t="s">
        <v>338</v>
      </c>
      <c r="B20" s="178"/>
      <c r="C20" s="178"/>
      <c r="E20" s="178"/>
      <c r="F20" s="178"/>
      <c r="G20" s="185"/>
      <c r="H20" s="185"/>
      <c r="I20" s="185"/>
      <c r="J20" s="185"/>
      <c r="K20" s="185"/>
      <c r="L20" s="96"/>
      <c r="M20" s="96"/>
      <c r="N20" s="347" t="str">
        <f>General!L4</f>
        <v>Ciudad Rama, Atlántico Sur, Nicaragua</v>
      </c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</row>
    <row r="21" spans="1:25" ht="15" customHeight="1" x14ac:dyDescent="0.25">
      <c r="A21" s="186" t="s">
        <v>337</v>
      </c>
      <c r="C21" s="178"/>
      <c r="D21" s="178"/>
      <c r="E21" s="178"/>
      <c r="F21" s="178"/>
      <c r="G21" s="185"/>
      <c r="H21" s="185"/>
      <c r="I21" s="185"/>
      <c r="J21" s="185"/>
      <c r="K21" s="185"/>
      <c r="L21" s="184"/>
      <c r="M21" s="96"/>
      <c r="N21" s="386" t="str">
        <f>General!L5</f>
        <v>Laboratorio</v>
      </c>
      <c r="O21" s="386"/>
      <c r="P21" s="386"/>
      <c r="Q21" s="386"/>
      <c r="R21" s="386"/>
      <c r="S21" s="386"/>
      <c r="T21" s="386"/>
      <c r="U21" s="386"/>
      <c r="V21" s="386"/>
      <c r="W21" s="386"/>
      <c r="X21" s="386"/>
      <c r="Y21" s="386"/>
    </row>
    <row r="22" spans="1:25" ht="21" customHeight="1" x14ac:dyDescent="0.25">
      <c r="A22" s="175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</row>
    <row r="23" spans="1:25" x14ac:dyDescent="0.25">
      <c r="A23" s="175" t="s">
        <v>336</v>
      </c>
      <c r="C23" s="178"/>
      <c r="D23" s="178"/>
      <c r="E23" s="178"/>
      <c r="F23" s="178"/>
    </row>
    <row r="24" spans="1:25" x14ac:dyDescent="0.25">
      <c r="A24" s="175"/>
      <c r="C24" s="178"/>
      <c r="D24" s="178"/>
      <c r="E24" s="178"/>
      <c r="F24" s="178"/>
    </row>
    <row r="25" spans="1:25" x14ac:dyDescent="0.25">
      <c r="A25" s="96"/>
      <c r="B25" s="96"/>
      <c r="C25" s="96"/>
      <c r="D25" s="351" t="s">
        <v>261</v>
      </c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</row>
    <row r="26" spans="1:25" ht="15" customHeight="1" x14ac:dyDescent="0.25">
      <c r="A26" s="96"/>
      <c r="B26" s="96"/>
      <c r="C26" s="96"/>
      <c r="D26" s="352" t="s">
        <v>259</v>
      </c>
      <c r="E26" s="352"/>
      <c r="F26" s="334" t="s">
        <v>335</v>
      </c>
      <c r="G26" s="338"/>
      <c r="H26" s="338"/>
      <c r="I26" s="338"/>
      <c r="J26" s="338"/>
      <c r="K26" s="335"/>
      <c r="L26" s="353" t="s">
        <v>258</v>
      </c>
      <c r="M26" s="353"/>
      <c r="N26" s="353"/>
      <c r="O26" s="353"/>
      <c r="P26" s="353"/>
      <c r="Q26" s="353"/>
      <c r="R26" s="352" t="s">
        <v>334</v>
      </c>
      <c r="S26" s="352"/>
      <c r="T26" s="352"/>
      <c r="U26" s="352"/>
      <c r="V26" s="352"/>
      <c r="W26" s="352"/>
      <c r="X26" s="352"/>
    </row>
    <row r="27" spans="1:25" ht="14.25" customHeight="1" x14ac:dyDescent="0.25">
      <c r="A27" s="96"/>
      <c r="B27" s="96"/>
      <c r="C27" s="96"/>
      <c r="D27" s="352"/>
      <c r="E27" s="352"/>
      <c r="F27" s="336"/>
      <c r="G27" s="339"/>
      <c r="H27" s="339"/>
      <c r="I27" s="339"/>
      <c r="J27" s="339"/>
      <c r="K27" s="337"/>
      <c r="L27" s="353"/>
      <c r="M27" s="353"/>
      <c r="N27" s="353"/>
      <c r="O27" s="353"/>
      <c r="P27" s="353"/>
      <c r="Q27" s="353"/>
      <c r="R27" s="352"/>
      <c r="S27" s="352"/>
      <c r="T27" s="352"/>
      <c r="U27" s="352"/>
      <c r="V27" s="352"/>
      <c r="W27" s="352"/>
      <c r="X27" s="352"/>
    </row>
    <row r="28" spans="1:25" x14ac:dyDescent="0.25">
      <c r="A28" s="96"/>
      <c r="B28" s="96"/>
      <c r="C28" s="96"/>
      <c r="D28" s="346" t="str">
        <f>Calibración!C31</f>
        <v>°C</v>
      </c>
      <c r="E28" s="346"/>
      <c r="F28" s="327" t="str">
        <f>Calibración!D31</f>
        <v>°C</v>
      </c>
      <c r="G28" s="329"/>
      <c r="H28" s="329"/>
      <c r="I28" s="329"/>
      <c r="J28" s="329"/>
      <c r="K28" s="328"/>
      <c r="L28" s="346" t="str">
        <f>Calibración!E31</f>
        <v>°C</v>
      </c>
      <c r="M28" s="346"/>
      <c r="N28" s="346"/>
      <c r="O28" s="346"/>
      <c r="P28" s="346"/>
      <c r="Q28" s="346"/>
      <c r="R28" s="346" t="str">
        <f>Calibración!F31</f>
        <v>°C</v>
      </c>
      <c r="S28" s="346"/>
      <c r="T28" s="346"/>
      <c r="U28" s="346"/>
      <c r="V28" s="346"/>
      <c r="W28" s="346"/>
      <c r="X28" s="346"/>
    </row>
    <row r="29" spans="1:25" x14ac:dyDescent="0.25">
      <c r="A29" s="96"/>
      <c r="B29" s="96"/>
      <c r="C29" s="96"/>
      <c r="D29" s="330" t="str">
        <f ca="1">FIXED(Calibración!C32,decim)</f>
        <v>0.0</v>
      </c>
      <c r="E29" s="330"/>
      <c r="F29" s="330" t="str">
        <f>FIXED(Calibración!D32,decim)</f>
        <v>0.0</v>
      </c>
      <c r="G29" s="330"/>
      <c r="H29" s="330"/>
      <c r="I29" s="330"/>
      <c r="J29" s="330"/>
      <c r="K29" s="330"/>
      <c r="L29" s="330" t="str">
        <f ca="1">FIXED(Calibración!E32,decim)</f>
        <v>0.0</v>
      </c>
      <c r="M29" s="330"/>
      <c r="N29" s="330"/>
      <c r="O29" s="330"/>
      <c r="P29" s="330"/>
      <c r="Q29" s="330"/>
      <c r="R29" s="330" t="str">
        <f ca="1">FIXED(Calibración!F32,decim+1)</f>
        <v>0.12</v>
      </c>
      <c r="S29" s="330"/>
      <c r="T29" s="330"/>
      <c r="U29" s="330"/>
      <c r="V29" s="330"/>
      <c r="W29" s="330"/>
      <c r="X29" s="330"/>
    </row>
    <row r="30" spans="1:25" x14ac:dyDescent="0.25">
      <c r="A30" s="96"/>
      <c r="B30" s="96"/>
      <c r="C30" s="96"/>
      <c r="D30" s="330" t="str">
        <f ca="1">FIXED(Calibración!C33,decim)</f>
        <v>0.0</v>
      </c>
      <c r="E30" s="330"/>
      <c r="F30" s="330" t="str">
        <f>FIXED(Calibración!D33,decim)</f>
        <v>0.0</v>
      </c>
      <c r="G30" s="330"/>
      <c r="H30" s="330"/>
      <c r="I30" s="330"/>
      <c r="J30" s="330"/>
      <c r="K30" s="330"/>
      <c r="L30" s="330" t="str">
        <f ca="1">FIXED(Calibración!E33,decim)</f>
        <v>0.0</v>
      </c>
      <c r="M30" s="330"/>
      <c r="N30" s="330"/>
      <c r="O30" s="330"/>
      <c r="P30" s="330"/>
      <c r="Q30" s="330"/>
      <c r="R30" s="330" t="str">
        <f ca="1">FIXED(Calibración!F33,decim+1)</f>
        <v>0.12</v>
      </c>
      <c r="S30" s="330"/>
      <c r="T30" s="330"/>
      <c r="U30" s="330"/>
      <c r="V30" s="330"/>
      <c r="W30" s="330"/>
      <c r="X30" s="330"/>
    </row>
    <row r="31" spans="1:25" x14ac:dyDescent="0.25">
      <c r="A31" s="96"/>
      <c r="B31" s="96"/>
      <c r="C31" s="96"/>
      <c r="D31" s="330" t="str">
        <f ca="1">FIXED(Calibración!C34,decim)</f>
        <v>0.0</v>
      </c>
      <c r="E31" s="330"/>
      <c r="F31" s="330" t="str">
        <f>FIXED(Calibración!D34,decim)</f>
        <v>0.0</v>
      </c>
      <c r="G31" s="330"/>
      <c r="H31" s="330"/>
      <c r="I31" s="330"/>
      <c r="J31" s="330"/>
      <c r="K31" s="330"/>
      <c r="L31" s="330" t="str">
        <f ca="1">FIXED(Calibración!E34,decim)</f>
        <v>0.0</v>
      </c>
      <c r="M31" s="330"/>
      <c r="N31" s="330"/>
      <c r="O31" s="330"/>
      <c r="P31" s="330"/>
      <c r="Q31" s="330"/>
      <c r="R31" s="330" t="str">
        <f ca="1">FIXED(Calibración!F34,decim+1)</f>
        <v>0.12</v>
      </c>
      <c r="S31" s="330"/>
      <c r="T31" s="330"/>
      <c r="U31" s="330"/>
      <c r="V31" s="330"/>
      <c r="W31" s="330"/>
      <c r="X31" s="330"/>
    </row>
    <row r="32" spans="1:25" x14ac:dyDescent="0.25">
      <c r="D32" s="180"/>
      <c r="E32" s="180"/>
      <c r="F32" s="18"/>
      <c r="G32" s="18"/>
      <c r="H32" s="18"/>
      <c r="I32" s="18"/>
      <c r="J32" s="18"/>
      <c r="K32" s="1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</row>
    <row r="33" spans="1:26" x14ac:dyDescent="0.25">
      <c r="A33" s="175" t="s">
        <v>110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</row>
    <row r="34" spans="1:26" ht="16.5" customHeight="1" x14ac:dyDescent="0.25">
      <c r="A34" s="183"/>
      <c r="B34" s="325" t="s">
        <v>333</v>
      </c>
      <c r="C34" s="325"/>
      <c r="D34" s="325"/>
      <c r="E34" s="182">
        <f>CertTempC</f>
        <v>0</v>
      </c>
      <c r="F34" s="167" t="s">
        <v>332</v>
      </c>
      <c r="G34" s="181" t="e">
        <f>CertTempIncerti</f>
        <v>#N/A</v>
      </c>
      <c r="H34" s="183" t="s">
        <v>218</v>
      </c>
      <c r="I34" s="96"/>
      <c r="J34" s="96"/>
      <c r="K34" s="347"/>
      <c r="L34" s="347"/>
      <c r="M34" s="96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</row>
    <row r="35" spans="1:26" x14ac:dyDescent="0.25">
      <c r="A35" s="183"/>
      <c r="B35" s="183" t="s">
        <v>331</v>
      </c>
      <c r="C35" s="183"/>
      <c r="D35" s="183"/>
      <c r="E35" s="182">
        <f>CertHR</f>
        <v>0</v>
      </c>
      <c r="F35" s="167" t="s">
        <v>330</v>
      </c>
      <c r="G35" s="181" t="e">
        <f>CertHRIncerti</f>
        <v>#N/A</v>
      </c>
      <c r="H35" s="167" t="s">
        <v>329</v>
      </c>
      <c r="I35" s="96"/>
      <c r="J35" s="96"/>
      <c r="K35" s="96"/>
      <c r="L35" s="96"/>
      <c r="M35" s="96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</row>
    <row r="36" spans="1:26" ht="15" customHeight="1" x14ac:dyDescent="0.25">
      <c r="D36" s="180"/>
      <c r="E36" s="180"/>
      <c r="F36" s="18"/>
      <c r="G36" s="18"/>
      <c r="H36" s="18"/>
      <c r="I36" s="18"/>
      <c r="J36" s="18"/>
      <c r="K36" s="18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</row>
    <row r="37" spans="1:26" x14ac:dyDescent="0.25">
      <c r="A37" s="175" t="s">
        <v>328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</row>
    <row r="38" spans="1:26" x14ac:dyDescent="0.25">
      <c r="A38" s="316" t="s">
        <v>327</v>
      </c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</row>
    <row r="39" spans="1:26" x14ac:dyDescent="0.25"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</row>
    <row r="40" spans="1:26" x14ac:dyDescent="0.25">
      <c r="A40" s="175" t="s">
        <v>326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</row>
    <row r="41" spans="1:26" x14ac:dyDescent="0.25">
      <c r="A41" s="316" t="s">
        <v>325</v>
      </c>
      <c r="B41" s="316"/>
      <c r="C41" s="316"/>
      <c r="D41" s="316"/>
      <c r="E41" s="316"/>
      <c r="F41" s="316"/>
      <c r="G41" s="316"/>
      <c r="H41" s="316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</row>
    <row r="42" spans="1:26" x14ac:dyDescent="0.25">
      <c r="A42" s="316"/>
      <c r="B42" s="316"/>
      <c r="C42" s="316"/>
      <c r="D42" s="316"/>
      <c r="E42" s="316"/>
      <c r="F42" s="316"/>
      <c r="G42" s="316"/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</row>
    <row r="43" spans="1:26" x14ac:dyDescent="0.25">
      <c r="A43" s="316"/>
      <c r="B43" s="316"/>
      <c r="C43" s="316"/>
      <c r="D43" s="316"/>
      <c r="E43" s="316"/>
      <c r="F43" s="316"/>
      <c r="G43" s="316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</row>
    <row r="44" spans="1:26" x14ac:dyDescent="0.25">
      <c r="A44" s="316"/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96"/>
    </row>
    <row r="45" spans="1:26" x14ac:dyDescent="0.25">
      <c r="A45" s="316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</row>
    <row r="46" spans="1:26" x14ac:dyDescent="0.25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</row>
    <row r="47" spans="1:26" x14ac:dyDescent="0.25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</row>
    <row r="48" spans="1:26" x14ac:dyDescent="0.25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</row>
    <row r="49" spans="1:25" x14ac:dyDescent="0.25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</row>
    <row r="50" spans="1:25" x14ac:dyDescent="0.25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</row>
    <row r="51" spans="1:25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</row>
    <row r="52" spans="1:25" x14ac:dyDescent="0.25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</row>
    <row r="53" spans="1:25" x14ac:dyDescent="0.25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</row>
    <row r="54" spans="1:25" x14ac:dyDescent="0.25"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</row>
    <row r="55" spans="1:25" x14ac:dyDescent="0.25">
      <c r="A55" s="175" t="s">
        <v>324</v>
      </c>
      <c r="B55" s="96"/>
      <c r="C55" s="178"/>
      <c r="D55" s="177"/>
      <c r="E55" s="177"/>
      <c r="F55" s="177"/>
      <c r="G55" s="96"/>
      <c r="H55" s="96"/>
      <c r="I55" s="96"/>
      <c r="J55" s="96"/>
      <c r="K55" s="96"/>
      <c r="L55" s="96"/>
      <c r="M55" s="96"/>
      <c r="N55" s="326" t="str">
        <f>N8</f>
        <v>NI-MC-T-1325-2023</v>
      </c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</row>
    <row r="56" spans="1:25" x14ac:dyDescent="0.25">
      <c r="A56" s="175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</row>
    <row r="57" spans="1:25" x14ac:dyDescent="0.25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</row>
    <row r="58" spans="1:25" x14ac:dyDescent="0.25">
      <c r="A58" s="175" t="s">
        <v>323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</row>
    <row r="59" spans="1:25" x14ac:dyDescent="0.25">
      <c r="A59" s="317" t="s">
        <v>162</v>
      </c>
      <c r="B59" s="317"/>
      <c r="C59" s="317"/>
      <c r="D59" s="317"/>
      <c r="E59" s="317" t="s">
        <v>322</v>
      </c>
      <c r="F59" s="317"/>
      <c r="G59" s="317"/>
      <c r="H59" s="317" t="s">
        <v>30</v>
      </c>
      <c r="I59" s="317"/>
      <c r="J59" s="317"/>
      <c r="K59" s="317"/>
      <c r="L59" s="317"/>
      <c r="M59" s="317"/>
      <c r="N59" s="317" t="s">
        <v>321</v>
      </c>
      <c r="O59" s="317"/>
      <c r="P59" s="317"/>
      <c r="Q59" s="317"/>
      <c r="R59" s="317"/>
      <c r="S59" s="317"/>
      <c r="T59" s="317"/>
      <c r="U59" s="317"/>
      <c r="V59" s="317"/>
      <c r="W59" s="317"/>
      <c r="X59" s="318" t="s">
        <v>320</v>
      </c>
      <c r="Y59" s="318"/>
    </row>
    <row r="60" spans="1:25" ht="27.6" customHeight="1" x14ac:dyDescent="0.25">
      <c r="A60" s="310" t="s">
        <v>319</v>
      </c>
      <c r="B60" s="310"/>
      <c r="C60" s="310"/>
      <c r="D60" s="310"/>
      <c r="E60" s="310" t="e">
        <f>General!$I$5</f>
        <v>#N/A</v>
      </c>
      <c r="F60" s="310"/>
      <c r="G60" s="310"/>
      <c r="H60" s="310">
        <f>General!$I$4</f>
        <v>0</v>
      </c>
      <c r="I60" s="310"/>
      <c r="J60" s="310"/>
      <c r="K60" s="310"/>
      <c r="L60" s="310"/>
      <c r="M60" s="310"/>
      <c r="N60" s="310" t="e">
        <f>VLOOKUP(H60,'BD Patron'!$C$6:$N$10,11,FALSE)</f>
        <v>#N/A</v>
      </c>
      <c r="O60" s="310"/>
      <c r="P60" s="310"/>
      <c r="Q60" s="310"/>
      <c r="R60" s="310"/>
      <c r="S60" s="310"/>
      <c r="T60" s="310"/>
      <c r="U60" s="310"/>
      <c r="V60" s="310"/>
      <c r="W60" s="310"/>
      <c r="X60" s="311" t="e">
        <f>VLOOKUP(H60,'BD Patron'!$C$6:$N$10,10,FALSE)+1096</f>
        <v>#N/A</v>
      </c>
      <c r="Y60" s="311"/>
    </row>
    <row r="61" spans="1:25" ht="4.9000000000000004" hidden="1" customHeight="1" x14ac:dyDescent="0.25">
      <c r="A61" s="310" t="s">
        <v>318</v>
      </c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1"/>
      <c r="Y61" s="311"/>
    </row>
    <row r="62" spans="1:25" ht="25.9" hidden="1" customHeight="1" x14ac:dyDescent="0.25">
      <c r="A62" s="310" t="str">
        <f>VLOOKUP(H62,'BD Patron'!$C$15:$U$24,2,FALSE)</f>
        <v>Baño de bloque seco</v>
      </c>
      <c r="B62" s="310"/>
      <c r="C62" s="310"/>
      <c r="D62" s="310"/>
      <c r="E62" s="310" t="str">
        <f>CONCATENATE(VLOOKUP(H62,'BD Patron'!$C$15:$U$24,3,FALSE), " ", VLOOKUP(H62,'BD Patron'!$C$15:$U$24,4,FALSE))</f>
        <v>Fluke 9171</v>
      </c>
      <c r="F62" s="310"/>
      <c r="G62" s="310"/>
      <c r="H62" s="310" t="str">
        <f>Calibración!$S$4</f>
        <v>NI-MCPT-37</v>
      </c>
      <c r="I62" s="310"/>
      <c r="J62" s="310"/>
      <c r="K62" s="310"/>
      <c r="L62" s="310"/>
      <c r="M62" s="310"/>
      <c r="N62" s="310" t="str">
        <f>CONCATENATE(VLOOKUP(H62,'BD Patron'!$C$15:$U$24,18,FALSE), " ",VLOOKUP(H62,'BD Patron'!$C$15:$U$24,19,FALSE))</f>
        <v>SCM Metrología y Laboratorios 20180507-28-1</v>
      </c>
      <c r="O62" s="310"/>
      <c r="P62" s="310"/>
      <c r="Q62" s="310"/>
      <c r="R62" s="310"/>
      <c r="S62" s="310"/>
      <c r="T62" s="310"/>
      <c r="U62" s="310"/>
      <c r="V62" s="310"/>
      <c r="W62" s="310"/>
      <c r="X62" s="311">
        <f>VLOOKUP(H62,'BD Patron'!$C$15:$U$24,17,FALSE)+365</f>
        <v>43595</v>
      </c>
      <c r="Y62" s="311"/>
    </row>
    <row r="63" spans="1:25" ht="25.15" customHeight="1" x14ac:dyDescent="0.25">
      <c r="A63" s="310" t="str">
        <f>VLOOKUP(H63,'BD Patron'!$C$16:$Q$25,2,FALSE)</f>
        <v>Termómetro Digital</v>
      </c>
      <c r="B63" s="310"/>
      <c r="C63" s="310"/>
      <c r="D63" s="310"/>
      <c r="E63" s="310" t="str">
        <f>CONCATENATE(VLOOKUP(H63,'BD Patron'!$C$16:$Q$25,3,FALSE), " ", VLOOKUP(H63,'BD Patron'!$C$16:$Q$25,4,FALSE))</f>
        <v>AccuMac/Fluke 5627A</v>
      </c>
      <c r="F63" s="310"/>
      <c r="G63" s="310"/>
      <c r="H63" s="310" t="str">
        <f>Calibración!$J$5</f>
        <v>NI-MCPT-05</v>
      </c>
      <c r="I63" s="310"/>
      <c r="J63" s="310"/>
      <c r="K63" s="310"/>
      <c r="L63" s="310"/>
      <c r="M63" s="310"/>
      <c r="N63" s="310" t="str">
        <f>CONCATENATE(VLOOKUP(H63,'BD Patron'!$C$15:$U$24,18,FALSE), " ",VLOOKUP(H63,'BD Patron'!$C$15:$U$24,19,FALSE))</f>
        <v>SCM Metrología y Laboratorios SCM-00039472</v>
      </c>
      <c r="O63" s="310"/>
      <c r="P63" s="310"/>
      <c r="Q63" s="310"/>
      <c r="R63" s="310"/>
      <c r="S63" s="310"/>
      <c r="T63" s="310"/>
      <c r="U63" s="310"/>
      <c r="V63" s="310"/>
      <c r="W63" s="310"/>
      <c r="X63" s="311">
        <f>VLOOKUP(H63,'BD Patron'!$C$15:$U$24,17,FALSE)+1096</f>
        <v>45935</v>
      </c>
      <c r="Y63" s="311"/>
    </row>
    <row r="64" spans="1:25" hidden="1" x14ac:dyDescent="0.25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1"/>
      <c r="Y64" s="311"/>
    </row>
    <row r="65" spans="1:25" hidden="1" x14ac:dyDescent="0.25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  <c r="X65" s="311"/>
      <c r="Y65" s="311"/>
    </row>
    <row r="68" spans="1:25" x14ac:dyDescent="0.25">
      <c r="A68" s="175" t="s">
        <v>248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</row>
    <row r="69" spans="1:25" x14ac:dyDescent="0.25">
      <c r="A69" s="173" t="s">
        <v>317</v>
      </c>
      <c r="B69" s="96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96"/>
    </row>
    <row r="70" spans="1:25" x14ac:dyDescent="0.25">
      <c r="A70" s="174" t="str">
        <f>'[4]Salida de Datos'!$F$8</f>
        <v>La corrección corresponde al valor del patrón menos las indicación del equipo.</v>
      </c>
      <c r="B70" s="96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96"/>
    </row>
    <row r="71" spans="1:25" x14ac:dyDescent="0.25">
      <c r="A71" s="174" t="str">
        <f>'[4]Salida de Datos'!$F$9</f>
        <v>La indicación de temperatura de referencia y del equipo, corresponden al promedio de 3 mediciones .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</row>
    <row r="72" spans="1:25" x14ac:dyDescent="0.25">
      <c r="A72" s="173" t="s">
        <v>316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</row>
    <row r="73" spans="1:25" x14ac:dyDescent="0.25">
      <c r="A73" s="173" t="s">
        <v>315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</row>
    <row r="74" spans="1:25" x14ac:dyDescent="0.25">
      <c r="A74" s="96" t="s">
        <v>314</v>
      </c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172"/>
      <c r="S74" s="172"/>
      <c r="T74" s="96"/>
      <c r="U74" s="96"/>
      <c r="V74" s="96"/>
      <c r="W74" s="96"/>
      <c r="X74" s="96"/>
      <c r="Y74" s="96"/>
    </row>
    <row r="75" spans="1:25" x14ac:dyDescent="0.25">
      <c r="A75" s="96" t="s">
        <v>313</v>
      </c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171"/>
      <c r="S75" s="171"/>
      <c r="T75" s="171"/>
      <c r="U75" s="171"/>
      <c r="V75" s="171"/>
      <c r="Y75" s="96"/>
    </row>
    <row r="79" spans="1:25" x14ac:dyDescent="0.25">
      <c r="H79" s="89"/>
      <c r="I79" s="89"/>
    </row>
    <row r="80" spans="1:25" x14ac:dyDescent="0.25">
      <c r="J80" s="170"/>
      <c r="K80" s="170"/>
      <c r="L80" s="170" t="s">
        <v>85</v>
      </c>
      <c r="M80" s="170"/>
      <c r="N80" s="170"/>
      <c r="O80" s="170"/>
      <c r="P80" s="170"/>
    </row>
    <row r="81" spans="9:16" x14ac:dyDescent="0.25">
      <c r="I81" s="315" t="s">
        <v>312</v>
      </c>
      <c r="J81" s="315"/>
      <c r="K81" s="315"/>
      <c r="L81" s="315"/>
      <c r="M81" s="315"/>
      <c r="N81" s="315"/>
      <c r="O81" s="315"/>
      <c r="P81" s="169"/>
    </row>
    <row r="82" spans="9:16" x14ac:dyDescent="0.25">
      <c r="J82" s="168"/>
      <c r="K82" s="168"/>
      <c r="L82" s="168" t="s">
        <v>311</v>
      </c>
      <c r="M82" s="168"/>
      <c r="N82" s="168"/>
      <c r="O82" s="168"/>
      <c r="P82" s="168"/>
    </row>
    <row r="84" spans="9:16" x14ac:dyDescent="0.25">
      <c r="J84" s="167"/>
      <c r="K84" s="167"/>
      <c r="L84" s="167"/>
      <c r="M84" s="167"/>
      <c r="N84" s="167"/>
      <c r="O84" s="167"/>
      <c r="P84" s="167"/>
    </row>
    <row r="85" spans="9:16" x14ac:dyDescent="0.25">
      <c r="L85" s="167" t="s">
        <v>310</v>
      </c>
    </row>
  </sheetData>
  <mergeCells count="77">
    <mergeCell ref="A38:Y38"/>
    <mergeCell ref="A41:Y45"/>
    <mergeCell ref="N59:W59"/>
    <mergeCell ref="H60:M60"/>
    <mergeCell ref="H61:M61"/>
    <mergeCell ref="X59:Y59"/>
    <mergeCell ref="H59:M59"/>
    <mergeCell ref="E59:G59"/>
    <mergeCell ref="E60:G60"/>
    <mergeCell ref="E61:G61"/>
    <mergeCell ref="A59:D59"/>
    <mergeCell ref="A60:D60"/>
    <mergeCell ref="A61:D61"/>
    <mergeCell ref="I81:O81"/>
    <mergeCell ref="N16:Y16"/>
    <mergeCell ref="N8:Y8"/>
    <mergeCell ref="N9:Y9"/>
    <mergeCell ref="N10:Y10"/>
    <mergeCell ref="N12:Y12"/>
    <mergeCell ref="N13:Y13"/>
    <mergeCell ref="N14:Y14"/>
    <mergeCell ref="N15:Y15"/>
    <mergeCell ref="N55:Y55"/>
    <mergeCell ref="D25:X25"/>
    <mergeCell ref="D26:E27"/>
    <mergeCell ref="F26:K27"/>
    <mergeCell ref="L26:Q27"/>
    <mergeCell ref="R26:X27"/>
    <mergeCell ref="N11:R11"/>
    <mergeCell ref="D28:E28"/>
    <mergeCell ref="F28:K28"/>
    <mergeCell ref="L28:Q28"/>
    <mergeCell ref="R28:X28"/>
    <mergeCell ref="N17:Y17"/>
    <mergeCell ref="N18:Y18"/>
    <mergeCell ref="N19:Y19"/>
    <mergeCell ref="N20:Y20"/>
    <mergeCell ref="N21:Y21"/>
    <mergeCell ref="N22:X22"/>
    <mergeCell ref="D29:E29"/>
    <mergeCell ref="F29:K29"/>
    <mergeCell ref="L29:Q29"/>
    <mergeCell ref="R29:X29"/>
    <mergeCell ref="D30:E30"/>
    <mergeCell ref="F30:K30"/>
    <mergeCell ref="L30:Q30"/>
    <mergeCell ref="R30:X30"/>
    <mergeCell ref="D31:E31"/>
    <mergeCell ref="F31:K31"/>
    <mergeCell ref="L31:Q31"/>
    <mergeCell ref="R31:X31"/>
    <mergeCell ref="B34:D34"/>
    <mergeCell ref="K34:L34"/>
    <mergeCell ref="E63:G63"/>
    <mergeCell ref="E64:G64"/>
    <mergeCell ref="H63:M63"/>
    <mergeCell ref="H64:M64"/>
    <mergeCell ref="A62:D62"/>
    <mergeCell ref="A63:D63"/>
    <mergeCell ref="E62:G62"/>
    <mergeCell ref="A64:D64"/>
    <mergeCell ref="A65:D65"/>
    <mergeCell ref="H65:M65"/>
    <mergeCell ref="X60:Y60"/>
    <mergeCell ref="X61:Y61"/>
    <mergeCell ref="X62:Y62"/>
    <mergeCell ref="X63:Y63"/>
    <mergeCell ref="X64:Y64"/>
    <mergeCell ref="X65:Y65"/>
    <mergeCell ref="N60:W60"/>
    <mergeCell ref="N61:W61"/>
    <mergeCell ref="N62:W62"/>
    <mergeCell ref="N63:W63"/>
    <mergeCell ref="N64:W64"/>
    <mergeCell ref="N65:W65"/>
    <mergeCell ref="H62:M62"/>
    <mergeCell ref="E65:G65"/>
  </mergeCells>
  <conditionalFormatting sqref="A74">
    <cfRule type="cellIs" priority="1" operator="equal">
      <formula>$D$25</formula>
    </cfRule>
  </conditionalFormatting>
  <conditionalFormatting sqref="A75">
    <cfRule type="cellIs" priority="2" operator="equal">
      <formula>$F$27</formula>
    </cfRule>
  </conditionalFormatting>
  <printOptions horizontalCentered="1"/>
  <pageMargins left="0.51" right="0.51" top="0.51" bottom="0.51" header="0" footer="0.31"/>
  <pageSetup orientation="portrait" horizontalDpi="4294967293" verticalDpi="4294967293" r:id="rId1"/>
  <headerFooter>
    <oddHeader>&amp;C
&amp;G</oddHeader>
    <oddFooter xml:space="preserve">&amp;C&amp;G&amp;R&amp;"Arial,Normal"&amp;7Página &amp;Pde&amp;N&amp;8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8:Z123"/>
  <sheetViews>
    <sheetView view="pageLayout" zoomScaleNormal="40" zoomScaleSheetLayoutView="100" workbookViewId="0">
      <selection activeCell="J13" sqref="J13"/>
    </sheetView>
  </sheetViews>
  <sheetFormatPr defaultColWidth="11.42578125" defaultRowHeight="15" x14ac:dyDescent="0.25"/>
  <cols>
    <col min="1" max="1" width="3.5703125" customWidth="1"/>
    <col min="2" max="2" width="3.140625" customWidth="1"/>
    <col min="3" max="3" width="0.140625" hidden="1" customWidth="1"/>
    <col min="4" max="4" width="12.42578125" customWidth="1"/>
    <col min="5" max="5" width="4.42578125" customWidth="1"/>
    <col min="6" max="6" width="3.5703125" customWidth="1"/>
    <col min="7" max="7" width="4.85546875" customWidth="1"/>
    <col min="8" max="9" width="3" customWidth="1"/>
    <col min="10" max="10" width="2.5703125" customWidth="1"/>
    <col min="11" max="11" width="3" customWidth="1"/>
    <col min="12" max="12" width="4.140625" customWidth="1"/>
    <col min="13" max="13" width="4.42578125" customWidth="1"/>
    <col min="14" max="15" width="2.42578125" customWidth="1"/>
    <col min="16" max="17" width="3.42578125" customWidth="1"/>
    <col min="18" max="18" width="4" customWidth="1"/>
    <col min="19" max="21" width="2.42578125" customWidth="1"/>
    <col min="22" max="22" width="4.42578125" customWidth="1"/>
    <col min="23" max="23" width="2.42578125" customWidth="1"/>
    <col min="24" max="24" width="3.5703125" customWidth="1"/>
    <col min="25" max="25" width="6.42578125" customWidth="1"/>
  </cols>
  <sheetData>
    <row r="8" spans="1:25" x14ac:dyDescent="0.25">
      <c r="A8" s="175" t="s">
        <v>324</v>
      </c>
      <c r="B8" s="178"/>
      <c r="C8" s="177"/>
      <c r="E8" s="177"/>
      <c r="F8" s="177"/>
      <c r="G8" s="185"/>
      <c r="H8" s="185"/>
      <c r="I8" s="185"/>
      <c r="J8" s="185"/>
      <c r="K8" s="185"/>
      <c r="L8" s="96"/>
      <c r="M8" s="96"/>
      <c r="N8" s="326" t="str">
        <f>General!F3</f>
        <v>NI-MC-T-1325-2023</v>
      </c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</row>
    <row r="9" spans="1:25" x14ac:dyDescent="0.25">
      <c r="A9" s="175" t="s">
        <v>349</v>
      </c>
      <c r="B9" s="178"/>
      <c r="C9" s="177"/>
      <c r="E9" s="177"/>
      <c r="F9" s="177"/>
      <c r="G9" s="185"/>
      <c r="H9" s="185"/>
      <c r="I9" s="185"/>
      <c r="J9" s="185"/>
      <c r="K9" s="185"/>
      <c r="L9" s="96"/>
      <c r="M9" s="96"/>
      <c r="N9" s="347" t="str">
        <f>General!F4</f>
        <v>NI-CS-0063-23</v>
      </c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</row>
    <row r="10" spans="1:25" x14ac:dyDescent="0.25">
      <c r="A10" s="175" t="s">
        <v>348</v>
      </c>
      <c r="B10" s="178"/>
      <c r="C10" s="178"/>
      <c r="E10" s="178"/>
      <c r="F10" s="178"/>
      <c r="G10" s="185"/>
      <c r="H10" s="185"/>
      <c r="I10" s="185"/>
      <c r="J10" s="185"/>
      <c r="K10" s="185"/>
      <c r="L10" s="188"/>
      <c r="M10" s="96"/>
      <c r="N10" s="348">
        <f>General!F5</f>
        <v>44964</v>
      </c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</row>
    <row r="11" spans="1:25" x14ac:dyDescent="0.25">
      <c r="A11" s="175" t="s">
        <v>347</v>
      </c>
      <c r="B11" s="178"/>
      <c r="C11" s="178"/>
      <c r="E11" s="178"/>
      <c r="F11" s="178"/>
      <c r="G11" s="185"/>
      <c r="H11" s="185"/>
      <c r="I11" s="185"/>
      <c r="J11" s="185"/>
      <c r="K11" s="185"/>
      <c r="L11" s="188"/>
      <c r="M11" s="96"/>
      <c r="N11" s="348">
        <f ca="1">NOW()</f>
        <v>46188.488317939817</v>
      </c>
      <c r="O11" s="348"/>
      <c r="P11" s="348"/>
      <c r="Q11" s="348"/>
      <c r="R11" s="348"/>
      <c r="S11" s="187"/>
      <c r="T11" s="187"/>
      <c r="U11" s="187"/>
      <c r="V11" s="187"/>
      <c r="W11" s="187"/>
      <c r="X11" s="187"/>
      <c r="Y11" s="187"/>
    </row>
    <row r="12" spans="1:25" x14ac:dyDescent="0.25">
      <c r="A12" s="175" t="s">
        <v>346</v>
      </c>
      <c r="B12" s="178"/>
      <c r="C12" s="178"/>
      <c r="E12" s="178"/>
      <c r="F12" s="178"/>
      <c r="G12" s="185"/>
      <c r="H12" s="185"/>
      <c r="I12" s="185"/>
      <c r="J12" s="185"/>
      <c r="K12" s="185"/>
      <c r="L12" s="96"/>
      <c r="M12" s="96"/>
      <c r="N12" s="349">
        <f>General!F7</f>
        <v>0</v>
      </c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</row>
    <row r="13" spans="1:25" x14ac:dyDescent="0.25">
      <c r="A13" s="175" t="s">
        <v>345</v>
      </c>
      <c r="B13" s="178"/>
      <c r="C13" s="178"/>
      <c r="E13" s="178"/>
      <c r="F13" s="178"/>
      <c r="G13" s="185"/>
      <c r="H13" s="185"/>
      <c r="I13" s="185"/>
      <c r="J13" s="185"/>
      <c r="K13" s="185"/>
      <c r="L13" s="96"/>
      <c r="M13" s="96"/>
      <c r="N13" s="347">
        <f>General!F8</f>
        <v>0</v>
      </c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</row>
    <row r="14" spans="1:25" x14ac:dyDescent="0.25">
      <c r="A14" s="175" t="s">
        <v>344</v>
      </c>
      <c r="B14" s="178"/>
      <c r="C14" s="178"/>
      <c r="E14" s="178"/>
      <c r="F14" s="178"/>
      <c r="G14" s="185"/>
      <c r="H14" s="185"/>
      <c r="I14" s="185"/>
      <c r="J14" s="185"/>
      <c r="K14" s="185"/>
      <c r="L14" s="96"/>
      <c r="M14" s="96"/>
      <c r="N14" s="347">
        <f>General!F10</f>
        <v>0</v>
      </c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</row>
    <row r="15" spans="1:25" x14ac:dyDescent="0.25">
      <c r="A15" s="175" t="s">
        <v>343</v>
      </c>
      <c r="B15" s="178"/>
      <c r="C15" s="178"/>
      <c r="E15" s="178"/>
      <c r="F15" s="178"/>
      <c r="G15" s="185"/>
      <c r="H15" s="185"/>
      <c r="I15" s="185"/>
      <c r="J15" s="185"/>
      <c r="K15" s="185"/>
      <c r="L15" s="96"/>
      <c r="M15" s="96"/>
      <c r="N15" s="347">
        <f>General!F9</f>
        <v>0</v>
      </c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</row>
    <row r="16" spans="1:25" x14ac:dyDescent="0.25">
      <c r="A16" s="175" t="s">
        <v>342</v>
      </c>
      <c r="B16" s="178"/>
      <c r="C16" s="178"/>
      <c r="E16" s="178"/>
      <c r="F16" s="178"/>
      <c r="G16" s="185"/>
      <c r="H16" s="185"/>
      <c r="I16" s="185"/>
      <c r="J16" s="185"/>
      <c r="K16" s="185"/>
      <c r="L16" s="96"/>
      <c r="M16" s="96"/>
      <c r="N16" s="347">
        <f>General!F11</f>
        <v>0</v>
      </c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</row>
    <row r="17" spans="1:25" x14ac:dyDescent="0.25">
      <c r="A17" s="175" t="s">
        <v>341</v>
      </c>
      <c r="B17" s="178"/>
      <c r="C17" s="178"/>
      <c r="E17" s="178"/>
      <c r="F17" s="178"/>
      <c r="G17" s="185"/>
      <c r="H17" s="185"/>
      <c r="I17" s="185"/>
      <c r="J17" s="185"/>
      <c r="K17" s="185"/>
      <c r="L17" s="96"/>
      <c r="M17" s="96"/>
      <c r="N17" s="347">
        <f>General!F12</f>
        <v>0</v>
      </c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</row>
    <row r="18" spans="1:25" x14ac:dyDescent="0.25">
      <c r="A18" s="175" t="s">
        <v>340</v>
      </c>
      <c r="B18" s="178"/>
      <c r="C18" s="178"/>
      <c r="E18" s="178"/>
      <c r="F18" s="178"/>
      <c r="G18" s="185"/>
      <c r="H18" s="185"/>
      <c r="I18" s="185"/>
      <c r="J18" s="185"/>
      <c r="K18" s="185"/>
      <c r="L18" s="96"/>
      <c r="M18" s="96"/>
      <c r="N18" s="347">
        <f>General!F6</f>
        <v>0</v>
      </c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</row>
    <row r="19" spans="1:25" x14ac:dyDescent="0.25">
      <c r="A19" s="175" t="s">
        <v>339</v>
      </c>
      <c r="B19" s="178"/>
      <c r="C19" s="178"/>
      <c r="E19" s="178"/>
      <c r="F19" s="178"/>
      <c r="G19" s="185"/>
      <c r="H19" s="185"/>
      <c r="I19" s="185"/>
      <c r="J19" s="185"/>
      <c r="K19" s="185"/>
      <c r="L19" s="96"/>
      <c r="M19" s="96"/>
      <c r="N19" s="347" t="str">
        <f>General!L3</f>
        <v xml:space="preserve">Agricola Nicavista </v>
      </c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</row>
    <row r="20" spans="1:25" x14ac:dyDescent="0.25">
      <c r="A20" s="186" t="s">
        <v>338</v>
      </c>
      <c r="B20" s="178"/>
      <c r="C20" s="178"/>
      <c r="E20" s="178"/>
      <c r="F20" s="178"/>
      <c r="G20" s="185"/>
      <c r="H20" s="185"/>
      <c r="I20" s="185"/>
      <c r="J20" s="185"/>
      <c r="K20" s="185"/>
      <c r="L20" s="96"/>
      <c r="M20" s="96"/>
      <c r="N20" s="347" t="str">
        <f>General!L4</f>
        <v>Ciudad Rama, Atlántico Sur, Nicaragua</v>
      </c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</row>
    <row r="21" spans="1:25" ht="17.25" customHeight="1" x14ac:dyDescent="0.25">
      <c r="A21" s="175" t="s">
        <v>337</v>
      </c>
      <c r="C21" s="178"/>
      <c r="D21" s="178"/>
      <c r="E21" s="178"/>
      <c r="F21" s="178"/>
      <c r="G21" s="185"/>
      <c r="H21" s="185"/>
      <c r="I21" s="185"/>
      <c r="J21" s="185"/>
      <c r="K21" s="185"/>
      <c r="L21" s="184"/>
      <c r="M21" s="96"/>
      <c r="N21" s="350" t="str">
        <f>General!L5</f>
        <v>Laboratorio</v>
      </c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</row>
    <row r="22" spans="1:25" ht="17.25" customHeight="1" x14ac:dyDescent="0.25">
      <c r="A22" s="175"/>
      <c r="C22" s="178"/>
      <c r="D22" s="178"/>
      <c r="E22" s="178"/>
      <c r="F22" s="178"/>
      <c r="G22" s="185"/>
      <c r="H22" s="185"/>
      <c r="I22" s="185"/>
      <c r="J22" s="185"/>
      <c r="K22" s="185"/>
      <c r="L22" s="184"/>
      <c r="M22" s="96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</row>
    <row r="23" spans="1:25" x14ac:dyDescent="0.25">
      <c r="A23" s="175" t="s">
        <v>336</v>
      </c>
      <c r="C23" s="178"/>
      <c r="D23" s="178"/>
      <c r="E23" s="178"/>
      <c r="F23" s="178"/>
    </row>
    <row r="24" spans="1:25" ht="12.75" customHeight="1" x14ac:dyDescent="0.25"/>
    <row r="25" spans="1:25" x14ac:dyDescent="0.25">
      <c r="A25" s="96"/>
      <c r="B25" s="96"/>
      <c r="C25" s="96"/>
      <c r="D25" s="351" t="s">
        <v>261</v>
      </c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</row>
    <row r="26" spans="1:25" ht="15" customHeight="1" x14ac:dyDescent="0.25">
      <c r="A26" s="96"/>
      <c r="B26" s="96"/>
      <c r="C26" s="96"/>
      <c r="D26" s="352" t="s">
        <v>259</v>
      </c>
      <c r="E26" s="352"/>
      <c r="F26" s="334" t="s">
        <v>335</v>
      </c>
      <c r="G26" s="338"/>
      <c r="H26" s="338"/>
      <c r="I26" s="338"/>
      <c r="J26" s="338"/>
      <c r="K26" s="335"/>
      <c r="L26" s="353" t="s">
        <v>258</v>
      </c>
      <c r="M26" s="353"/>
      <c r="N26" s="353"/>
      <c r="O26" s="353"/>
      <c r="P26" s="353"/>
      <c r="Q26" s="353"/>
      <c r="R26" s="352" t="s">
        <v>334</v>
      </c>
      <c r="S26" s="352"/>
      <c r="T26" s="352"/>
      <c r="U26" s="352"/>
      <c r="V26" s="352"/>
      <c r="W26" s="352"/>
      <c r="X26" s="352"/>
    </row>
    <row r="27" spans="1:25" ht="14.25" customHeight="1" x14ac:dyDescent="0.25">
      <c r="A27" s="96"/>
      <c r="B27" s="96"/>
      <c r="C27" s="96"/>
      <c r="D27" s="352"/>
      <c r="E27" s="352"/>
      <c r="F27" s="336"/>
      <c r="G27" s="339"/>
      <c r="H27" s="339"/>
      <c r="I27" s="339"/>
      <c r="J27" s="339"/>
      <c r="K27" s="337"/>
      <c r="L27" s="353"/>
      <c r="M27" s="353"/>
      <c r="N27" s="353"/>
      <c r="O27" s="353"/>
      <c r="P27" s="353"/>
      <c r="Q27" s="353"/>
      <c r="R27" s="352"/>
      <c r="S27" s="352"/>
      <c r="T27" s="352"/>
      <c r="U27" s="352"/>
      <c r="V27" s="352"/>
      <c r="W27" s="352"/>
      <c r="X27" s="352"/>
    </row>
    <row r="28" spans="1:25" x14ac:dyDescent="0.25">
      <c r="A28" s="96"/>
      <c r="B28" s="96"/>
      <c r="C28" s="96"/>
      <c r="D28" s="330" t="str">
        <f>Calibración!C31</f>
        <v>°C</v>
      </c>
      <c r="E28" s="346"/>
      <c r="F28" s="327" t="str">
        <f>Calibración!D31</f>
        <v>°C</v>
      </c>
      <c r="G28" s="329"/>
      <c r="H28" s="329"/>
      <c r="I28" s="329"/>
      <c r="J28" s="329"/>
      <c r="K28" s="328"/>
      <c r="L28" s="346" t="str">
        <f>Calibración!E31</f>
        <v>°C</v>
      </c>
      <c r="M28" s="346"/>
      <c r="N28" s="346"/>
      <c r="O28" s="346"/>
      <c r="P28" s="346"/>
      <c r="Q28" s="346"/>
      <c r="R28" s="346" t="str">
        <f>Calibración!F31</f>
        <v>°C</v>
      </c>
      <c r="S28" s="346"/>
      <c r="T28" s="346"/>
      <c r="U28" s="346"/>
      <c r="V28" s="346"/>
      <c r="W28" s="346"/>
      <c r="X28" s="346"/>
    </row>
    <row r="29" spans="1:25" x14ac:dyDescent="0.25">
      <c r="A29" s="96"/>
      <c r="B29" s="96"/>
      <c r="C29" s="96"/>
      <c r="D29" s="330" t="str">
        <f ca="1">IFERROR(FIXED(Calibración!C32,decim+2),"")</f>
        <v>-0.002</v>
      </c>
      <c r="E29" s="330"/>
      <c r="F29" s="330" t="str">
        <f>IFERROR(FIXED(Calibración!D32,decim + 2),"")</f>
        <v>0.000</v>
      </c>
      <c r="G29" s="330"/>
      <c r="H29" s="330"/>
      <c r="I29" s="330"/>
      <c r="J29" s="330"/>
      <c r="K29" s="330"/>
      <c r="L29" s="330" t="str">
        <f ca="1">IFERROR(FIXED(Calibración!E32,decim + 2),"")</f>
        <v>-0.002</v>
      </c>
      <c r="M29" s="330"/>
      <c r="N29" s="330"/>
      <c r="O29" s="330"/>
      <c r="P29" s="330"/>
      <c r="Q29" s="330"/>
      <c r="R29" s="330" t="str">
        <f ca="1">IFERROR(IF(D29="","",FIXED(Calibración!F32,decim+5)),"")</f>
        <v>0.119601</v>
      </c>
      <c r="S29" s="330"/>
      <c r="T29" s="330"/>
      <c r="U29" s="330"/>
      <c r="V29" s="330"/>
      <c r="W29" s="330"/>
      <c r="X29" s="330"/>
    </row>
    <row r="30" spans="1:25" x14ac:dyDescent="0.25">
      <c r="A30" s="96"/>
      <c r="B30" s="96"/>
      <c r="C30" s="96"/>
      <c r="D30" s="330" t="str">
        <f ca="1">IFERROR(FIXED(Calibración!C33,decim+2),"")</f>
        <v>-0.002</v>
      </c>
      <c r="E30" s="330"/>
      <c r="F30" s="330" t="str">
        <f>IFERROR(FIXED(Calibración!D33,decim + 2),"")</f>
        <v>0.000</v>
      </c>
      <c r="G30" s="330"/>
      <c r="H30" s="330"/>
      <c r="I30" s="330"/>
      <c r="J30" s="330"/>
      <c r="K30" s="330"/>
      <c r="L30" s="330" t="str">
        <f ca="1">IFERROR(FIXED(Calibración!E33,decim + 2),"")</f>
        <v>-0.002</v>
      </c>
      <c r="M30" s="330"/>
      <c r="N30" s="330"/>
      <c r="O30" s="330"/>
      <c r="P30" s="330"/>
      <c r="Q30" s="330"/>
      <c r="R30" s="330" t="str">
        <f ca="1">IFERROR(IF(D30="","",FIXED(Calibración!F33,decim+5)),"")</f>
        <v>0.119601</v>
      </c>
      <c r="S30" s="330"/>
      <c r="T30" s="330"/>
      <c r="U30" s="330"/>
      <c r="V30" s="330"/>
      <c r="W30" s="330"/>
      <c r="X30" s="330"/>
    </row>
    <row r="31" spans="1:25" x14ac:dyDescent="0.25">
      <c r="A31" s="96"/>
      <c r="B31" s="96"/>
      <c r="C31" s="96"/>
      <c r="D31" s="330" t="str">
        <f ca="1">IFERROR(FIXED(Calibración!C34,decim+2),"")</f>
        <v>-0.002</v>
      </c>
      <c r="E31" s="330"/>
      <c r="F31" s="330" t="str">
        <f>IFERROR(FIXED(Calibración!D34,decim + 2),"")</f>
        <v>0.000</v>
      </c>
      <c r="G31" s="330"/>
      <c r="H31" s="330"/>
      <c r="I31" s="330"/>
      <c r="J31" s="330"/>
      <c r="K31" s="330"/>
      <c r="L31" s="330" t="str">
        <f ca="1">IFERROR(FIXED(Calibración!E34,decim + 2),"")</f>
        <v>-0.002</v>
      </c>
      <c r="M31" s="330"/>
      <c r="N31" s="330"/>
      <c r="O31" s="330"/>
      <c r="P31" s="330"/>
      <c r="Q31" s="330"/>
      <c r="R31" s="330" t="str">
        <f ca="1">IFERROR(IF(D31="","",FIXED(Calibración!F34,decim+5)),"")</f>
        <v>0.119601</v>
      </c>
      <c r="S31" s="330"/>
      <c r="T31" s="330"/>
      <c r="U31" s="330"/>
      <c r="V31" s="330"/>
      <c r="W31" s="330"/>
      <c r="X31" s="330"/>
    </row>
    <row r="32" spans="1:25" x14ac:dyDescent="0.25">
      <c r="A32" s="96"/>
      <c r="B32" s="96"/>
      <c r="C32" s="96"/>
      <c r="D32" s="330" t="str">
        <f ca="1">IFERROR(FIXED(Calibración!C35,decim+2),"")</f>
        <v>-0.002</v>
      </c>
      <c r="E32" s="330"/>
      <c r="F32" s="330" t="str">
        <f>IFERROR(FIXED(Calibración!D35,decim + 2),"")</f>
        <v>0.000</v>
      </c>
      <c r="G32" s="330"/>
      <c r="H32" s="330"/>
      <c r="I32" s="330"/>
      <c r="J32" s="330"/>
      <c r="K32" s="330"/>
      <c r="L32" s="330" t="str">
        <f ca="1">IFERROR(FIXED(Calibración!E35,decim + 2),"")</f>
        <v>-0.002</v>
      </c>
      <c r="M32" s="330"/>
      <c r="N32" s="330"/>
      <c r="O32" s="330"/>
      <c r="P32" s="330"/>
      <c r="Q32" s="330"/>
      <c r="R32" s="330" t="str">
        <f ca="1">IFERROR(IF(D32="","",FIXED(Calibración!F35,decim+5)),"")</f>
        <v>0.119601</v>
      </c>
      <c r="S32" s="330"/>
      <c r="T32" s="330"/>
      <c r="U32" s="330"/>
      <c r="V32" s="330"/>
      <c r="W32" s="330"/>
      <c r="X32" s="330"/>
    </row>
    <row r="33" spans="1:24" x14ac:dyDescent="0.25">
      <c r="A33" s="96"/>
      <c r="B33" s="96"/>
      <c r="C33" s="96"/>
      <c r="D33" s="330" t="str">
        <f ca="1">IFERROR(FIXED(Calibración!C36,decim+2),"")</f>
        <v>-0.002</v>
      </c>
      <c r="E33" s="330"/>
      <c r="F33" s="330" t="str">
        <f>IFERROR(FIXED(Calibración!D36,decim + 2),"")</f>
        <v>0.000</v>
      </c>
      <c r="G33" s="330"/>
      <c r="H33" s="330"/>
      <c r="I33" s="330"/>
      <c r="J33" s="330"/>
      <c r="K33" s="330"/>
      <c r="L33" s="330" t="str">
        <f ca="1">IFERROR(FIXED(Calibración!E36,decim + 2),"")</f>
        <v>-0.002</v>
      </c>
      <c r="M33" s="330"/>
      <c r="N33" s="330"/>
      <c r="O33" s="330"/>
      <c r="P33" s="330"/>
      <c r="Q33" s="330"/>
      <c r="R33" s="330" t="str">
        <f ca="1">IFERROR(IF(D33="","",FIXED(Calibración!F36,decim+5)),"")</f>
        <v>0.119601</v>
      </c>
      <c r="S33" s="330"/>
      <c r="T33" s="330"/>
      <c r="U33" s="330"/>
      <c r="V33" s="330"/>
      <c r="W33" s="330"/>
      <c r="X33" s="330"/>
    </row>
    <row r="34" spans="1:24" x14ac:dyDescent="0.25">
      <c r="A34" s="96"/>
      <c r="B34" s="96"/>
      <c r="C34" s="96"/>
      <c r="D34" s="330" t="str">
        <f ca="1">IFERROR(FIXED(Calibración!C37,decim+2),"")</f>
        <v>-0.002</v>
      </c>
      <c r="E34" s="330"/>
      <c r="F34" s="330" t="str">
        <f>IFERROR(FIXED(Calibración!D37,decim + 2),"")</f>
        <v>0.000</v>
      </c>
      <c r="G34" s="330"/>
      <c r="H34" s="330"/>
      <c r="I34" s="330"/>
      <c r="J34" s="330"/>
      <c r="K34" s="330"/>
      <c r="L34" s="330" t="str">
        <f ca="1">IFERROR(FIXED(Calibración!E37,decim + 2),"")</f>
        <v>-0.002</v>
      </c>
      <c r="M34" s="330"/>
      <c r="N34" s="330"/>
      <c r="O34" s="330"/>
      <c r="P34" s="330"/>
      <c r="Q34" s="330"/>
      <c r="R34" s="330" t="str">
        <f ca="1">IFERROR(IF(D34="","",FIXED(Calibración!F37,decim+5)),"")</f>
        <v>0.119601</v>
      </c>
      <c r="S34" s="330"/>
      <c r="T34" s="330"/>
      <c r="U34" s="330"/>
      <c r="V34" s="330"/>
      <c r="W34" s="330"/>
      <c r="X34" s="330"/>
    </row>
    <row r="35" spans="1:24" x14ac:dyDescent="0.25">
      <c r="A35" s="96"/>
      <c r="B35" s="96"/>
      <c r="C35" s="96"/>
      <c r="D35" s="330" t="str">
        <f ca="1">IFERROR(FIXED(Calibración!C38,decim+2),"")</f>
        <v>-0.002</v>
      </c>
      <c r="E35" s="330"/>
      <c r="F35" s="330" t="str">
        <f>IFERROR(FIXED(Calibración!D38,decim + 2),"")</f>
        <v>0.000</v>
      </c>
      <c r="G35" s="330"/>
      <c r="H35" s="330"/>
      <c r="I35" s="330"/>
      <c r="J35" s="330"/>
      <c r="K35" s="330"/>
      <c r="L35" s="330" t="str">
        <f ca="1">IFERROR(FIXED(Calibración!E38,decim + 2),"")</f>
        <v>-0.002</v>
      </c>
      <c r="M35" s="330"/>
      <c r="N35" s="330"/>
      <c r="O35" s="330"/>
      <c r="P35" s="330"/>
      <c r="Q35" s="330"/>
      <c r="R35" s="330" t="str">
        <f ca="1">IFERROR(IF(D35="","",FIXED(Calibración!F38,decim+5)),"")</f>
        <v>0.119601</v>
      </c>
      <c r="S35" s="330"/>
      <c r="T35" s="330"/>
      <c r="U35" s="330"/>
      <c r="V35" s="330"/>
      <c r="W35" s="330"/>
      <c r="X35" s="330"/>
    </row>
    <row r="36" spans="1:24" x14ac:dyDescent="0.25">
      <c r="A36" s="96"/>
      <c r="B36" s="96"/>
      <c r="C36" s="96"/>
      <c r="D36" s="330" t="str">
        <f ca="1">IFERROR(FIXED(Calibración!C39,decim+2),"")</f>
        <v>-0.002</v>
      </c>
      <c r="E36" s="330"/>
      <c r="F36" s="330" t="str">
        <f>IFERROR(FIXED(Calibración!D39,decim + 2),"")</f>
        <v>0.000</v>
      </c>
      <c r="G36" s="330"/>
      <c r="H36" s="330"/>
      <c r="I36" s="330"/>
      <c r="J36" s="330"/>
      <c r="K36" s="330"/>
      <c r="L36" s="330" t="str">
        <f ca="1">IFERROR(FIXED(Calibración!E39,decim + 2),"")</f>
        <v>-0.002</v>
      </c>
      <c r="M36" s="330"/>
      <c r="N36" s="330"/>
      <c r="O36" s="330"/>
      <c r="P36" s="330"/>
      <c r="Q36" s="330"/>
      <c r="R36" s="330" t="str">
        <f ca="1">IFERROR(IF(D36="","",FIXED(Calibración!F39,decim+5)),"")</f>
        <v>0.119601</v>
      </c>
      <c r="S36" s="330"/>
      <c r="T36" s="330"/>
      <c r="U36" s="330"/>
      <c r="V36" s="330"/>
      <c r="W36" s="330"/>
      <c r="X36" s="330"/>
    </row>
    <row r="37" spans="1:24" x14ac:dyDescent="0.25">
      <c r="A37" s="96"/>
      <c r="B37" s="96"/>
      <c r="C37" s="96"/>
      <c r="D37" s="330" t="str">
        <f ca="1">IFERROR(FIXED(Calibración!C40,decim+2),"")</f>
        <v>-0.002</v>
      </c>
      <c r="E37" s="330"/>
      <c r="F37" s="330" t="str">
        <f>IFERROR(FIXED(Calibración!D40,decim + 2),"")</f>
        <v>0.000</v>
      </c>
      <c r="G37" s="330"/>
      <c r="H37" s="330"/>
      <c r="I37" s="330"/>
      <c r="J37" s="330"/>
      <c r="K37" s="330"/>
      <c r="L37" s="330" t="str">
        <f ca="1">IFERROR(FIXED(Calibración!E40,decim + 2),"")</f>
        <v>-0.002</v>
      </c>
      <c r="M37" s="330"/>
      <c r="N37" s="330"/>
      <c r="O37" s="330"/>
      <c r="P37" s="330"/>
      <c r="Q37" s="330"/>
      <c r="R37" s="330" t="str">
        <f ca="1">IFERROR(IF(D37="","",FIXED(Calibración!F40,decim+5)),"")</f>
        <v>0.119601</v>
      </c>
      <c r="S37" s="330"/>
      <c r="T37" s="330"/>
      <c r="U37" s="330"/>
      <c r="V37" s="330"/>
      <c r="W37" s="330"/>
      <c r="X37" s="330"/>
    </row>
    <row r="38" spans="1:24" x14ac:dyDescent="0.25">
      <c r="A38" s="96"/>
      <c r="B38" s="96"/>
      <c r="C38" s="96"/>
      <c r="D38" s="330" t="str">
        <f ca="1">IFERROR(FIXED(Calibración!C41,decim+2),"")</f>
        <v>-0.002</v>
      </c>
      <c r="E38" s="330"/>
      <c r="F38" s="330" t="str">
        <f>IFERROR(FIXED(Calibración!D41,decim + 2),"")</f>
        <v>0.000</v>
      </c>
      <c r="G38" s="330"/>
      <c r="H38" s="330"/>
      <c r="I38" s="330"/>
      <c r="J38" s="330"/>
      <c r="K38" s="330"/>
      <c r="L38" s="330" t="str">
        <f ca="1">IFERROR(FIXED(Calibración!E41,decim + 2),"")</f>
        <v>-0.002</v>
      </c>
      <c r="M38" s="330"/>
      <c r="N38" s="330"/>
      <c r="O38" s="330"/>
      <c r="P38" s="330"/>
      <c r="Q38" s="330"/>
      <c r="R38" s="330" t="str">
        <f ca="1">IFERROR(IF(D38="","",FIXED(Calibración!F41,decim+5)),"")</f>
        <v>0.119601</v>
      </c>
      <c r="S38" s="330"/>
      <c r="T38" s="330"/>
      <c r="U38" s="330"/>
      <c r="V38" s="330"/>
      <c r="W38" s="330"/>
      <c r="X38" s="330"/>
    </row>
    <row r="39" spans="1:24" x14ac:dyDescent="0.25">
      <c r="A39" s="96"/>
      <c r="B39" s="96"/>
      <c r="C39" s="96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</row>
    <row r="40" spans="1:24" x14ac:dyDescent="0.25">
      <c r="A40" s="96"/>
      <c r="B40" s="96"/>
      <c r="C40" s="96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</row>
    <row r="41" spans="1:24" x14ac:dyDescent="0.25">
      <c r="A41" s="96"/>
      <c r="B41" s="96"/>
      <c r="C41" s="96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</row>
    <row r="42" spans="1:24" x14ac:dyDescent="0.25">
      <c r="A42" s="96"/>
      <c r="B42" s="96"/>
      <c r="C42" s="96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</row>
    <row r="43" spans="1:24" x14ac:dyDescent="0.25">
      <c r="A43" s="96"/>
      <c r="B43" s="96"/>
      <c r="C43" s="96"/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</row>
    <row r="44" spans="1:24" x14ac:dyDescent="0.25">
      <c r="A44" s="96"/>
      <c r="B44" s="96"/>
      <c r="C44" s="96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</row>
    <row r="45" spans="1:24" x14ac:dyDescent="0.25">
      <c r="A45" s="96"/>
      <c r="B45" s="96"/>
      <c r="C45" s="96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</row>
    <row r="46" spans="1:24" x14ac:dyDescent="0.25">
      <c r="A46" s="96"/>
      <c r="B46" s="96"/>
      <c r="C46" s="96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</row>
    <row r="47" spans="1:24" x14ac:dyDescent="0.25">
      <c r="A47" s="96"/>
      <c r="B47" s="96"/>
      <c r="C47" s="96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</row>
    <row r="48" spans="1:24" x14ac:dyDescent="0.25">
      <c r="A48" s="96"/>
      <c r="B48" s="96"/>
      <c r="C48" s="96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</row>
    <row r="49" spans="1:24" x14ac:dyDescent="0.25">
      <c r="A49" s="96"/>
      <c r="B49" s="96"/>
      <c r="C49" s="96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</row>
    <row r="50" spans="1:24" x14ac:dyDescent="0.25">
      <c r="A50" s="96"/>
      <c r="B50" s="96"/>
      <c r="C50" s="96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</row>
    <row r="51" spans="1:24" x14ac:dyDescent="0.25">
      <c r="A51" s="96"/>
      <c r="B51" s="96"/>
      <c r="C51" s="96"/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</row>
    <row r="52" spans="1:24" x14ac:dyDescent="0.25">
      <c r="A52" s="96"/>
      <c r="B52" s="96"/>
      <c r="C52" s="96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</row>
    <row r="53" spans="1:24" x14ac:dyDescent="0.25">
      <c r="A53" s="96"/>
      <c r="B53" s="96"/>
      <c r="C53" s="96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</row>
    <row r="54" spans="1:24" x14ac:dyDescent="0.25">
      <c r="A54" s="96"/>
      <c r="B54" s="96"/>
      <c r="C54" s="96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</row>
    <row r="55" spans="1:24" x14ac:dyDescent="0.25">
      <c r="A55" s="96"/>
      <c r="B55" s="96"/>
      <c r="C55" s="96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</row>
    <row r="56" spans="1:24" x14ac:dyDescent="0.25">
      <c r="A56" s="96"/>
      <c r="B56" s="96"/>
      <c r="C56" s="96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</row>
    <row r="57" spans="1:24" ht="17.45" customHeight="1" x14ac:dyDescent="0.25">
      <c r="A57" s="175" t="s">
        <v>350</v>
      </c>
      <c r="D57" s="180"/>
      <c r="E57" s="180"/>
      <c r="F57" s="18"/>
      <c r="G57" s="18"/>
      <c r="H57" s="18"/>
      <c r="I57" s="18"/>
      <c r="J57" s="18"/>
      <c r="K57" s="18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</row>
    <row r="58" spans="1:24" ht="15.6" customHeight="1" x14ac:dyDescent="0.25">
      <c r="D58" s="180"/>
      <c r="E58" s="180"/>
      <c r="F58" s="18"/>
      <c r="G58" s="18"/>
      <c r="H58" s="18"/>
      <c r="I58" s="18"/>
      <c r="J58" s="18"/>
      <c r="K58" s="18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</row>
    <row r="59" spans="1:24" x14ac:dyDescent="0.25">
      <c r="A59" s="96"/>
      <c r="B59" s="96"/>
      <c r="C59" s="96"/>
      <c r="D59" s="331" t="s">
        <v>261</v>
      </c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3"/>
    </row>
    <row r="60" spans="1:24" ht="15" customHeight="1" x14ac:dyDescent="0.25">
      <c r="A60" s="96"/>
      <c r="B60" s="96"/>
      <c r="C60" s="96"/>
      <c r="D60" s="334" t="s">
        <v>259</v>
      </c>
      <c r="E60" s="335"/>
      <c r="F60" s="334" t="s">
        <v>335</v>
      </c>
      <c r="G60" s="338"/>
      <c r="H60" s="338"/>
      <c r="I60" s="338"/>
      <c r="J60" s="338"/>
      <c r="K60" s="335"/>
      <c r="L60" s="340" t="s">
        <v>258</v>
      </c>
      <c r="M60" s="341"/>
      <c r="N60" s="341"/>
      <c r="O60" s="341"/>
      <c r="P60" s="341"/>
      <c r="Q60" s="342"/>
      <c r="R60" s="334" t="s">
        <v>334</v>
      </c>
      <c r="S60" s="338"/>
      <c r="T60" s="338"/>
      <c r="U60" s="338"/>
      <c r="V60" s="338"/>
      <c r="W60" s="338"/>
      <c r="X60" s="335"/>
    </row>
    <row r="61" spans="1:24" x14ac:dyDescent="0.25">
      <c r="A61" s="96"/>
      <c r="B61" s="96"/>
      <c r="C61" s="96"/>
      <c r="D61" s="336"/>
      <c r="E61" s="337"/>
      <c r="F61" s="336"/>
      <c r="G61" s="339"/>
      <c r="H61" s="339"/>
      <c r="I61" s="339"/>
      <c r="J61" s="339"/>
      <c r="K61" s="337"/>
      <c r="L61" s="343"/>
      <c r="M61" s="344"/>
      <c r="N61" s="344"/>
      <c r="O61" s="344"/>
      <c r="P61" s="344"/>
      <c r="Q61" s="345"/>
      <c r="R61" s="336"/>
      <c r="S61" s="339"/>
      <c r="T61" s="339"/>
      <c r="U61" s="339"/>
      <c r="V61" s="339"/>
      <c r="W61" s="339"/>
      <c r="X61" s="337"/>
    </row>
    <row r="62" spans="1:24" x14ac:dyDescent="0.25">
      <c r="A62" s="96"/>
      <c r="B62" s="96"/>
      <c r="C62" s="96"/>
      <c r="D62" s="327" t="s">
        <v>231</v>
      </c>
      <c r="E62" s="328"/>
      <c r="F62" s="327" t="s">
        <v>231</v>
      </c>
      <c r="G62" s="329"/>
      <c r="H62" s="329"/>
      <c r="I62" s="329"/>
      <c r="J62" s="329"/>
      <c r="K62" s="328"/>
      <c r="L62" s="327" t="s">
        <v>231</v>
      </c>
      <c r="M62" s="329"/>
      <c r="N62" s="329"/>
      <c r="O62" s="329"/>
      <c r="P62" s="329"/>
      <c r="Q62" s="328"/>
      <c r="R62" s="327" t="s">
        <v>231</v>
      </c>
      <c r="S62" s="329"/>
      <c r="T62" s="329"/>
      <c r="U62" s="329"/>
      <c r="V62" s="329"/>
      <c r="W62" s="329"/>
      <c r="X62" s="328"/>
    </row>
    <row r="63" spans="1:24" x14ac:dyDescent="0.25">
      <c r="A63" s="96"/>
      <c r="B63" s="96"/>
      <c r="C63" s="96"/>
      <c r="D63" s="319">
        <f ca="1">IFERROR(D29+273.15,"")</f>
        <v>273.14799999999997</v>
      </c>
      <c r="E63" s="320"/>
      <c r="F63" s="319">
        <f>IFERROR(F29+273.15,"")</f>
        <v>273.14999999999998</v>
      </c>
      <c r="G63" s="321"/>
      <c r="H63" s="321"/>
      <c r="I63" s="321"/>
      <c r="J63" s="321"/>
      <c r="K63" s="320"/>
      <c r="L63" s="319">
        <f ca="1">IFERROR(L29+273.15,"")</f>
        <v>273.14799999999997</v>
      </c>
      <c r="M63" s="321"/>
      <c r="N63" s="321"/>
      <c r="O63" s="321"/>
      <c r="P63" s="321"/>
      <c r="Q63" s="320"/>
      <c r="R63" s="319" t="str">
        <f t="shared" ref="R63:R73" ca="1" si="0">IFERROR(FIXED(R29+273.15,decim+5),"")</f>
        <v>273.269601</v>
      </c>
      <c r="S63" s="321"/>
      <c r="T63" s="321"/>
      <c r="U63" s="321"/>
      <c r="V63" s="321"/>
      <c r="W63" s="321"/>
      <c r="X63" s="320"/>
    </row>
    <row r="64" spans="1:24" x14ac:dyDescent="0.25">
      <c r="A64" s="96"/>
      <c r="B64" s="96"/>
      <c r="C64" s="96"/>
      <c r="D64" s="319">
        <f ca="1">IFERROR(D30+273.15,"")</f>
        <v>273.14799999999997</v>
      </c>
      <c r="E64" s="320"/>
      <c r="F64" s="319">
        <f>IFERROR(F30+273.15,"")</f>
        <v>273.14999999999998</v>
      </c>
      <c r="G64" s="321"/>
      <c r="H64" s="321"/>
      <c r="I64" s="321"/>
      <c r="J64" s="321"/>
      <c r="K64" s="320"/>
      <c r="L64" s="319">
        <f ca="1">IFERROR(L30+273.15,"")</f>
        <v>273.14799999999997</v>
      </c>
      <c r="M64" s="321"/>
      <c r="N64" s="321"/>
      <c r="O64" s="321"/>
      <c r="P64" s="321"/>
      <c r="Q64" s="320"/>
      <c r="R64" s="319" t="str">
        <f t="shared" ca="1" si="0"/>
        <v>273.269601</v>
      </c>
      <c r="S64" s="321"/>
      <c r="T64" s="321"/>
      <c r="U64" s="321"/>
      <c r="V64" s="321"/>
      <c r="W64" s="321"/>
      <c r="X64" s="320"/>
    </row>
    <row r="65" spans="1:26" x14ac:dyDescent="0.25">
      <c r="A65" s="96"/>
      <c r="B65" s="96"/>
      <c r="C65" s="96"/>
      <c r="D65" s="319">
        <f ca="1">IFERROR(D31+273.15,"")</f>
        <v>273.14799999999997</v>
      </c>
      <c r="E65" s="320"/>
      <c r="F65" s="319">
        <f>IFERROR(F31+273.15,"")</f>
        <v>273.14999999999998</v>
      </c>
      <c r="G65" s="321"/>
      <c r="H65" s="321"/>
      <c r="I65" s="321"/>
      <c r="J65" s="321"/>
      <c r="K65" s="320"/>
      <c r="L65" s="319">
        <f ca="1">IFERROR(L31+273.15,"")</f>
        <v>273.14799999999997</v>
      </c>
      <c r="M65" s="321"/>
      <c r="N65" s="321"/>
      <c r="O65" s="321"/>
      <c r="P65" s="321"/>
      <c r="Q65" s="320"/>
      <c r="R65" s="319" t="str">
        <f t="shared" ca="1" si="0"/>
        <v>273.269601</v>
      </c>
      <c r="S65" s="321"/>
      <c r="T65" s="321"/>
      <c r="U65" s="321"/>
      <c r="V65" s="321"/>
      <c r="W65" s="321"/>
      <c r="X65" s="320"/>
    </row>
    <row r="66" spans="1:26" x14ac:dyDescent="0.25">
      <c r="A66" s="96"/>
      <c r="B66" s="96"/>
      <c r="C66" s="96"/>
      <c r="D66" s="319">
        <f ca="1">IFERROR(D32+273.15,"")</f>
        <v>273.14799999999997</v>
      </c>
      <c r="E66" s="320"/>
      <c r="F66" s="319">
        <f>IFERROR(F32+273.15,"")</f>
        <v>273.14999999999998</v>
      </c>
      <c r="G66" s="321"/>
      <c r="H66" s="321"/>
      <c r="I66" s="321"/>
      <c r="J66" s="321"/>
      <c r="K66" s="320"/>
      <c r="L66" s="319">
        <f ca="1">IFERROR(L32+273.15,"")</f>
        <v>273.14799999999997</v>
      </c>
      <c r="M66" s="321"/>
      <c r="N66" s="321"/>
      <c r="O66" s="321"/>
      <c r="P66" s="321"/>
      <c r="Q66" s="320"/>
      <c r="R66" s="319" t="str">
        <f t="shared" ca="1" si="0"/>
        <v>273.269601</v>
      </c>
      <c r="S66" s="321"/>
      <c r="T66" s="321"/>
      <c r="U66" s="321"/>
      <c r="V66" s="321"/>
      <c r="W66" s="321"/>
      <c r="X66" s="320"/>
    </row>
    <row r="67" spans="1:26" x14ac:dyDescent="0.25">
      <c r="A67" s="96"/>
      <c r="B67" s="96"/>
      <c r="C67" s="96"/>
      <c r="D67" s="319">
        <f ca="1">IFERROR(D33+273.15,"")</f>
        <v>273.14799999999997</v>
      </c>
      <c r="E67" s="320"/>
      <c r="F67" s="319">
        <f>IFERROR(F33+273.15,"")</f>
        <v>273.14999999999998</v>
      </c>
      <c r="G67" s="321"/>
      <c r="H67" s="321"/>
      <c r="I67" s="321"/>
      <c r="J67" s="321"/>
      <c r="K67" s="320"/>
      <c r="L67" s="319">
        <f ca="1">IFERROR(L33+273.15,"")</f>
        <v>273.14799999999997</v>
      </c>
      <c r="M67" s="321"/>
      <c r="N67" s="321"/>
      <c r="O67" s="321"/>
      <c r="P67" s="321"/>
      <c r="Q67" s="320"/>
      <c r="R67" s="319" t="str">
        <f t="shared" ca="1" si="0"/>
        <v>273.269601</v>
      </c>
      <c r="S67" s="321"/>
      <c r="T67" s="321"/>
      <c r="U67" s="321"/>
      <c r="V67" s="321"/>
      <c r="W67" s="321"/>
      <c r="X67" s="320"/>
    </row>
    <row r="68" spans="1:26" x14ac:dyDescent="0.25">
      <c r="A68" s="96"/>
      <c r="B68" s="96"/>
      <c r="C68" s="96"/>
      <c r="D68" s="319">
        <f t="shared" ref="D68:D73" ca="1" si="1">IFERROR(D34+273.15,"")</f>
        <v>273.14799999999997</v>
      </c>
      <c r="E68" s="320"/>
      <c r="F68" s="319">
        <f t="shared" ref="F68:F73" si="2">IFERROR(F34+273.15,"")</f>
        <v>273.14999999999998</v>
      </c>
      <c r="G68" s="321"/>
      <c r="H68" s="321"/>
      <c r="I68" s="321"/>
      <c r="J68" s="321"/>
      <c r="K68" s="320"/>
      <c r="L68" s="319">
        <f t="shared" ref="L68:L73" ca="1" si="3">IFERROR(L34+273.15,"")</f>
        <v>273.14799999999997</v>
      </c>
      <c r="M68" s="321"/>
      <c r="N68" s="321"/>
      <c r="O68" s="321"/>
      <c r="P68" s="321"/>
      <c r="Q68" s="320"/>
      <c r="R68" s="319" t="str">
        <f t="shared" ca="1" si="0"/>
        <v>273.269601</v>
      </c>
      <c r="S68" s="321"/>
      <c r="T68" s="321"/>
      <c r="U68" s="321"/>
      <c r="V68" s="321"/>
      <c r="W68" s="321"/>
      <c r="X68" s="320"/>
    </row>
    <row r="69" spans="1:26" x14ac:dyDescent="0.25">
      <c r="A69" s="96"/>
      <c r="B69" s="96"/>
      <c r="C69" s="96"/>
      <c r="D69" s="319">
        <f t="shared" ca="1" si="1"/>
        <v>273.14799999999997</v>
      </c>
      <c r="E69" s="320"/>
      <c r="F69" s="319">
        <f t="shared" si="2"/>
        <v>273.14999999999998</v>
      </c>
      <c r="G69" s="321"/>
      <c r="H69" s="321"/>
      <c r="I69" s="321"/>
      <c r="J69" s="321"/>
      <c r="K69" s="320"/>
      <c r="L69" s="319">
        <f t="shared" ca="1" si="3"/>
        <v>273.14799999999997</v>
      </c>
      <c r="M69" s="321"/>
      <c r="N69" s="321"/>
      <c r="O69" s="321"/>
      <c r="P69" s="321"/>
      <c r="Q69" s="320"/>
      <c r="R69" s="319" t="str">
        <f t="shared" ca="1" si="0"/>
        <v>273.269601</v>
      </c>
      <c r="S69" s="321"/>
      <c r="T69" s="321"/>
      <c r="U69" s="321"/>
      <c r="V69" s="321"/>
      <c r="W69" s="321"/>
      <c r="X69" s="320"/>
    </row>
    <row r="70" spans="1:26" x14ac:dyDescent="0.25">
      <c r="A70" s="96"/>
      <c r="B70" s="96"/>
      <c r="C70" s="96"/>
      <c r="D70" s="319">
        <f t="shared" ca="1" si="1"/>
        <v>273.14799999999997</v>
      </c>
      <c r="E70" s="320"/>
      <c r="F70" s="319">
        <f t="shared" si="2"/>
        <v>273.14999999999998</v>
      </c>
      <c r="G70" s="321"/>
      <c r="H70" s="321"/>
      <c r="I70" s="321"/>
      <c r="J70" s="321"/>
      <c r="K70" s="320"/>
      <c r="L70" s="319">
        <f t="shared" ca="1" si="3"/>
        <v>273.14799999999997</v>
      </c>
      <c r="M70" s="321"/>
      <c r="N70" s="321"/>
      <c r="O70" s="321"/>
      <c r="P70" s="321"/>
      <c r="Q70" s="320"/>
      <c r="R70" s="319" t="str">
        <f t="shared" ca="1" si="0"/>
        <v>273.269601</v>
      </c>
      <c r="S70" s="321"/>
      <c r="T70" s="321"/>
      <c r="U70" s="321"/>
      <c r="V70" s="321"/>
      <c r="W70" s="321"/>
      <c r="X70" s="320"/>
    </row>
    <row r="71" spans="1:26" x14ac:dyDescent="0.25">
      <c r="A71" s="96"/>
      <c r="B71" s="96"/>
      <c r="C71" s="96"/>
      <c r="D71" s="319">
        <f t="shared" ca="1" si="1"/>
        <v>273.14799999999997</v>
      </c>
      <c r="E71" s="320"/>
      <c r="F71" s="319">
        <f t="shared" si="2"/>
        <v>273.14999999999998</v>
      </c>
      <c r="G71" s="321"/>
      <c r="H71" s="321"/>
      <c r="I71" s="321"/>
      <c r="J71" s="321"/>
      <c r="K71" s="320"/>
      <c r="L71" s="319">
        <f t="shared" ca="1" si="3"/>
        <v>273.14799999999997</v>
      </c>
      <c r="M71" s="321"/>
      <c r="N71" s="321"/>
      <c r="O71" s="321"/>
      <c r="P71" s="321"/>
      <c r="Q71" s="320"/>
      <c r="R71" s="319" t="str">
        <f t="shared" ca="1" si="0"/>
        <v>273.269601</v>
      </c>
      <c r="S71" s="321"/>
      <c r="T71" s="321"/>
      <c r="U71" s="321"/>
      <c r="V71" s="321"/>
      <c r="W71" s="321"/>
      <c r="X71" s="320"/>
    </row>
    <row r="72" spans="1:26" x14ac:dyDescent="0.25">
      <c r="A72" s="96"/>
      <c r="B72" s="96"/>
      <c r="C72" s="96"/>
      <c r="D72" s="319">
        <f t="shared" ca="1" si="1"/>
        <v>273.14799999999997</v>
      </c>
      <c r="E72" s="320"/>
      <c r="F72" s="319">
        <f t="shared" si="2"/>
        <v>273.14999999999998</v>
      </c>
      <c r="G72" s="321"/>
      <c r="H72" s="321"/>
      <c r="I72" s="321"/>
      <c r="J72" s="321"/>
      <c r="K72" s="320"/>
      <c r="L72" s="319">
        <f t="shared" ca="1" si="3"/>
        <v>273.14799999999997</v>
      </c>
      <c r="M72" s="321"/>
      <c r="N72" s="321"/>
      <c r="O72" s="321"/>
      <c r="P72" s="321"/>
      <c r="Q72" s="320"/>
      <c r="R72" s="319" t="str">
        <f t="shared" ca="1" si="0"/>
        <v>273.269601</v>
      </c>
      <c r="S72" s="321"/>
      <c r="T72" s="321"/>
      <c r="U72" s="321"/>
      <c r="V72" s="321"/>
      <c r="W72" s="321"/>
      <c r="X72" s="320"/>
    </row>
    <row r="73" spans="1:26" ht="12" customHeight="1" x14ac:dyDescent="0.25">
      <c r="D73" s="319">
        <f t="shared" si="1"/>
        <v>273.14999999999998</v>
      </c>
      <c r="E73" s="320"/>
      <c r="F73" s="319">
        <f t="shared" si="2"/>
        <v>273.14999999999998</v>
      </c>
      <c r="G73" s="321"/>
      <c r="H73" s="321"/>
      <c r="I73" s="321"/>
      <c r="J73" s="321"/>
      <c r="K73" s="320"/>
      <c r="L73" s="319">
        <f t="shared" si="3"/>
        <v>273.14999999999998</v>
      </c>
      <c r="M73" s="321"/>
      <c r="N73" s="321"/>
      <c r="O73" s="321"/>
      <c r="P73" s="321"/>
      <c r="Q73" s="320"/>
      <c r="R73" s="319" t="str">
        <f t="shared" si="0"/>
        <v>273.150000</v>
      </c>
      <c r="S73" s="321"/>
      <c r="T73" s="321"/>
      <c r="U73" s="321"/>
      <c r="V73" s="321"/>
      <c r="W73" s="321"/>
      <c r="X73" s="320"/>
    </row>
    <row r="74" spans="1:26" x14ac:dyDescent="0.25">
      <c r="A74" s="175" t="str">
        <f>CONCATENATE("Condiciones ambientales  (Higrotermómetro ",  General!$I$4, ")")</f>
        <v>Condiciones ambientales  (Higrotermómetro 0)</v>
      </c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O74" s="175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x14ac:dyDescent="0.25">
      <c r="A75" s="183"/>
      <c r="B75" s="325" t="s">
        <v>333</v>
      </c>
      <c r="C75" s="325"/>
      <c r="D75" s="325"/>
      <c r="E75" s="182">
        <f>CertTempC</f>
        <v>0</v>
      </c>
      <c r="F75" s="167" t="s">
        <v>332</v>
      </c>
      <c r="G75" s="181" t="e">
        <f>CertTempIncerti</f>
        <v>#N/A</v>
      </c>
      <c r="H75" s="183" t="s">
        <v>218</v>
      </c>
      <c r="I75" s="96"/>
      <c r="J75" s="96"/>
      <c r="K75" s="96"/>
      <c r="L75" s="96"/>
      <c r="M75" s="96"/>
      <c r="N75" s="96"/>
      <c r="O75" s="96"/>
      <c r="P75" s="183"/>
      <c r="Q75" s="96"/>
      <c r="R75" s="96"/>
      <c r="S75" s="96"/>
      <c r="T75" s="96"/>
      <c r="U75" s="96"/>
      <c r="V75" s="182"/>
      <c r="W75" s="167"/>
      <c r="X75" s="182"/>
      <c r="Y75" s="96"/>
    </row>
    <row r="76" spans="1:26" x14ac:dyDescent="0.25">
      <c r="A76" s="183"/>
      <c r="B76" s="183" t="s">
        <v>331</v>
      </c>
      <c r="C76" s="183"/>
      <c r="D76" s="183"/>
      <c r="E76" s="182">
        <f>CertHR</f>
        <v>0</v>
      </c>
      <c r="F76" s="167" t="s">
        <v>330</v>
      </c>
      <c r="G76" s="181" t="e">
        <f>CertHRIncerti</f>
        <v>#N/A</v>
      </c>
      <c r="H76" s="167" t="s">
        <v>329</v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</row>
    <row r="77" spans="1:26" x14ac:dyDescent="0.25">
      <c r="A77" s="183"/>
      <c r="B77" s="183"/>
      <c r="C77" s="183"/>
      <c r="D77" s="183"/>
      <c r="E77" s="182"/>
      <c r="F77" s="167"/>
      <c r="G77" s="181"/>
      <c r="H77" s="167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</row>
    <row r="78" spans="1:26" x14ac:dyDescent="0.25">
      <c r="A78" s="183"/>
      <c r="B78" s="183"/>
      <c r="C78" s="183"/>
      <c r="D78" s="183"/>
      <c r="E78" s="182"/>
      <c r="F78" s="167"/>
      <c r="G78" s="181"/>
      <c r="H78" s="167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</row>
    <row r="79" spans="1:26" x14ac:dyDescent="0.25">
      <c r="A79" s="183"/>
      <c r="B79" s="183"/>
      <c r="C79" s="183"/>
      <c r="D79" s="183"/>
      <c r="E79" s="182"/>
      <c r="F79" s="167"/>
      <c r="G79" s="181"/>
      <c r="H79" s="167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</row>
    <row r="80" spans="1:26" x14ac:dyDescent="0.25">
      <c r="A80" s="183"/>
      <c r="B80" s="183"/>
      <c r="C80" s="183"/>
      <c r="D80" s="183"/>
      <c r="E80" s="182"/>
      <c r="F80" s="167"/>
      <c r="G80" s="181"/>
      <c r="H80" s="167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</row>
    <row r="81" spans="1:25" x14ac:dyDescent="0.25">
      <c r="A81" s="183"/>
      <c r="B81" s="183"/>
      <c r="C81" s="183"/>
      <c r="D81" s="183"/>
      <c r="E81" s="182"/>
      <c r="F81" s="167"/>
      <c r="G81" s="181"/>
      <c r="H81" s="167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 spans="1:25" x14ac:dyDescent="0.25">
      <c r="A82" s="183"/>
      <c r="B82" s="183"/>
      <c r="C82" s="183"/>
      <c r="D82" s="183"/>
      <c r="E82" s="182"/>
      <c r="F82" s="167"/>
      <c r="G82" s="181"/>
      <c r="H82" s="167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</row>
    <row r="83" spans="1:25" x14ac:dyDescent="0.25">
      <c r="A83" s="183"/>
      <c r="B83" s="183"/>
      <c r="C83" s="183"/>
      <c r="D83" s="183"/>
      <c r="E83" s="182"/>
      <c r="F83" s="167"/>
      <c r="G83" s="181"/>
      <c r="H83" s="167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</row>
    <row r="84" spans="1:25" x14ac:dyDescent="0.25">
      <c r="A84" s="183"/>
      <c r="B84" s="183"/>
      <c r="C84" s="183"/>
      <c r="D84" s="183"/>
      <c r="E84" s="182"/>
      <c r="F84" s="167"/>
      <c r="G84" s="181"/>
      <c r="H84" s="167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</row>
    <row r="85" spans="1:25" x14ac:dyDescent="0.25">
      <c r="A85" s="183"/>
      <c r="B85" s="183"/>
      <c r="C85" s="183"/>
      <c r="D85" s="183"/>
      <c r="E85" s="182"/>
      <c r="F85" s="167"/>
      <c r="G85" s="181"/>
      <c r="H85" s="167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</row>
    <row r="86" spans="1:25" x14ac:dyDescent="0.25">
      <c r="A86" s="175" t="s">
        <v>324</v>
      </c>
      <c r="B86" s="96"/>
      <c r="C86" s="178"/>
      <c r="D86" s="177"/>
      <c r="E86" s="177"/>
      <c r="F86" s="177"/>
      <c r="G86" s="96"/>
      <c r="H86" s="96"/>
      <c r="I86" s="96"/>
      <c r="J86" s="96"/>
      <c r="K86" s="96"/>
      <c r="L86" s="96"/>
      <c r="M86" s="96"/>
      <c r="N86" s="326" t="str">
        <f>N8</f>
        <v>NI-MC-T-1325-2023</v>
      </c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</row>
    <row r="87" spans="1:25" x14ac:dyDescent="0.25">
      <c r="A87" s="175"/>
      <c r="B87" s="96"/>
      <c r="C87" s="178"/>
      <c r="D87" s="177"/>
      <c r="E87" s="177"/>
      <c r="F87" s="177"/>
      <c r="G87" s="96"/>
      <c r="H87" s="96"/>
      <c r="I87" s="96"/>
      <c r="J87" s="96"/>
      <c r="K87" s="96"/>
      <c r="L87" s="96"/>
      <c r="M87" s="9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</row>
    <row r="88" spans="1:25" x14ac:dyDescent="0.25">
      <c r="A88" s="17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</row>
    <row r="89" spans="1:25" x14ac:dyDescent="0.25">
      <c r="A89" s="175" t="s">
        <v>328</v>
      </c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</row>
    <row r="90" spans="1:25" ht="15" customHeight="1" x14ac:dyDescent="0.25">
      <c r="A90" s="316" t="s">
        <v>327</v>
      </c>
      <c r="B90" s="316"/>
      <c r="C90" s="316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</row>
    <row r="91" spans="1:25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</row>
    <row r="92" spans="1:25" ht="15" customHeight="1" x14ac:dyDescent="0.25">
      <c r="A92" s="175" t="s">
        <v>326</v>
      </c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</row>
    <row r="93" spans="1:25" x14ac:dyDescent="0.25">
      <c r="A93" s="316" t="s">
        <v>325</v>
      </c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</row>
    <row r="94" spans="1:25" ht="15" customHeight="1" x14ac:dyDescent="0.25">
      <c r="A94" s="316"/>
      <c r="B94" s="316"/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</row>
    <row r="95" spans="1:25" ht="15" customHeight="1" x14ac:dyDescent="0.25">
      <c r="A95" s="316"/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</row>
    <row r="96" spans="1:25" x14ac:dyDescent="0.25">
      <c r="A96" s="316"/>
      <c r="B96" s="316"/>
      <c r="C96" s="316"/>
      <c r="D96" s="316"/>
      <c r="E96" s="316"/>
      <c r="F96" s="316"/>
      <c r="G96" s="316"/>
      <c r="H96" s="316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</row>
    <row r="97" spans="1:25" x14ac:dyDescent="0.25">
      <c r="A97" s="316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</row>
    <row r="98" spans="1:25" x14ac:dyDescent="0.25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</row>
    <row r="99" spans="1:25" x14ac:dyDescent="0.25">
      <c r="A99" s="175" t="s">
        <v>323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</row>
    <row r="100" spans="1:25" x14ac:dyDescent="0.25">
      <c r="A100" s="317" t="s">
        <v>162</v>
      </c>
      <c r="B100" s="317"/>
      <c r="C100" s="317"/>
      <c r="D100" s="317"/>
      <c r="E100" s="317" t="s">
        <v>322</v>
      </c>
      <c r="F100" s="317"/>
      <c r="G100" s="317"/>
      <c r="H100" s="317" t="s">
        <v>30</v>
      </c>
      <c r="I100" s="317"/>
      <c r="J100" s="317"/>
      <c r="K100" s="317"/>
      <c r="L100" s="317"/>
      <c r="M100" s="317"/>
      <c r="N100" s="317" t="s">
        <v>321</v>
      </c>
      <c r="O100" s="317"/>
      <c r="P100" s="317"/>
      <c r="Q100" s="317"/>
      <c r="R100" s="317"/>
      <c r="S100" s="317"/>
      <c r="T100" s="317"/>
      <c r="U100" s="317"/>
      <c r="V100" s="317"/>
      <c r="W100" s="317"/>
      <c r="X100" s="318" t="s">
        <v>320</v>
      </c>
      <c r="Y100" s="318"/>
    </row>
    <row r="101" spans="1:25" ht="26.45" customHeight="1" x14ac:dyDescent="0.25">
      <c r="A101" s="310" t="s">
        <v>319</v>
      </c>
      <c r="B101" s="310"/>
      <c r="C101" s="310"/>
      <c r="D101" s="310"/>
      <c r="E101" s="310" t="e">
        <f>General!$I$5</f>
        <v>#N/A</v>
      </c>
      <c r="F101" s="310"/>
      <c r="G101" s="310"/>
      <c r="H101" s="310">
        <f>General!$I$4</f>
        <v>0</v>
      </c>
      <c r="I101" s="310"/>
      <c r="J101" s="310"/>
      <c r="K101" s="310"/>
      <c r="L101" s="310"/>
      <c r="M101" s="310"/>
      <c r="N101" s="310" t="e">
        <f>VLOOKUP(H101,'BD Patron'!$C$6:$N$10,11,FALSE)</f>
        <v>#N/A</v>
      </c>
      <c r="O101" s="310"/>
      <c r="P101" s="310"/>
      <c r="Q101" s="310"/>
      <c r="R101" s="310"/>
      <c r="S101" s="310"/>
      <c r="T101" s="310"/>
      <c r="U101" s="310"/>
      <c r="V101" s="310"/>
      <c r="W101" s="310"/>
      <c r="X101" s="311" t="e">
        <f>VLOOKUP(H101,'BD Patron'!$C$6:$N$10,10,FALSE)+731</f>
        <v>#N/A</v>
      </c>
      <c r="Y101" s="311"/>
    </row>
    <row r="102" spans="1:25" ht="15" hidden="1" customHeight="1" x14ac:dyDescent="0.25">
      <c r="A102" s="310" t="s">
        <v>318</v>
      </c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  <c r="X102" s="311"/>
      <c r="Y102" s="311"/>
    </row>
    <row r="103" spans="1:25" ht="28.9" hidden="1" customHeight="1" x14ac:dyDescent="0.25">
      <c r="A103" s="310" t="str">
        <f>VLOOKUP(H103,'BD Patron'!$C$15:$U$24,2,FALSE)</f>
        <v>Baño de bloque seco</v>
      </c>
      <c r="B103" s="310"/>
      <c r="C103" s="310"/>
      <c r="D103" s="310"/>
      <c r="E103" s="310" t="str">
        <f>CONCATENATE(VLOOKUP(H103,'BD Patron'!$C$15:$U$24,3,FALSE), " ", VLOOKUP(H103,'BD Patron'!$C$15:$U$24,4,FALSE))</f>
        <v>Fluke 9171</v>
      </c>
      <c r="F103" s="310"/>
      <c r="G103" s="310"/>
      <c r="H103" s="310" t="str">
        <f>Calibración!$S$4</f>
        <v>NI-MCPT-37</v>
      </c>
      <c r="I103" s="310"/>
      <c r="J103" s="310"/>
      <c r="K103" s="310"/>
      <c r="L103" s="310"/>
      <c r="M103" s="310"/>
      <c r="N103" s="310" t="str">
        <f>CONCATENATE(VLOOKUP(H103,'BD Patron'!$C$15:$U$24,18,FALSE), " ",VLOOKUP(H103,'BD Patron'!$C$15:$U$24,19,FALSE))</f>
        <v>SCM Metrología y Laboratorios 20180507-28-1</v>
      </c>
      <c r="O103" s="310"/>
      <c r="P103" s="310"/>
      <c r="Q103" s="310"/>
      <c r="R103" s="310"/>
      <c r="S103" s="310"/>
      <c r="T103" s="310"/>
      <c r="U103" s="310"/>
      <c r="V103" s="310"/>
      <c r="W103" s="310"/>
      <c r="X103" s="311">
        <f>VLOOKUP(H103,'BD Patron'!$C$15:$U$24,17,FALSE)+365</f>
        <v>43595</v>
      </c>
      <c r="Y103" s="311"/>
    </row>
    <row r="104" spans="1:25" ht="28.15" customHeight="1" x14ac:dyDescent="0.25">
      <c r="A104" s="310" t="str">
        <f>VLOOKUP(H104,'BD Patron'!$C$16:$Q$25,2,FALSE)</f>
        <v>Termómetro Digital</v>
      </c>
      <c r="B104" s="310"/>
      <c r="C104" s="310"/>
      <c r="D104" s="310"/>
      <c r="E104" s="310" t="str">
        <f>CONCATENATE(VLOOKUP(H104,'BD Patron'!$C$16:$Q$25,3,FALSE), " ", VLOOKUP(H104,'BD Patron'!$C$16:$Q$25,4,FALSE))</f>
        <v>AccuMac/Fluke 5627A</v>
      </c>
      <c r="F104" s="310"/>
      <c r="G104" s="310"/>
      <c r="H104" s="310" t="str">
        <f>Calibración!$J$5</f>
        <v>NI-MCPT-05</v>
      </c>
      <c r="I104" s="310"/>
      <c r="J104" s="310"/>
      <c r="K104" s="310"/>
      <c r="L104" s="310"/>
      <c r="M104" s="310"/>
      <c r="N104" s="310" t="str">
        <f>CONCATENATE(VLOOKUP(H104,'BD Patron'!$C$15:$U$24,18,FALSE), " ",VLOOKUP(H104,'BD Patron'!$C$15:$U$24,19,FALSE))</f>
        <v>SCM Metrología y Laboratorios SCM-00039472</v>
      </c>
      <c r="O104" s="310"/>
      <c r="P104" s="310"/>
      <c r="Q104" s="310"/>
      <c r="R104" s="310"/>
      <c r="S104" s="310"/>
      <c r="T104" s="310"/>
      <c r="U104" s="310"/>
      <c r="V104" s="310"/>
      <c r="W104" s="310"/>
      <c r="X104" s="311">
        <f>VLOOKUP(H104,'BD Patron'!$C$15:$U$24,17,FALSE)+365</f>
        <v>45204</v>
      </c>
      <c r="Y104" s="311"/>
    </row>
    <row r="105" spans="1:25" x14ac:dyDescent="0.2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</row>
    <row r="106" spans="1:25" x14ac:dyDescent="0.25">
      <c r="A106" s="175" t="s">
        <v>248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</row>
    <row r="107" spans="1:25" ht="15" customHeight="1" x14ac:dyDescent="0.25">
      <c r="A107" s="173" t="s">
        <v>317</v>
      </c>
      <c r="B107" s="96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96"/>
    </row>
    <row r="108" spans="1:25" ht="15" customHeight="1" x14ac:dyDescent="0.25">
      <c r="A108" s="174" t="str">
        <f>'[4]Salida de Datos'!$F$8</f>
        <v>La corrección corresponde al valor del patrón menos las indicación del equipo.</v>
      </c>
      <c r="B108" s="96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96"/>
    </row>
    <row r="109" spans="1:25" ht="15" customHeight="1" x14ac:dyDescent="0.25">
      <c r="A109" s="174" t="str">
        <f>'[4]Salida de Datos'!$F$9</f>
        <v>La indicación de temperatura de referencia y del equipo, corresponden al promedio de 3 mediciones .</v>
      </c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</row>
    <row r="110" spans="1:25" x14ac:dyDescent="0.25">
      <c r="A110" s="174" t="str">
        <f>'[4]Salida de Datos'!$F$10</f>
        <v>El factor de conversión al SI corresponde a T(K) = t(°C) + 273,15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</row>
    <row r="111" spans="1:25" x14ac:dyDescent="0.25">
      <c r="A111" s="174" t="str">
        <f>'[4]Salida de Datos'!$F$11</f>
        <v>De acuerdo a lo establecido en NTON 07-004-01 Norma Metrológica del Sistema Internacional de Unidades (SI).</v>
      </c>
      <c r="B111" s="96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96"/>
    </row>
    <row r="112" spans="1:25" x14ac:dyDescent="0.25">
      <c r="A112" s="173" t="s">
        <v>316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</row>
    <row r="113" spans="1:25" x14ac:dyDescent="0.25">
      <c r="A113" s="173" t="s">
        <v>315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</row>
    <row r="114" spans="1:25" x14ac:dyDescent="0.25">
      <c r="A114" s="96" t="s">
        <v>314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172"/>
      <c r="S114" s="172"/>
      <c r="T114" s="96"/>
      <c r="U114" s="96"/>
      <c r="V114" s="96"/>
      <c r="W114" s="96"/>
      <c r="X114" s="96"/>
      <c r="Y114" s="96"/>
    </row>
    <row r="115" spans="1:25" x14ac:dyDescent="0.25">
      <c r="A115" s="96" t="s">
        <v>313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171"/>
      <c r="S115" s="171"/>
      <c r="T115" s="171"/>
      <c r="U115" s="171"/>
      <c r="V115" s="171"/>
      <c r="Y115" s="96"/>
    </row>
    <row r="116" spans="1:25" x14ac:dyDescent="0.25">
      <c r="A116" s="173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</row>
    <row r="119" spans="1:25" x14ac:dyDescent="0.25">
      <c r="I119" s="314" t="s">
        <v>85</v>
      </c>
      <c r="J119" s="314"/>
      <c r="K119" s="314"/>
      <c r="L119" s="314"/>
      <c r="M119" s="314"/>
      <c r="N119" s="314"/>
      <c r="O119" s="314"/>
      <c r="P119" s="314"/>
    </row>
    <row r="120" spans="1:25" x14ac:dyDescent="0.25">
      <c r="I120" s="315" t="s">
        <v>312</v>
      </c>
      <c r="J120" s="315"/>
      <c r="K120" s="315"/>
      <c r="L120" s="315"/>
      <c r="M120" s="315"/>
      <c r="N120" s="315"/>
      <c r="O120" s="315"/>
      <c r="P120" s="315"/>
    </row>
    <row r="121" spans="1:25" x14ac:dyDescent="0.25">
      <c r="I121" s="312" t="s">
        <v>311</v>
      </c>
      <c r="J121" s="312"/>
      <c r="K121" s="312"/>
      <c r="L121" s="312"/>
      <c r="M121" s="312"/>
      <c r="N121" s="312"/>
      <c r="O121" s="312"/>
      <c r="P121" s="312"/>
    </row>
    <row r="123" spans="1:25" x14ac:dyDescent="0.25">
      <c r="I123" s="313" t="s">
        <v>310</v>
      </c>
      <c r="J123" s="313"/>
      <c r="K123" s="313"/>
      <c r="L123" s="313"/>
      <c r="M123" s="313"/>
      <c r="N123" s="313"/>
      <c r="O123" s="313"/>
      <c r="P123" s="313"/>
    </row>
  </sheetData>
  <mergeCells count="149">
    <mergeCell ref="D37:E37"/>
    <mergeCell ref="F37:K37"/>
    <mergeCell ref="L37:Q37"/>
    <mergeCell ref="R37:X37"/>
    <mergeCell ref="D38:E38"/>
    <mergeCell ref="F38:K38"/>
    <mergeCell ref="L38:Q38"/>
    <mergeCell ref="R38:X38"/>
    <mergeCell ref="D68:E68"/>
    <mergeCell ref="F68:K68"/>
    <mergeCell ref="L68:Q68"/>
    <mergeCell ref="R68:X68"/>
    <mergeCell ref="D63:E63"/>
    <mergeCell ref="F63:K63"/>
    <mergeCell ref="L63:Q63"/>
    <mergeCell ref="R63:X63"/>
    <mergeCell ref="D64:E64"/>
    <mergeCell ref="F64:K64"/>
    <mergeCell ref="L64:Q64"/>
    <mergeCell ref="R64:X64"/>
    <mergeCell ref="R34:X34"/>
    <mergeCell ref="D35:E35"/>
    <mergeCell ref="F35:K35"/>
    <mergeCell ref="L35:Q35"/>
    <mergeCell ref="R35:X35"/>
    <mergeCell ref="D36:E36"/>
    <mergeCell ref="F36:K36"/>
    <mergeCell ref="L36:Q36"/>
    <mergeCell ref="R36:X36"/>
    <mergeCell ref="N15:Y15"/>
    <mergeCell ref="N17:Y17"/>
    <mergeCell ref="N11:R11"/>
    <mergeCell ref="L26:Q27"/>
    <mergeCell ref="R26:X27"/>
    <mergeCell ref="N21:Y22"/>
    <mergeCell ref="N16:Y16"/>
    <mergeCell ref="N8:Y8"/>
    <mergeCell ref="N9:Y9"/>
    <mergeCell ref="N10:Y10"/>
    <mergeCell ref="N12:Y12"/>
    <mergeCell ref="N13:Y13"/>
    <mergeCell ref="N14:Y14"/>
    <mergeCell ref="D30:E30"/>
    <mergeCell ref="F30:K30"/>
    <mergeCell ref="L30:Q30"/>
    <mergeCell ref="R30:X30"/>
    <mergeCell ref="N18:Y18"/>
    <mergeCell ref="N19:Y19"/>
    <mergeCell ref="N20:Y20"/>
    <mergeCell ref="D25:X25"/>
    <mergeCell ref="D26:E27"/>
    <mergeCell ref="F26:K27"/>
    <mergeCell ref="D28:E28"/>
    <mergeCell ref="F28:K28"/>
    <mergeCell ref="L28:Q28"/>
    <mergeCell ref="R28:X28"/>
    <mergeCell ref="D29:E29"/>
    <mergeCell ref="F29:K29"/>
    <mergeCell ref="L29:Q29"/>
    <mergeCell ref="R29:X29"/>
    <mergeCell ref="D33:E33"/>
    <mergeCell ref="F33:K33"/>
    <mergeCell ref="L33:Q33"/>
    <mergeCell ref="R33:X33"/>
    <mergeCell ref="D31:E31"/>
    <mergeCell ref="F31:K31"/>
    <mergeCell ref="L31:Q31"/>
    <mergeCell ref="R31:X31"/>
    <mergeCell ref="R62:X62"/>
    <mergeCell ref="D60:E61"/>
    <mergeCell ref="F60:K61"/>
    <mergeCell ref="L60:Q61"/>
    <mergeCell ref="R60:X61"/>
    <mergeCell ref="D32:E32"/>
    <mergeCell ref="F32:K32"/>
    <mergeCell ref="L32:Q32"/>
    <mergeCell ref="R32:X32"/>
    <mergeCell ref="D59:X59"/>
    <mergeCell ref="D62:E62"/>
    <mergeCell ref="F62:K62"/>
    <mergeCell ref="L62:Q62"/>
    <mergeCell ref="D34:E34"/>
    <mergeCell ref="F34:K34"/>
    <mergeCell ref="L34:Q34"/>
    <mergeCell ref="N102:W102"/>
    <mergeCell ref="X102:Y102"/>
    <mergeCell ref="D65:E65"/>
    <mergeCell ref="F65:K65"/>
    <mergeCell ref="L65:Q65"/>
    <mergeCell ref="R65:X65"/>
    <mergeCell ref="N86:Y86"/>
    <mergeCell ref="R67:X67"/>
    <mergeCell ref="B75:D75"/>
    <mergeCell ref="A90:Y90"/>
    <mergeCell ref="D69:E69"/>
    <mergeCell ref="F69:K69"/>
    <mergeCell ref="L69:Q69"/>
    <mergeCell ref="R69:X69"/>
    <mergeCell ref="D70:E70"/>
    <mergeCell ref="F70:K70"/>
    <mergeCell ref="L70:Q70"/>
    <mergeCell ref="R70:X70"/>
    <mergeCell ref="D71:E71"/>
    <mergeCell ref="F71:K71"/>
    <mergeCell ref="L71:Q71"/>
    <mergeCell ref="R71:X71"/>
    <mergeCell ref="D72:E72"/>
    <mergeCell ref="F72:K72"/>
    <mergeCell ref="E101:G101"/>
    <mergeCell ref="H101:M101"/>
    <mergeCell ref="N101:W101"/>
    <mergeCell ref="X101:Y101"/>
    <mergeCell ref="R66:X66"/>
    <mergeCell ref="D67:E67"/>
    <mergeCell ref="F67:K67"/>
    <mergeCell ref="L67:Q67"/>
    <mergeCell ref="D66:E66"/>
    <mergeCell ref="F66:K66"/>
    <mergeCell ref="L66:Q66"/>
    <mergeCell ref="L72:Q72"/>
    <mergeCell ref="R72:X72"/>
    <mergeCell ref="D73:E73"/>
    <mergeCell ref="F73:K73"/>
    <mergeCell ref="L73:Q73"/>
    <mergeCell ref="R73:X73"/>
    <mergeCell ref="I121:P121"/>
    <mergeCell ref="I123:P123"/>
    <mergeCell ref="A93:Y97"/>
    <mergeCell ref="I119:P119"/>
    <mergeCell ref="I120:P120"/>
    <mergeCell ref="A100:D100"/>
    <mergeCell ref="E100:G100"/>
    <mergeCell ref="H100:M100"/>
    <mergeCell ref="N100:W100"/>
    <mergeCell ref="X100:Y100"/>
    <mergeCell ref="X104:Y104"/>
    <mergeCell ref="A103:D103"/>
    <mergeCell ref="A101:D101"/>
    <mergeCell ref="E104:G104"/>
    <mergeCell ref="H104:M104"/>
    <mergeCell ref="N104:W104"/>
    <mergeCell ref="A102:D102"/>
    <mergeCell ref="A104:D104"/>
    <mergeCell ref="E103:G103"/>
    <mergeCell ref="H103:M103"/>
    <mergeCell ref="N103:W103"/>
    <mergeCell ref="X103:Y103"/>
    <mergeCell ref="E102:G102"/>
    <mergeCell ref="H102:M102"/>
  </mergeCells>
  <conditionalFormatting sqref="A114">
    <cfRule type="cellIs" priority="1" operator="equal">
      <formula>$D$27</formula>
    </cfRule>
  </conditionalFormatting>
  <conditionalFormatting sqref="A115">
    <cfRule type="cellIs" priority="2" operator="equal">
      <formula>$F$29</formula>
    </cfRule>
  </conditionalFormatting>
  <conditionalFormatting sqref="A116">
    <cfRule type="cellIs" priority="3" operator="equal">
      <formula>$D$28</formula>
    </cfRule>
  </conditionalFormatting>
  <printOptions horizontalCentered="1"/>
  <pageMargins left="0.51" right="0.51" top="0.51" bottom="0.51" header="0" footer="0.31"/>
  <pageSetup orientation="portrait" horizontalDpi="4294967293" verticalDpi="4294967293" r:id="rId1"/>
  <headerFooter>
    <oddHeader>&amp;C
&amp;G</oddHeader>
    <oddFooter xml:space="preserve">&amp;C&amp;G&amp;R&amp;"Arial,Normal"&amp;7Página &amp;Pde&amp;N&amp;8
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8:Z122"/>
  <sheetViews>
    <sheetView tabSelected="1" view="pageLayout" zoomScaleNormal="40" zoomScaleSheetLayoutView="100" workbookViewId="0">
      <selection activeCell="Q46" sqref="Q46"/>
    </sheetView>
  </sheetViews>
  <sheetFormatPr defaultColWidth="11.42578125" defaultRowHeight="15" x14ac:dyDescent="0.25"/>
  <cols>
    <col min="1" max="1" width="3.5703125" customWidth="1"/>
    <col min="2" max="2" width="3.140625" customWidth="1"/>
    <col min="3" max="3" width="0.140625" hidden="1" customWidth="1"/>
    <col min="4" max="4" width="12.42578125" customWidth="1"/>
    <col min="5" max="5" width="4.42578125" customWidth="1"/>
    <col min="6" max="6" width="3.5703125" customWidth="1"/>
    <col min="7" max="7" width="4.85546875" customWidth="1"/>
    <col min="8" max="9" width="3" customWidth="1"/>
    <col min="10" max="10" width="2.5703125" customWidth="1"/>
    <col min="11" max="11" width="3" customWidth="1"/>
    <col min="12" max="12" width="4.140625" customWidth="1"/>
    <col min="13" max="13" width="4.42578125" customWidth="1"/>
    <col min="14" max="15" width="2.42578125" customWidth="1"/>
    <col min="16" max="17" width="3.42578125" customWidth="1"/>
    <col min="18" max="18" width="4" customWidth="1"/>
    <col min="19" max="21" width="2.42578125" customWidth="1"/>
    <col min="22" max="22" width="4.42578125" customWidth="1"/>
    <col min="23" max="23" width="2.42578125" customWidth="1"/>
    <col min="24" max="24" width="3.5703125" customWidth="1"/>
    <col min="25" max="25" width="6.42578125" customWidth="1"/>
  </cols>
  <sheetData>
    <row r="8" spans="1:25" x14ac:dyDescent="0.25">
      <c r="A8" s="175" t="s">
        <v>324</v>
      </c>
      <c r="B8" s="178"/>
      <c r="C8" s="177"/>
      <c r="E8" s="177"/>
      <c r="F8" s="177"/>
      <c r="G8" s="185"/>
      <c r="H8" s="185"/>
      <c r="I8" s="185"/>
      <c r="J8" s="185"/>
      <c r="K8" s="185"/>
      <c r="L8" s="96"/>
      <c r="M8" s="96"/>
      <c r="N8" s="326" t="str">
        <f>General!F3</f>
        <v>NI-MC-T-1325-2023</v>
      </c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</row>
    <row r="9" spans="1:25" x14ac:dyDescent="0.25">
      <c r="A9" s="175" t="s">
        <v>349</v>
      </c>
      <c r="B9" s="178"/>
      <c r="C9" s="177"/>
      <c r="E9" s="177"/>
      <c r="F9" s="177"/>
      <c r="G9" s="185"/>
      <c r="H9" s="185"/>
      <c r="I9" s="185"/>
      <c r="J9" s="185"/>
      <c r="K9" s="185"/>
      <c r="L9" s="96"/>
      <c r="M9" s="96"/>
      <c r="N9" s="347" t="str">
        <f>General!F4</f>
        <v>NI-CS-0063-23</v>
      </c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</row>
    <row r="10" spans="1:25" x14ac:dyDescent="0.25">
      <c r="A10" s="175" t="s">
        <v>348</v>
      </c>
      <c r="B10" s="178"/>
      <c r="C10" s="178"/>
      <c r="E10" s="178"/>
      <c r="F10" s="178"/>
      <c r="G10" s="185"/>
      <c r="H10" s="185"/>
      <c r="I10" s="185"/>
      <c r="J10" s="185"/>
      <c r="K10" s="185"/>
      <c r="L10" s="188"/>
      <c r="M10" s="96"/>
      <c r="N10" s="348">
        <f>General!F5</f>
        <v>44964</v>
      </c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</row>
    <row r="11" spans="1:25" x14ac:dyDescent="0.25">
      <c r="A11" s="175" t="s">
        <v>347</v>
      </c>
      <c r="B11" s="178"/>
      <c r="C11" s="178"/>
      <c r="E11" s="178"/>
      <c r="F11" s="178"/>
      <c r="G11" s="185"/>
      <c r="H11" s="185"/>
      <c r="I11" s="185"/>
      <c r="J11" s="185"/>
      <c r="K11" s="185"/>
      <c r="L11" s="188"/>
      <c r="M11" s="96"/>
      <c r="N11" s="348">
        <f ca="1">NOW()</f>
        <v>46188.488317939817</v>
      </c>
      <c r="O11" s="348"/>
      <c r="P11" s="348"/>
      <c r="Q11" s="348"/>
      <c r="R11" s="348"/>
      <c r="S11" s="187"/>
      <c r="T11" s="187"/>
      <c r="U11" s="187"/>
      <c r="V11" s="187"/>
      <c r="W11" s="187"/>
      <c r="X11" s="187"/>
      <c r="Y11" s="187"/>
    </row>
    <row r="12" spans="1:25" x14ac:dyDescent="0.25">
      <c r="A12" s="175" t="s">
        <v>346</v>
      </c>
      <c r="B12" s="178"/>
      <c r="C12" s="178"/>
      <c r="E12" s="178"/>
      <c r="F12" s="178"/>
      <c r="G12" s="185"/>
      <c r="H12" s="185"/>
      <c r="I12" s="185"/>
      <c r="J12" s="185"/>
      <c r="K12" s="185"/>
      <c r="L12" s="96"/>
      <c r="M12" s="96"/>
      <c r="N12" s="349">
        <f>General!F7</f>
        <v>0</v>
      </c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</row>
    <row r="13" spans="1:25" x14ac:dyDescent="0.25">
      <c r="A13" s="175" t="s">
        <v>345</v>
      </c>
      <c r="B13" s="178"/>
      <c r="C13" s="178"/>
      <c r="E13" s="178"/>
      <c r="F13" s="178"/>
      <c r="G13" s="185"/>
      <c r="H13" s="185"/>
      <c r="I13" s="185"/>
      <c r="J13" s="185"/>
      <c r="K13" s="185"/>
      <c r="L13" s="96"/>
      <c r="M13" s="96"/>
      <c r="N13" s="347">
        <f>General!F8</f>
        <v>0</v>
      </c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</row>
    <row r="14" spans="1:25" x14ac:dyDescent="0.25">
      <c r="A14" s="175" t="s">
        <v>344</v>
      </c>
      <c r="B14" s="178"/>
      <c r="C14" s="178"/>
      <c r="E14" s="178"/>
      <c r="F14" s="178"/>
      <c r="G14" s="185"/>
      <c r="H14" s="185"/>
      <c r="I14" s="185"/>
      <c r="J14" s="185"/>
      <c r="K14" s="185"/>
      <c r="L14" s="96"/>
      <c r="M14" s="96"/>
      <c r="N14" s="347">
        <f>General!F10</f>
        <v>0</v>
      </c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</row>
    <row r="15" spans="1:25" x14ac:dyDescent="0.25">
      <c r="A15" s="175" t="s">
        <v>343</v>
      </c>
      <c r="B15" s="178"/>
      <c r="C15" s="178"/>
      <c r="E15" s="178"/>
      <c r="F15" s="178"/>
      <c r="G15" s="185"/>
      <c r="H15" s="185"/>
      <c r="I15" s="185"/>
      <c r="J15" s="185"/>
      <c r="K15" s="185"/>
      <c r="L15" s="96"/>
      <c r="M15" s="96"/>
      <c r="N15" s="347">
        <f>General!F9</f>
        <v>0</v>
      </c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</row>
    <row r="16" spans="1:25" x14ac:dyDescent="0.25">
      <c r="A16" s="175" t="s">
        <v>342</v>
      </c>
      <c r="B16" s="178"/>
      <c r="C16" s="178"/>
      <c r="E16" s="178"/>
      <c r="F16" s="178"/>
      <c r="G16" s="185"/>
      <c r="H16" s="185"/>
      <c r="I16" s="185"/>
      <c r="J16" s="185"/>
      <c r="K16" s="185"/>
      <c r="L16" s="96"/>
      <c r="M16" s="96"/>
      <c r="N16" s="347">
        <f>General!F11</f>
        <v>0</v>
      </c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</row>
    <row r="17" spans="1:25" x14ac:dyDescent="0.25">
      <c r="A17" s="175" t="s">
        <v>341</v>
      </c>
      <c r="B17" s="178"/>
      <c r="C17" s="178"/>
      <c r="E17" s="178"/>
      <c r="F17" s="178"/>
      <c r="G17" s="185"/>
      <c r="H17" s="185"/>
      <c r="I17" s="185"/>
      <c r="J17" s="185"/>
      <c r="K17" s="185"/>
      <c r="L17" s="96"/>
      <c r="M17" s="96"/>
      <c r="N17" s="347">
        <f>General!F12</f>
        <v>0</v>
      </c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</row>
    <row r="18" spans="1:25" x14ac:dyDescent="0.25">
      <c r="A18" s="175" t="s">
        <v>340</v>
      </c>
      <c r="B18" s="178"/>
      <c r="C18" s="178"/>
      <c r="E18" s="178"/>
      <c r="F18" s="178"/>
      <c r="G18" s="185"/>
      <c r="H18" s="185"/>
      <c r="I18" s="185"/>
      <c r="J18" s="185"/>
      <c r="K18" s="185"/>
      <c r="L18" s="96"/>
      <c r="M18" s="96"/>
      <c r="N18" s="347">
        <f>General!F6</f>
        <v>0</v>
      </c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</row>
    <row r="19" spans="1:25" x14ac:dyDescent="0.25">
      <c r="A19" s="175" t="s">
        <v>339</v>
      </c>
      <c r="B19" s="178"/>
      <c r="C19" s="178"/>
      <c r="E19" s="178"/>
      <c r="F19" s="178"/>
      <c r="G19" s="185"/>
      <c r="H19" s="185"/>
      <c r="I19" s="185"/>
      <c r="J19" s="185"/>
      <c r="K19" s="185"/>
      <c r="L19" s="96"/>
      <c r="M19" s="96"/>
      <c r="N19" s="347" t="str">
        <f>General!L3</f>
        <v xml:space="preserve">Agricola Nicavista </v>
      </c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</row>
    <row r="20" spans="1:25" x14ac:dyDescent="0.25">
      <c r="A20" s="186" t="s">
        <v>338</v>
      </c>
      <c r="B20" s="178"/>
      <c r="C20" s="178"/>
      <c r="E20" s="178"/>
      <c r="F20" s="178"/>
      <c r="G20" s="185"/>
      <c r="H20" s="185"/>
      <c r="I20" s="185"/>
      <c r="J20" s="185"/>
      <c r="K20" s="185"/>
      <c r="L20" s="96"/>
      <c r="M20" s="96"/>
      <c r="N20" s="347" t="str">
        <f>General!L4</f>
        <v>Ciudad Rama, Atlántico Sur, Nicaragua</v>
      </c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</row>
    <row r="21" spans="1:25" ht="17.25" customHeight="1" x14ac:dyDescent="0.25">
      <c r="A21" s="175" t="s">
        <v>337</v>
      </c>
      <c r="C21" s="178"/>
      <c r="D21" s="178"/>
      <c r="E21" s="178"/>
      <c r="F21" s="178"/>
      <c r="G21" s="185"/>
      <c r="H21" s="185"/>
      <c r="I21" s="185"/>
      <c r="J21" s="185"/>
      <c r="K21" s="185"/>
      <c r="L21" s="184"/>
      <c r="M21" s="96"/>
      <c r="N21" s="350" t="str">
        <f>General!L5</f>
        <v>Laboratorio</v>
      </c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</row>
    <row r="22" spans="1:25" ht="17.25" customHeight="1" x14ac:dyDescent="0.25">
      <c r="A22" s="175"/>
      <c r="C22" s="178"/>
      <c r="D22" s="178"/>
      <c r="E22" s="178"/>
      <c r="F22" s="178"/>
      <c r="G22" s="185"/>
      <c r="H22" s="185"/>
      <c r="I22" s="185"/>
      <c r="J22" s="185"/>
      <c r="K22" s="185"/>
      <c r="L22" s="184"/>
      <c r="M22" s="96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</row>
    <row r="23" spans="1:25" x14ac:dyDescent="0.25">
      <c r="A23" s="175" t="s">
        <v>336</v>
      </c>
      <c r="C23" s="178"/>
      <c r="D23" s="178"/>
      <c r="E23" s="178"/>
      <c r="F23" s="178"/>
    </row>
    <row r="24" spans="1:25" ht="11.25" customHeight="1" x14ac:dyDescent="0.25"/>
    <row r="25" spans="1:25" x14ac:dyDescent="0.25">
      <c r="A25" s="96"/>
      <c r="B25" s="96"/>
      <c r="C25" s="96"/>
      <c r="D25" s="351" t="s">
        <v>261</v>
      </c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</row>
    <row r="26" spans="1:25" ht="15" customHeight="1" x14ac:dyDescent="0.25">
      <c r="A26" s="96"/>
      <c r="B26" s="96"/>
      <c r="C26" s="96"/>
      <c r="D26" s="352" t="s">
        <v>259</v>
      </c>
      <c r="E26" s="352"/>
      <c r="F26" s="334" t="s">
        <v>335</v>
      </c>
      <c r="G26" s="338"/>
      <c r="H26" s="338"/>
      <c r="I26" s="338"/>
      <c r="J26" s="338"/>
      <c r="K26" s="335"/>
      <c r="L26" s="353" t="s">
        <v>258</v>
      </c>
      <c r="M26" s="353"/>
      <c r="N26" s="353"/>
      <c r="O26" s="353"/>
      <c r="P26" s="353"/>
      <c r="Q26" s="353"/>
      <c r="R26" s="352" t="s">
        <v>334</v>
      </c>
      <c r="S26" s="352"/>
      <c r="T26" s="352"/>
      <c r="U26" s="352"/>
      <c r="V26" s="352"/>
      <c r="W26" s="352"/>
      <c r="X26" s="352"/>
    </row>
    <row r="27" spans="1:25" ht="14.25" customHeight="1" x14ac:dyDescent="0.25">
      <c r="A27" s="96"/>
      <c r="B27" s="96"/>
      <c r="C27" s="96"/>
      <c r="D27" s="352"/>
      <c r="E27" s="352"/>
      <c r="F27" s="336"/>
      <c r="G27" s="339"/>
      <c r="H27" s="339"/>
      <c r="I27" s="339"/>
      <c r="J27" s="339"/>
      <c r="K27" s="337"/>
      <c r="L27" s="353"/>
      <c r="M27" s="353"/>
      <c r="N27" s="353"/>
      <c r="O27" s="353"/>
      <c r="P27" s="353"/>
      <c r="Q27" s="353"/>
      <c r="R27" s="352"/>
      <c r="S27" s="352"/>
      <c r="T27" s="352"/>
      <c r="U27" s="352"/>
      <c r="V27" s="352"/>
      <c r="W27" s="352"/>
      <c r="X27" s="352"/>
    </row>
    <row r="28" spans="1:25" x14ac:dyDescent="0.25">
      <c r="A28" s="96"/>
      <c r="B28" s="96"/>
      <c r="C28" s="96"/>
      <c r="D28" s="330" t="str">
        <f>Calibración!C31</f>
        <v>°C</v>
      </c>
      <c r="E28" s="346"/>
      <c r="F28" s="327" t="str">
        <f>Calibración!D31</f>
        <v>°C</v>
      </c>
      <c r="G28" s="329"/>
      <c r="H28" s="329"/>
      <c r="I28" s="329"/>
      <c r="J28" s="329"/>
      <c r="K28" s="328"/>
      <c r="L28" s="346" t="str">
        <f>Calibración!E31</f>
        <v>°C</v>
      </c>
      <c r="M28" s="346"/>
      <c r="N28" s="346"/>
      <c r="O28" s="346"/>
      <c r="P28" s="346"/>
      <c r="Q28" s="346"/>
      <c r="R28" s="346" t="str">
        <f>Calibración!F31</f>
        <v>°C</v>
      </c>
      <c r="S28" s="346"/>
      <c r="T28" s="346"/>
      <c r="U28" s="346"/>
      <c r="V28" s="346"/>
      <c r="W28" s="346"/>
      <c r="X28" s="346"/>
    </row>
    <row r="29" spans="1:25" x14ac:dyDescent="0.25">
      <c r="A29" s="96"/>
      <c r="B29" s="96"/>
      <c r="C29" s="96"/>
      <c r="D29" s="330" t="str">
        <f ca="1">IFERROR(FIXED(Calibración!C32,decim+1),"")</f>
        <v>0.00</v>
      </c>
      <c r="E29" s="330"/>
      <c r="F29" s="330" t="str">
        <f>IFERROR(FIXED(Calibración!D32,decim),"")</f>
        <v>0.0</v>
      </c>
      <c r="G29" s="330"/>
      <c r="H29" s="330"/>
      <c r="I29" s="330"/>
      <c r="J29" s="330"/>
      <c r="K29" s="330"/>
      <c r="L29" s="330" t="str">
        <f ca="1">IFERROR(FIXED(Calibración!E32,decim),"")</f>
        <v>0.0</v>
      </c>
      <c r="M29" s="330"/>
      <c r="N29" s="330"/>
      <c r="O29" s="330"/>
      <c r="P29" s="330"/>
      <c r="Q29" s="330"/>
      <c r="R29" s="330" t="str">
        <f ca="1">IFERROR(IF(D29="","",FIXED(Calibración!F32,decim+1)),"")</f>
        <v>0.12</v>
      </c>
      <c r="S29" s="330"/>
      <c r="T29" s="330"/>
      <c r="U29" s="330"/>
      <c r="V29" s="330"/>
      <c r="W29" s="330"/>
      <c r="X29" s="330"/>
    </row>
    <row r="30" spans="1:25" x14ac:dyDescent="0.25">
      <c r="A30" s="96"/>
      <c r="B30" s="96"/>
      <c r="C30" s="96"/>
      <c r="D30" s="330" t="str">
        <f ca="1">IFERROR(FIXED(Calibración!C33,decim+1),"")</f>
        <v>0.00</v>
      </c>
      <c r="E30" s="330"/>
      <c r="F30" s="330" t="str">
        <f>IFERROR(FIXED(Calibración!D33,decim),"")</f>
        <v>0.0</v>
      </c>
      <c r="G30" s="330"/>
      <c r="H30" s="330"/>
      <c r="I30" s="330"/>
      <c r="J30" s="330"/>
      <c r="K30" s="330"/>
      <c r="L30" s="330" t="str">
        <f ca="1">IFERROR(FIXED(Calibración!E33,decim),"")</f>
        <v>0.0</v>
      </c>
      <c r="M30" s="330"/>
      <c r="N30" s="330"/>
      <c r="O30" s="330"/>
      <c r="P30" s="330"/>
      <c r="Q30" s="330"/>
      <c r="R30" s="330" t="str">
        <f ca="1">IFERROR(IF(D30="","",FIXED(Calibración!F33,decim+1)),"")</f>
        <v>0.12</v>
      </c>
      <c r="S30" s="330"/>
      <c r="T30" s="330"/>
      <c r="U30" s="330"/>
      <c r="V30" s="330"/>
      <c r="W30" s="330"/>
      <c r="X30" s="330"/>
    </row>
    <row r="31" spans="1:25" x14ac:dyDescent="0.25">
      <c r="A31" s="96"/>
      <c r="B31" s="96"/>
      <c r="C31" s="96"/>
      <c r="D31" s="330" t="str">
        <f ca="1">IFERROR(FIXED(Calibración!C34,decim+1),"")</f>
        <v>0.00</v>
      </c>
      <c r="E31" s="330"/>
      <c r="F31" s="330" t="str">
        <f>IFERROR(FIXED(Calibración!D34,decim),"")</f>
        <v>0.0</v>
      </c>
      <c r="G31" s="330"/>
      <c r="H31" s="330"/>
      <c r="I31" s="330"/>
      <c r="J31" s="330"/>
      <c r="K31" s="330"/>
      <c r="L31" s="330" t="str">
        <f ca="1">IFERROR(FIXED(Calibración!E34,decim),"")</f>
        <v>0.0</v>
      </c>
      <c r="M31" s="330"/>
      <c r="N31" s="330"/>
      <c r="O31" s="330"/>
      <c r="P31" s="330"/>
      <c r="Q31" s="330"/>
      <c r="R31" s="330" t="str">
        <f ca="1">IFERROR(IF(D31="","",FIXED(Calibración!F34,decim+1)),"")</f>
        <v>0.12</v>
      </c>
      <c r="S31" s="330"/>
      <c r="T31" s="330"/>
      <c r="U31" s="330"/>
      <c r="V31" s="330"/>
      <c r="W31" s="330"/>
      <c r="X31" s="330"/>
    </row>
    <row r="32" spans="1:25" x14ac:dyDescent="0.25">
      <c r="A32" s="96"/>
      <c r="B32" s="96"/>
      <c r="C32" s="96"/>
      <c r="D32" s="330" t="str">
        <f ca="1">IFERROR(FIXED(Calibración!C35,decim+1),"")</f>
        <v>0.00</v>
      </c>
      <c r="E32" s="330"/>
      <c r="F32" s="330" t="str">
        <f>IFERROR(FIXED(Calibración!D35,decim),"")</f>
        <v>0.0</v>
      </c>
      <c r="G32" s="330"/>
      <c r="H32" s="330"/>
      <c r="I32" s="330"/>
      <c r="J32" s="330"/>
      <c r="K32" s="330"/>
      <c r="L32" s="330" t="str">
        <f ca="1">IFERROR(FIXED(Calibración!E35,decim),"")</f>
        <v>0.0</v>
      </c>
      <c r="M32" s="330"/>
      <c r="N32" s="330"/>
      <c r="O32" s="330"/>
      <c r="P32" s="330"/>
      <c r="Q32" s="330"/>
      <c r="R32" s="330" t="str">
        <f ca="1">IFERROR(IF(D32="","",FIXED(Calibración!F35,decim+1)),"")</f>
        <v>0.12</v>
      </c>
      <c r="S32" s="330"/>
      <c r="T32" s="330"/>
      <c r="U32" s="330"/>
      <c r="V32" s="330"/>
      <c r="W32" s="330"/>
      <c r="X32" s="330"/>
    </row>
    <row r="33" spans="1:24" x14ac:dyDescent="0.25">
      <c r="A33" s="96"/>
      <c r="B33" s="96"/>
      <c r="C33" s="96"/>
      <c r="D33" s="330" t="str">
        <f ca="1">IFERROR(FIXED(Calibración!C36,decim+1),"")</f>
        <v>0.00</v>
      </c>
      <c r="E33" s="330"/>
      <c r="F33" s="330" t="str">
        <f>IFERROR(FIXED(Calibración!D36,decim),"")</f>
        <v>0.0</v>
      </c>
      <c r="G33" s="330"/>
      <c r="H33" s="330"/>
      <c r="I33" s="330"/>
      <c r="J33" s="330"/>
      <c r="K33" s="330"/>
      <c r="L33" s="330" t="str">
        <f ca="1">IFERROR(FIXED(Calibración!E36,decim),"")</f>
        <v>0.0</v>
      </c>
      <c r="M33" s="330"/>
      <c r="N33" s="330"/>
      <c r="O33" s="330"/>
      <c r="P33" s="330"/>
      <c r="Q33" s="330"/>
      <c r="R33" s="330" t="str">
        <f ca="1">IFERROR(IF(D33="","",FIXED(Calibración!F36,decim+1)),"")</f>
        <v>0.12</v>
      </c>
      <c r="S33" s="330"/>
      <c r="T33" s="330"/>
      <c r="U33" s="330"/>
      <c r="V33" s="330"/>
      <c r="W33" s="330"/>
      <c r="X33" s="330"/>
    </row>
    <row r="34" spans="1:24" x14ac:dyDescent="0.25">
      <c r="A34" s="96"/>
      <c r="B34" s="96"/>
      <c r="C34" s="96"/>
      <c r="D34" s="330" t="str">
        <f ca="1">IFERROR(FIXED(Calibración!C37,decim+1),"")</f>
        <v>0.00</v>
      </c>
      <c r="E34" s="330"/>
      <c r="F34" s="330" t="str">
        <f>IFERROR(FIXED(Calibración!D37,decim),"")</f>
        <v>0.0</v>
      </c>
      <c r="G34" s="330"/>
      <c r="H34" s="330"/>
      <c r="I34" s="330"/>
      <c r="J34" s="330"/>
      <c r="K34" s="330"/>
      <c r="L34" s="330" t="str">
        <f ca="1">IFERROR(FIXED(Calibración!E37,decim),"")</f>
        <v>0.0</v>
      </c>
      <c r="M34" s="330"/>
      <c r="N34" s="330"/>
      <c r="O34" s="330"/>
      <c r="P34" s="330"/>
      <c r="Q34" s="330"/>
      <c r="R34" s="330" t="str">
        <f ca="1">IFERROR(IF(D34="","",FIXED(Calibración!F37,decim+1)),"")</f>
        <v>0.12</v>
      </c>
      <c r="S34" s="330"/>
      <c r="T34" s="330"/>
      <c r="U34" s="330"/>
      <c r="V34" s="330"/>
      <c r="W34" s="330"/>
      <c r="X34" s="330"/>
    </row>
    <row r="35" spans="1:24" x14ac:dyDescent="0.25">
      <c r="A35" s="96"/>
      <c r="B35" s="96"/>
      <c r="C35" s="96"/>
      <c r="D35" s="330" t="str">
        <f ca="1">IFERROR(FIXED(Calibración!C38,decim+1),"")</f>
        <v>0.00</v>
      </c>
      <c r="E35" s="330"/>
      <c r="F35" s="330" t="str">
        <f>IFERROR(FIXED(Calibración!D38,decim),"")</f>
        <v>0.0</v>
      </c>
      <c r="G35" s="330"/>
      <c r="H35" s="330"/>
      <c r="I35" s="330"/>
      <c r="J35" s="330"/>
      <c r="K35" s="330"/>
      <c r="L35" s="330" t="str">
        <f ca="1">IFERROR(FIXED(Calibración!E38,decim),"")</f>
        <v>0.0</v>
      </c>
      <c r="M35" s="330"/>
      <c r="N35" s="330"/>
      <c r="O35" s="330"/>
      <c r="P35" s="330"/>
      <c r="Q35" s="330"/>
      <c r="R35" s="330" t="str">
        <f ca="1">IFERROR(IF(D35="","",FIXED(Calibración!F38,decim+1)),"")</f>
        <v>0.12</v>
      </c>
      <c r="S35" s="330"/>
      <c r="T35" s="330"/>
      <c r="U35" s="330"/>
      <c r="V35" s="330"/>
      <c r="W35" s="330"/>
      <c r="X35" s="330"/>
    </row>
    <row r="36" spans="1:24" x14ac:dyDescent="0.25">
      <c r="A36" s="96"/>
      <c r="B36" s="96"/>
      <c r="C36" s="96"/>
      <c r="D36" s="330" t="str">
        <f ca="1">IFERROR(FIXED(Calibración!C39,decim+1),"")</f>
        <v>0.00</v>
      </c>
      <c r="E36" s="330"/>
      <c r="F36" s="330" t="str">
        <f>IFERROR(FIXED(Calibración!D39,decim),"")</f>
        <v>0.0</v>
      </c>
      <c r="G36" s="330"/>
      <c r="H36" s="330"/>
      <c r="I36" s="330"/>
      <c r="J36" s="330"/>
      <c r="K36" s="330"/>
      <c r="L36" s="330" t="str">
        <f ca="1">IFERROR(FIXED(Calibración!E39,decim),"")</f>
        <v>0.0</v>
      </c>
      <c r="M36" s="330"/>
      <c r="N36" s="330"/>
      <c r="O36" s="330"/>
      <c r="P36" s="330"/>
      <c r="Q36" s="330"/>
      <c r="R36" s="330" t="str">
        <f ca="1">IFERROR(IF(D36="","",FIXED(Calibración!F39,decim+1)),"")</f>
        <v>0.12</v>
      </c>
      <c r="S36" s="330"/>
      <c r="T36" s="330"/>
      <c r="U36" s="330"/>
      <c r="V36" s="330"/>
      <c r="W36" s="330"/>
      <c r="X36" s="330"/>
    </row>
    <row r="37" spans="1:24" x14ac:dyDescent="0.25">
      <c r="A37" s="96"/>
      <c r="B37" s="96"/>
      <c r="C37" s="96"/>
      <c r="D37" s="330" t="str">
        <f ca="1">IFERROR(FIXED(Calibración!C40,decim+1),"")</f>
        <v>0.00</v>
      </c>
      <c r="E37" s="330"/>
      <c r="F37" s="330" t="str">
        <f>IFERROR(FIXED(Calibración!D40,decim),"")</f>
        <v>0.0</v>
      </c>
      <c r="G37" s="330"/>
      <c r="H37" s="330"/>
      <c r="I37" s="330"/>
      <c r="J37" s="330"/>
      <c r="K37" s="330"/>
      <c r="L37" s="330" t="str">
        <f ca="1">IFERROR(FIXED(Calibración!E40,decim),"")</f>
        <v>0.0</v>
      </c>
      <c r="M37" s="330"/>
      <c r="N37" s="330"/>
      <c r="O37" s="330"/>
      <c r="P37" s="330"/>
      <c r="Q37" s="330"/>
      <c r="R37" s="330" t="str">
        <f ca="1">IFERROR(IF(D37="","",FIXED(Calibración!F40,decim+1)),"")</f>
        <v>0.12</v>
      </c>
      <c r="S37" s="330"/>
      <c r="T37" s="330"/>
      <c r="U37" s="330"/>
      <c r="V37" s="330"/>
      <c r="W37" s="330"/>
      <c r="X37" s="330"/>
    </row>
    <row r="38" spans="1:24" x14ac:dyDescent="0.25">
      <c r="A38" s="96"/>
      <c r="B38" s="96"/>
      <c r="C38" s="96"/>
      <c r="D38" s="330" t="str">
        <f ca="1">IFERROR(FIXED(Calibración!C41,decim+1),"")</f>
        <v>0.00</v>
      </c>
      <c r="E38" s="330"/>
      <c r="F38" s="330" t="str">
        <f>IFERROR(FIXED(Calibración!D41,decim),"")</f>
        <v>0.0</v>
      </c>
      <c r="G38" s="330"/>
      <c r="H38" s="330"/>
      <c r="I38" s="330"/>
      <c r="J38" s="330"/>
      <c r="K38" s="330"/>
      <c r="L38" s="330" t="str">
        <f ca="1">IFERROR(FIXED(Calibración!E41,decim),"")</f>
        <v>0.0</v>
      </c>
      <c r="M38" s="330"/>
      <c r="N38" s="330"/>
      <c r="O38" s="330"/>
      <c r="P38" s="330"/>
      <c r="Q38" s="330"/>
      <c r="R38" s="330" t="str">
        <f ca="1">IFERROR(IF(D38="","",FIXED(Calibración!F41,decim+1)),"")</f>
        <v>0.12</v>
      </c>
      <c r="S38" s="330"/>
      <c r="T38" s="330"/>
      <c r="U38" s="330"/>
      <c r="V38" s="330"/>
      <c r="W38" s="330"/>
      <c r="X38" s="330"/>
    </row>
    <row r="39" spans="1:24" x14ac:dyDescent="0.25">
      <c r="A39" s="96"/>
      <c r="B39" s="96"/>
      <c r="C39" s="96"/>
      <c r="D39" s="330" t="str">
        <f>IFERROR(FIXED(Calibración!C42,decim+1),"")</f>
        <v>0.00</v>
      </c>
      <c r="E39" s="330"/>
      <c r="F39" s="330" t="str">
        <f>IFERROR(FIXED(Calibración!D42,decim),"")</f>
        <v>0.0</v>
      </c>
      <c r="G39" s="330"/>
      <c r="H39" s="330"/>
      <c r="I39" s="330"/>
      <c r="J39" s="330"/>
      <c r="K39" s="330"/>
      <c r="L39" s="330" t="str">
        <f>IFERROR(FIXED(Calibración!E42,decim),"")</f>
        <v>0.0</v>
      </c>
      <c r="M39" s="330"/>
      <c r="N39" s="330"/>
      <c r="O39" s="330"/>
      <c r="P39" s="330"/>
      <c r="Q39" s="330"/>
      <c r="R39" s="330" t="str">
        <f>IFERROR(IF(D39="","",FIXED(Calibración!F42,decim+1)),"")</f>
        <v>0.00</v>
      </c>
      <c r="S39" s="330"/>
      <c r="T39" s="330"/>
      <c r="U39" s="330"/>
      <c r="V39" s="330"/>
      <c r="W39" s="330"/>
      <c r="X39" s="330"/>
    </row>
    <row r="40" spans="1:24" ht="12.75" customHeight="1" x14ac:dyDescent="0.25">
      <c r="D40" s="330" t="str">
        <f>IFERROR(FIXED(Calibración!C43,decim+1),"")</f>
        <v/>
      </c>
      <c r="E40" s="330"/>
      <c r="F40" s="330" t="str">
        <f>IFERROR(FIXED(Calibración!D43,decim),"")</f>
        <v>0.0</v>
      </c>
      <c r="G40" s="330"/>
      <c r="H40" s="330"/>
      <c r="I40" s="330"/>
      <c r="J40" s="330"/>
      <c r="K40" s="330"/>
      <c r="L40" s="330" t="str">
        <f>IFERROR(FIXED(Calibración!E43,decim),"")</f>
        <v>0.0</v>
      </c>
      <c r="M40" s="330"/>
      <c r="N40" s="330"/>
      <c r="O40" s="330"/>
      <c r="P40" s="330"/>
      <c r="Q40" s="330"/>
      <c r="R40" s="330" t="str">
        <f>IFERROR(IF(D40="","",FIXED(Calibración!F43,decim+1)),"")</f>
        <v/>
      </c>
      <c r="S40" s="330"/>
      <c r="T40" s="330"/>
      <c r="U40" s="330"/>
      <c r="V40" s="330"/>
      <c r="W40" s="330"/>
      <c r="X40" s="330"/>
    </row>
    <row r="41" spans="1:24" ht="12.75" customHeight="1" x14ac:dyDescent="0.25"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</row>
    <row r="42" spans="1:24" ht="12.75" customHeight="1" x14ac:dyDescent="0.25"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</row>
    <row r="43" spans="1:24" ht="12.75" customHeight="1" x14ac:dyDescent="0.25"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</row>
    <row r="44" spans="1:24" ht="12.75" customHeight="1" x14ac:dyDescent="0.25"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</row>
    <row r="45" spans="1:24" ht="12.75" customHeight="1" x14ac:dyDescent="0.25"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</row>
    <row r="46" spans="1:24" ht="12.75" customHeight="1" x14ac:dyDescent="0.25"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</row>
    <row r="47" spans="1:24" ht="12.75" customHeight="1" x14ac:dyDescent="0.25"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</row>
    <row r="48" spans="1:24" ht="12.75" customHeight="1" x14ac:dyDescent="0.25"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</row>
    <row r="49" spans="1:24" ht="12.75" customHeight="1" x14ac:dyDescent="0.25"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</row>
    <row r="50" spans="1:24" x14ac:dyDescent="0.25">
      <c r="A50" s="175" t="s">
        <v>1601</v>
      </c>
      <c r="D50" s="180"/>
      <c r="E50" s="180"/>
      <c r="F50" s="18"/>
      <c r="G50" s="18"/>
      <c r="H50" s="18"/>
      <c r="I50" s="18"/>
      <c r="J50" s="18"/>
      <c r="K50" s="18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</row>
    <row r="51" spans="1:24" x14ac:dyDescent="0.25">
      <c r="A51" s="175"/>
      <c r="D51" s="180"/>
      <c r="E51" s="180"/>
      <c r="F51" s="18"/>
      <c r="G51" s="18"/>
      <c r="H51" s="18"/>
      <c r="I51" s="18"/>
      <c r="J51" s="18"/>
      <c r="K51" s="18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</row>
    <row r="52" spans="1:24" x14ac:dyDescent="0.25">
      <c r="A52" s="175"/>
      <c r="D52" s="180"/>
      <c r="E52" s="180"/>
      <c r="F52" s="18"/>
      <c r="G52" s="18"/>
      <c r="H52" s="18"/>
      <c r="I52" s="18"/>
      <c r="J52" s="18"/>
      <c r="K52" s="18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</row>
    <row r="53" spans="1:24" x14ac:dyDescent="0.25">
      <c r="A53" s="175"/>
      <c r="D53" s="180"/>
      <c r="E53" s="180"/>
      <c r="F53" s="18"/>
      <c r="G53" s="18"/>
      <c r="H53" s="18"/>
      <c r="I53" s="18"/>
      <c r="J53" s="18"/>
      <c r="K53" s="18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</row>
    <row r="54" spans="1:24" x14ac:dyDescent="0.25">
      <c r="A54" s="175"/>
      <c r="D54" s="180"/>
      <c r="E54" s="180"/>
      <c r="F54" s="18"/>
      <c r="G54" s="18"/>
      <c r="H54" s="18"/>
      <c r="I54" s="18"/>
      <c r="J54" s="18"/>
      <c r="K54" s="18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</row>
    <row r="55" spans="1:24" x14ac:dyDescent="0.25">
      <c r="A55" s="175"/>
      <c r="D55" s="180"/>
      <c r="E55" s="180"/>
      <c r="F55" s="18"/>
      <c r="G55" s="18"/>
      <c r="H55" s="18"/>
      <c r="I55" s="18"/>
      <c r="J55" s="18"/>
      <c r="K55" s="18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</row>
    <row r="56" spans="1:24" x14ac:dyDescent="0.25">
      <c r="A56" s="175"/>
      <c r="D56" s="180"/>
      <c r="E56" s="180"/>
      <c r="F56" s="18"/>
      <c r="G56" s="18"/>
      <c r="H56" s="18"/>
      <c r="I56" s="18"/>
      <c r="J56" s="18"/>
      <c r="K56" s="18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</row>
    <row r="57" spans="1:24" x14ac:dyDescent="0.25">
      <c r="A57" s="175"/>
      <c r="D57" s="180"/>
      <c r="E57" s="180"/>
      <c r="F57" s="18"/>
      <c r="G57" s="18"/>
      <c r="H57" s="18"/>
      <c r="I57" s="18"/>
      <c r="J57" s="18"/>
      <c r="K57" s="18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</row>
    <row r="58" spans="1:24" ht="15" customHeight="1" x14ac:dyDescent="0.25">
      <c r="D58" s="180"/>
      <c r="E58" s="180"/>
      <c r="F58" s="18"/>
      <c r="G58" s="18"/>
      <c r="H58" s="18"/>
      <c r="I58" s="18"/>
      <c r="J58" s="18"/>
      <c r="K58" s="18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</row>
    <row r="59" spans="1:24" x14ac:dyDescent="0.25">
      <c r="A59" s="96"/>
      <c r="B59" s="96"/>
      <c r="C59" s="96"/>
      <c r="D59" s="331" t="s">
        <v>261</v>
      </c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3"/>
    </row>
    <row r="60" spans="1:24" ht="15" customHeight="1" x14ac:dyDescent="0.25">
      <c r="A60" s="96"/>
      <c r="B60" s="96"/>
      <c r="C60" s="96"/>
      <c r="D60" s="334" t="s">
        <v>259</v>
      </c>
      <c r="E60" s="335"/>
      <c r="F60" s="334" t="s">
        <v>335</v>
      </c>
      <c r="G60" s="338"/>
      <c r="H60" s="338"/>
      <c r="I60" s="338"/>
      <c r="J60" s="338"/>
      <c r="K60" s="335"/>
      <c r="L60" s="340" t="s">
        <v>258</v>
      </c>
      <c r="M60" s="341"/>
      <c r="N60" s="341"/>
      <c r="O60" s="341"/>
      <c r="P60" s="341"/>
      <c r="Q60" s="342"/>
      <c r="R60" s="334" t="s">
        <v>334</v>
      </c>
      <c r="S60" s="338"/>
      <c r="T60" s="338"/>
      <c r="U60" s="338"/>
      <c r="V60" s="338"/>
      <c r="W60" s="338"/>
      <c r="X60" s="335"/>
    </row>
    <row r="61" spans="1:24" x14ac:dyDescent="0.25">
      <c r="A61" s="96"/>
      <c r="B61" s="96"/>
      <c r="C61" s="96"/>
      <c r="D61" s="336"/>
      <c r="E61" s="337"/>
      <c r="F61" s="336"/>
      <c r="G61" s="339"/>
      <c r="H61" s="339"/>
      <c r="I61" s="339"/>
      <c r="J61" s="339"/>
      <c r="K61" s="337"/>
      <c r="L61" s="343"/>
      <c r="M61" s="344"/>
      <c r="N61" s="344"/>
      <c r="O61" s="344"/>
      <c r="P61" s="344"/>
      <c r="Q61" s="345"/>
      <c r="R61" s="336"/>
      <c r="S61" s="339"/>
      <c r="T61" s="339"/>
      <c r="U61" s="339"/>
      <c r="V61" s="339"/>
      <c r="W61" s="339"/>
      <c r="X61" s="337"/>
    </row>
    <row r="62" spans="1:24" x14ac:dyDescent="0.25">
      <c r="A62" s="96"/>
      <c r="B62" s="96"/>
      <c r="C62" s="96"/>
      <c r="D62" s="327" t="s">
        <v>1600</v>
      </c>
      <c r="E62" s="328"/>
      <c r="F62" s="327" t="s">
        <v>1600</v>
      </c>
      <c r="G62" s="329"/>
      <c r="H62" s="329"/>
      <c r="I62" s="329"/>
      <c r="J62" s="329"/>
      <c r="K62" s="328"/>
      <c r="L62" s="327" t="s">
        <v>1600</v>
      </c>
      <c r="M62" s="329"/>
      <c r="N62" s="329"/>
      <c r="O62" s="329"/>
      <c r="P62" s="329"/>
      <c r="Q62" s="328"/>
      <c r="R62" s="327" t="s">
        <v>1600</v>
      </c>
      <c r="S62" s="329"/>
      <c r="T62" s="329"/>
      <c r="U62" s="329"/>
      <c r="V62" s="329"/>
      <c r="W62" s="329"/>
      <c r="X62" s="328"/>
    </row>
    <row r="63" spans="1:24" x14ac:dyDescent="0.25">
      <c r="A63" s="96"/>
      <c r="B63" s="96"/>
      <c r="C63" s="96"/>
      <c r="D63" s="319">
        <f ca="1">CONVERT(D29,"F","C")</f>
        <v>-17.777777777777779</v>
      </c>
      <c r="E63" s="320"/>
      <c r="F63" s="319">
        <f>CONVERT(F29,"F","C")</f>
        <v>-17.777777777777779</v>
      </c>
      <c r="G63" s="321"/>
      <c r="H63" s="321">
        <f>CONVERT(H29,"F","C")</f>
        <v>-17.777777777777779</v>
      </c>
      <c r="I63" s="321"/>
      <c r="J63" s="321">
        <f>CONVERT(J29,"F","C")</f>
        <v>-17.777777777777779</v>
      </c>
      <c r="K63" s="320"/>
      <c r="L63" s="319">
        <f ca="1">F63-D63</f>
        <v>0</v>
      </c>
      <c r="M63" s="321"/>
      <c r="N63" s="321"/>
      <c r="O63" s="321"/>
      <c r="P63" s="321"/>
      <c r="Q63" s="320"/>
      <c r="R63" s="322">
        <f ca="1">R29/1.8</f>
        <v>6.6666666666666666E-2</v>
      </c>
      <c r="S63" s="323"/>
      <c r="T63" s="323"/>
      <c r="U63" s="323"/>
      <c r="V63" s="323"/>
      <c r="W63" s="323"/>
      <c r="X63" s="324"/>
    </row>
    <row r="64" spans="1:24" x14ac:dyDescent="0.25">
      <c r="A64" s="96"/>
      <c r="B64" s="96"/>
      <c r="C64" s="96"/>
      <c r="D64" s="319">
        <f ca="1">CONVERT(D30,"F","C")</f>
        <v>-17.777777777777779</v>
      </c>
      <c r="E64" s="320"/>
      <c r="F64" s="319">
        <f>CONVERT(F30,"F","C")</f>
        <v>-17.777777777777779</v>
      </c>
      <c r="G64" s="321"/>
      <c r="H64" s="321">
        <f>CONVERT(H30,"F","C")</f>
        <v>-17.777777777777779</v>
      </c>
      <c r="I64" s="321"/>
      <c r="J64" s="321">
        <f>CONVERT(J30,"F","C")</f>
        <v>-17.777777777777779</v>
      </c>
      <c r="K64" s="320"/>
      <c r="L64" s="319">
        <f ca="1">F64-D64</f>
        <v>0</v>
      </c>
      <c r="M64" s="321"/>
      <c r="N64" s="321"/>
      <c r="O64" s="321"/>
      <c r="P64" s="321"/>
      <c r="Q64" s="320"/>
      <c r="R64" s="322">
        <f ca="1">R30/1.8</f>
        <v>6.6666666666666666E-2</v>
      </c>
      <c r="S64" s="323"/>
      <c r="T64" s="323"/>
      <c r="U64" s="323"/>
      <c r="V64" s="323"/>
      <c r="W64" s="323"/>
      <c r="X64" s="324"/>
    </row>
    <row r="65" spans="1:26" x14ac:dyDescent="0.25">
      <c r="A65" s="96"/>
      <c r="B65" s="96"/>
      <c r="C65" s="96"/>
      <c r="D65" s="319">
        <f ca="1">CONVERT(D31,"F","C")</f>
        <v>-17.777777777777779</v>
      </c>
      <c r="E65" s="320"/>
      <c r="F65" s="319">
        <f>CONVERT(F31,"F","C")</f>
        <v>-17.777777777777779</v>
      </c>
      <c r="G65" s="321"/>
      <c r="H65" s="321">
        <f>CONVERT(H31,"F","C")</f>
        <v>-17.777777777777779</v>
      </c>
      <c r="I65" s="321"/>
      <c r="J65" s="321">
        <f>CONVERT(J31,"F","C")</f>
        <v>-17.777777777777779</v>
      </c>
      <c r="K65" s="320"/>
      <c r="L65" s="319">
        <f ca="1">F65-D65</f>
        <v>0</v>
      </c>
      <c r="M65" s="321"/>
      <c r="N65" s="321"/>
      <c r="O65" s="321"/>
      <c r="P65" s="321"/>
      <c r="Q65" s="320"/>
      <c r="R65" s="322">
        <f ca="1">R31/1.8</f>
        <v>6.6666666666666666E-2</v>
      </c>
      <c r="S65" s="323"/>
      <c r="T65" s="323"/>
      <c r="U65" s="323"/>
      <c r="V65" s="323"/>
      <c r="W65" s="323"/>
      <c r="X65" s="324"/>
    </row>
    <row r="66" spans="1:26" x14ac:dyDescent="0.25">
      <c r="A66" s="96"/>
      <c r="B66" s="96"/>
      <c r="C66" s="96"/>
      <c r="D66" s="319">
        <f ca="1">CONVERT(D32,"F","C")</f>
        <v>-17.777777777777779</v>
      </c>
      <c r="E66" s="320"/>
      <c r="F66" s="319">
        <f>CONVERT(F32,"F","C")</f>
        <v>-17.777777777777779</v>
      </c>
      <c r="G66" s="321"/>
      <c r="H66" s="321">
        <f>CONVERT(H32,"F","C")</f>
        <v>-17.777777777777779</v>
      </c>
      <c r="I66" s="321"/>
      <c r="J66" s="321">
        <f>CONVERT(J32,"F","C")</f>
        <v>-17.777777777777779</v>
      </c>
      <c r="K66" s="320"/>
      <c r="L66" s="319">
        <f ca="1">F66-D66</f>
        <v>0</v>
      </c>
      <c r="M66" s="321"/>
      <c r="N66" s="321"/>
      <c r="O66" s="321"/>
      <c r="P66" s="321"/>
      <c r="Q66" s="320"/>
      <c r="R66" s="322">
        <f ca="1">R32/1.8</f>
        <v>6.6666666666666666E-2</v>
      </c>
      <c r="S66" s="323"/>
      <c r="T66" s="323"/>
      <c r="U66" s="323"/>
      <c r="V66" s="323"/>
      <c r="W66" s="323"/>
      <c r="X66" s="324"/>
    </row>
    <row r="67" spans="1:26" x14ac:dyDescent="0.25">
      <c r="A67" s="96"/>
      <c r="B67" s="96"/>
      <c r="C67" s="96"/>
      <c r="D67" s="319">
        <f ca="1">CONVERT(D33,"F","C")</f>
        <v>-17.777777777777779</v>
      </c>
      <c r="E67" s="320"/>
      <c r="F67" s="319">
        <f>CONVERT(F33,"F","C")</f>
        <v>-17.777777777777779</v>
      </c>
      <c r="G67" s="321"/>
      <c r="H67" s="321">
        <f>CONVERT(H33,"F","C")</f>
        <v>-17.777777777777779</v>
      </c>
      <c r="I67" s="321"/>
      <c r="J67" s="321">
        <f>CONVERT(J33,"F","C")</f>
        <v>-17.777777777777779</v>
      </c>
      <c r="K67" s="320"/>
      <c r="L67" s="319">
        <f ca="1">F67-D67</f>
        <v>0</v>
      </c>
      <c r="M67" s="321"/>
      <c r="N67" s="321"/>
      <c r="O67" s="321"/>
      <c r="P67" s="321"/>
      <c r="Q67" s="320"/>
      <c r="R67" s="322">
        <f ca="1">R33/1.8</f>
        <v>6.6666666666666666E-2</v>
      </c>
      <c r="S67" s="323"/>
      <c r="T67" s="323"/>
      <c r="U67" s="323"/>
      <c r="V67" s="323"/>
      <c r="W67" s="323"/>
      <c r="X67" s="324"/>
    </row>
    <row r="68" spans="1:26" x14ac:dyDescent="0.25">
      <c r="A68" s="96"/>
      <c r="B68" s="96"/>
      <c r="C68" s="96"/>
      <c r="D68" s="319">
        <f t="shared" ref="D68:D73" ca="1" si="0">CONVERT(D34,"F","C")</f>
        <v>-17.777777777777779</v>
      </c>
      <c r="E68" s="320"/>
      <c r="F68" s="319">
        <f t="shared" ref="F68:F73" si="1">CONVERT(F34,"F","C")</f>
        <v>-17.777777777777779</v>
      </c>
      <c r="G68" s="321"/>
      <c r="H68" s="321">
        <f t="shared" ref="H68:H73" si="2">CONVERT(H34,"F","C")</f>
        <v>-17.777777777777779</v>
      </c>
      <c r="I68" s="321"/>
      <c r="J68" s="321">
        <f t="shared" ref="J68:J73" si="3">CONVERT(J34,"F","C")</f>
        <v>-17.777777777777779</v>
      </c>
      <c r="K68" s="320"/>
      <c r="L68" s="319">
        <f t="shared" ref="L68:L73" ca="1" si="4">F68-D68</f>
        <v>0</v>
      </c>
      <c r="M68" s="321"/>
      <c r="N68" s="321"/>
      <c r="O68" s="321"/>
      <c r="P68" s="321"/>
      <c r="Q68" s="320"/>
      <c r="R68" s="322">
        <f t="shared" ref="R68:R73" ca="1" si="5">R34/1.8</f>
        <v>6.6666666666666666E-2</v>
      </c>
      <c r="S68" s="323"/>
      <c r="T68" s="323"/>
      <c r="U68" s="323"/>
      <c r="V68" s="323"/>
      <c r="W68" s="323"/>
      <c r="X68" s="324"/>
    </row>
    <row r="69" spans="1:26" x14ac:dyDescent="0.25">
      <c r="A69" s="96"/>
      <c r="B69" s="96"/>
      <c r="C69" s="96"/>
      <c r="D69" s="319">
        <f t="shared" ca="1" si="0"/>
        <v>-17.777777777777779</v>
      </c>
      <c r="E69" s="320"/>
      <c r="F69" s="319">
        <f t="shared" si="1"/>
        <v>-17.777777777777779</v>
      </c>
      <c r="G69" s="321"/>
      <c r="H69" s="321">
        <f t="shared" si="2"/>
        <v>-17.777777777777779</v>
      </c>
      <c r="I69" s="321"/>
      <c r="J69" s="321">
        <f t="shared" si="3"/>
        <v>-17.777777777777779</v>
      </c>
      <c r="K69" s="320"/>
      <c r="L69" s="319">
        <f t="shared" ca="1" si="4"/>
        <v>0</v>
      </c>
      <c r="M69" s="321"/>
      <c r="N69" s="321"/>
      <c r="O69" s="321"/>
      <c r="P69" s="321"/>
      <c r="Q69" s="320"/>
      <c r="R69" s="322">
        <f t="shared" ca="1" si="5"/>
        <v>6.6666666666666666E-2</v>
      </c>
      <c r="S69" s="323"/>
      <c r="T69" s="323"/>
      <c r="U69" s="323"/>
      <c r="V69" s="323"/>
      <c r="W69" s="323"/>
      <c r="X69" s="324"/>
    </row>
    <row r="70" spans="1:26" x14ac:dyDescent="0.25">
      <c r="A70" s="96"/>
      <c r="B70" s="96"/>
      <c r="C70" s="96"/>
      <c r="D70" s="319">
        <f t="shared" ca="1" si="0"/>
        <v>-17.777777777777779</v>
      </c>
      <c r="E70" s="320"/>
      <c r="F70" s="319">
        <f t="shared" si="1"/>
        <v>-17.777777777777779</v>
      </c>
      <c r="G70" s="321"/>
      <c r="H70" s="321">
        <f t="shared" si="2"/>
        <v>-17.777777777777779</v>
      </c>
      <c r="I70" s="321"/>
      <c r="J70" s="321">
        <f t="shared" si="3"/>
        <v>-17.777777777777779</v>
      </c>
      <c r="K70" s="320"/>
      <c r="L70" s="319">
        <f t="shared" ca="1" si="4"/>
        <v>0</v>
      </c>
      <c r="M70" s="321"/>
      <c r="N70" s="321"/>
      <c r="O70" s="321"/>
      <c r="P70" s="321"/>
      <c r="Q70" s="320"/>
      <c r="R70" s="322">
        <f t="shared" ca="1" si="5"/>
        <v>6.6666666666666666E-2</v>
      </c>
      <c r="S70" s="323"/>
      <c r="T70" s="323"/>
      <c r="U70" s="323"/>
      <c r="V70" s="323"/>
      <c r="W70" s="323"/>
      <c r="X70" s="324"/>
    </row>
    <row r="71" spans="1:26" x14ac:dyDescent="0.25">
      <c r="A71" s="96"/>
      <c r="B71" s="96"/>
      <c r="C71" s="96"/>
      <c r="D71" s="319">
        <f t="shared" ca="1" si="0"/>
        <v>-17.777777777777779</v>
      </c>
      <c r="E71" s="320"/>
      <c r="F71" s="319">
        <f t="shared" si="1"/>
        <v>-17.777777777777779</v>
      </c>
      <c r="G71" s="321"/>
      <c r="H71" s="321">
        <f t="shared" si="2"/>
        <v>-17.777777777777779</v>
      </c>
      <c r="I71" s="321"/>
      <c r="J71" s="321">
        <f t="shared" si="3"/>
        <v>-17.777777777777779</v>
      </c>
      <c r="K71" s="320"/>
      <c r="L71" s="319">
        <f t="shared" ca="1" si="4"/>
        <v>0</v>
      </c>
      <c r="M71" s="321"/>
      <c r="N71" s="321"/>
      <c r="O71" s="321"/>
      <c r="P71" s="321"/>
      <c r="Q71" s="320"/>
      <c r="R71" s="322">
        <f t="shared" ca="1" si="5"/>
        <v>6.6666666666666666E-2</v>
      </c>
      <c r="S71" s="323"/>
      <c r="T71" s="323"/>
      <c r="U71" s="323"/>
      <c r="V71" s="323"/>
      <c r="W71" s="323"/>
      <c r="X71" s="324"/>
    </row>
    <row r="72" spans="1:26" x14ac:dyDescent="0.25">
      <c r="A72" s="96"/>
      <c r="B72" s="96"/>
      <c r="C72" s="96"/>
      <c r="D72" s="319">
        <f t="shared" ca="1" si="0"/>
        <v>-17.777777777777779</v>
      </c>
      <c r="E72" s="320"/>
      <c r="F72" s="319">
        <f t="shared" si="1"/>
        <v>-17.777777777777779</v>
      </c>
      <c r="G72" s="321"/>
      <c r="H72" s="321">
        <f t="shared" si="2"/>
        <v>-17.777777777777779</v>
      </c>
      <c r="I72" s="321"/>
      <c r="J72" s="321">
        <f t="shared" si="3"/>
        <v>-17.777777777777779</v>
      </c>
      <c r="K72" s="320"/>
      <c r="L72" s="319">
        <f t="shared" ca="1" si="4"/>
        <v>0</v>
      </c>
      <c r="M72" s="321"/>
      <c r="N72" s="321"/>
      <c r="O72" s="321"/>
      <c r="P72" s="321"/>
      <c r="Q72" s="320"/>
      <c r="R72" s="322">
        <f t="shared" ca="1" si="5"/>
        <v>6.6666666666666666E-2</v>
      </c>
      <c r="S72" s="323"/>
      <c r="T72" s="323"/>
      <c r="U72" s="323"/>
      <c r="V72" s="323"/>
      <c r="W72" s="323"/>
      <c r="X72" s="324"/>
    </row>
    <row r="73" spans="1:26" ht="13.9" customHeight="1" x14ac:dyDescent="0.25">
      <c r="D73" s="319">
        <f t="shared" si="0"/>
        <v>-17.777777777777779</v>
      </c>
      <c r="E73" s="320"/>
      <c r="F73" s="319">
        <f t="shared" si="1"/>
        <v>-17.777777777777779</v>
      </c>
      <c r="G73" s="321"/>
      <c r="H73" s="321">
        <f t="shared" si="2"/>
        <v>-17.777777777777779</v>
      </c>
      <c r="I73" s="321"/>
      <c r="J73" s="321">
        <f t="shared" si="3"/>
        <v>-17.777777777777779</v>
      </c>
      <c r="K73" s="320"/>
      <c r="L73" s="319">
        <f t="shared" si="4"/>
        <v>0</v>
      </c>
      <c r="M73" s="321"/>
      <c r="N73" s="321"/>
      <c r="O73" s="321"/>
      <c r="P73" s="321"/>
      <c r="Q73" s="320"/>
      <c r="R73" s="322">
        <f t="shared" si="5"/>
        <v>0</v>
      </c>
      <c r="S73" s="323"/>
      <c r="T73" s="323"/>
      <c r="U73" s="323"/>
      <c r="V73" s="323"/>
      <c r="W73" s="323"/>
      <c r="X73" s="324"/>
    </row>
    <row r="74" spans="1:26" x14ac:dyDescent="0.25">
      <c r="A74" s="175" t="str">
        <f>CONCATENATE("Condiciones ambientales  (Higrotermómetro ",  General!$I$4, ")")</f>
        <v>Condiciones ambientales  (Higrotermómetro 0)</v>
      </c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O74" s="175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x14ac:dyDescent="0.25">
      <c r="A75" s="183"/>
      <c r="B75" s="325" t="s">
        <v>333</v>
      </c>
      <c r="C75" s="325"/>
      <c r="D75" s="325"/>
      <c r="E75" s="182">
        <f>CertTempC</f>
        <v>23.3</v>
      </c>
      <c r="F75" s="167" t="s">
        <v>332</v>
      </c>
      <c r="G75" s="181">
        <f>CertTempIncerti</f>
        <v>0.42</v>
      </c>
      <c r="H75" s="183" t="s">
        <v>218</v>
      </c>
      <c r="I75" s="96"/>
      <c r="J75" s="96"/>
      <c r="K75" s="96"/>
      <c r="L75" s="96"/>
      <c r="M75" s="96"/>
      <c r="N75" s="96"/>
      <c r="O75" s="96"/>
      <c r="P75" s="183"/>
      <c r="Q75" s="96"/>
      <c r="R75" s="96"/>
      <c r="S75" s="96"/>
      <c r="T75" s="96"/>
      <c r="U75" s="96"/>
      <c r="V75" s="182"/>
      <c r="W75" s="167"/>
      <c r="X75" s="182"/>
      <c r="Y75" s="96"/>
    </row>
    <row r="76" spans="1:26" x14ac:dyDescent="0.25">
      <c r="A76" s="183"/>
      <c r="B76" s="183" t="s">
        <v>331</v>
      </c>
      <c r="C76" s="183"/>
      <c r="D76" s="183"/>
      <c r="E76" s="182">
        <f>CertHR</f>
        <v>57</v>
      </c>
      <c r="F76" s="167" t="s">
        <v>330</v>
      </c>
      <c r="G76" s="181">
        <f>CertHRIncerti</f>
        <v>1.3</v>
      </c>
      <c r="H76" s="167" t="s">
        <v>329</v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</row>
    <row r="77" spans="1:26" x14ac:dyDescent="0.25">
      <c r="A77" s="183"/>
      <c r="B77" s="183"/>
      <c r="C77" s="183"/>
      <c r="D77" s="183"/>
      <c r="E77" s="182"/>
      <c r="F77" s="167"/>
      <c r="G77" s="181"/>
      <c r="H77" s="167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</row>
    <row r="78" spans="1:26" ht="24" customHeight="1" x14ac:dyDescent="0.25">
      <c r="A78" s="183"/>
      <c r="B78" s="183"/>
      <c r="C78" s="183"/>
      <c r="D78" s="183"/>
      <c r="E78" s="182"/>
      <c r="F78" s="167"/>
      <c r="G78" s="181"/>
      <c r="H78" s="167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</row>
    <row r="79" spans="1:26" x14ac:dyDescent="0.25">
      <c r="A79" s="183"/>
      <c r="B79" s="183"/>
      <c r="C79" s="183"/>
      <c r="D79" s="183"/>
      <c r="E79" s="182"/>
      <c r="F79" s="167"/>
      <c r="G79" s="181"/>
      <c r="H79" s="167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</row>
    <row r="80" spans="1:26" x14ac:dyDescent="0.25">
      <c r="A80" s="183"/>
      <c r="B80" s="183"/>
      <c r="C80" s="183"/>
      <c r="D80" s="183"/>
      <c r="E80" s="182"/>
      <c r="F80" s="167"/>
      <c r="G80" s="181"/>
      <c r="H80" s="167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</row>
    <row r="81" spans="1:25" x14ac:dyDescent="0.25">
      <c r="A81" s="183"/>
      <c r="B81" s="183"/>
      <c r="C81" s="183"/>
      <c r="D81" s="183"/>
      <c r="E81" s="182"/>
      <c r="F81" s="167"/>
      <c r="G81" s="181"/>
      <c r="H81" s="167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 spans="1:25" ht="20.25" customHeight="1" x14ac:dyDescent="0.25">
      <c r="A82" s="183"/>
      <c r="B82" s="183"/>
      <c r="C82" s="183"/>
      <c r="D82" s="183"/>
      <c r="E82" s="182"/>
      <c r="F82" s="167"/>
      <c r="G82" s="181"/>
      <c r="H82" s="167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</row>
    <row r="83" spans="1:25" x14ac:dyDescent="0.25">
      <c r="A83" s="183"/>
      <c r="B83" s="183"/>
      <c r="C83" s="183"/>
      <c r="D83" s="183"/>
      <c r="E83" s="182"/>
      <c r="F83" s="167"/>
      <c r="G83" s="181"/>
      <c r="H83" s="167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</row>
    <row r="84" spans="1:25" x14ac:dyDescent="0.25">
      <c r="A84" s="183"/>
      <c r="B84" s="183"/>
      <c r="C84" s="183"/>
      <c r="D84" s="183"/>
      <c r="E84" s="182"/>
      <c r="F84" s="167"/>
      <c r="G84" s="181"/>
      <c r="H84" s="167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</row>
    <row r="85" spans="1:25" x14ac:dyDescent="0.25">
      <c r="A85" s="175" t="s">
        <v>324</v>
      </c>
      <c r="B85" s="96"/>
      <c r="C85" s="178"/>
      <c r="D85" s="177"/>
      <c r="E85" s="177"/>
      <c r="F85" s="177"/>
      <c r="G85" s="96"/>
      <c r="H85" s="96"/>
      <c r="I85" s="96"/>
      <c r="J85" s="96"/>
      <c r="K85" s="96"/>
      <c r="L85" s="96"/>
      <c r="M85" s="96"/>
      <c r="N85" s="326" t="str">
        <f>N8</f>
        <v>NI-MC-T-1325-2023</v>
      </c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</row>
    <row r="86" spans="1:25" x14ac:dyDescent="0.25">
      <c r="A86" s="175"/>
      <c r="B86" s="96"/>
      <c r="C86" s="178"/>
      <c r="D86" s="177"/>
      <c r="E86" s="177"/>
      <c r="F86" s="177"/>
      <c r="G86" s="96"/>
      <c r="H86" s="96"/>
      <c r="I86" s="96"/>
      <c r="J86" s="96"/>
      <c r="K86" s="96"/>
      <c r="L86" s="96"/>
      <c r="M86" s="9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 x14ac:dyDescent="0.25">
      <c r="A87" s="17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</row>
    <row r="88" spans="1:25" x14ac:dyDescent="0.25">
      <c r="A88" s="175" t="s">
        <v>328</v>
      </c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</row>
    <row r="89" spans="1:25" ht="15" customHeight="1" x14ac:dyDescent="0.25">
      <c r="A89" s="316" t="s">
        <v>327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</row>
    <row r="90" spans="1:25" x14ac:dyDescent="0.25"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</row>
    <row r="91" spans="1:25" ht="15" customHeight="1" x14ac:dyDescent="0.25">
      <c r="A91" s="175" t="s">
        <v>326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</row>
    <row r="92" spans="1:25" x14ac:dyDescent="0.25">
      <c r="A92" s="316" t="s">
        <v>325</v>
      </c>
      <c r="B92" s="316"/>
      <c r="C92" s="316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</row>
    <row r="93" spans="1:25" ht="15" customHeight="1" x14ac:dyDescent="0.25">
      <c r="A93" s="316"/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</row>
    <row r="94" spans="1:25" ht="15" customHeight="1" x14ac:dyDescent="0.25">
      <c r="A94" s="316"/>
      <c r="B94" s="316"/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</row>
    <row r="95" spans="1:25" x14ac:dyDescent="0.25">
      <c r="A95" s="316"/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</row>
    <row r="96" spans="1:25" x14ac:dyDescent="0.25">
      <c r="A96" s="316"/>
      <c r="B96" s="316"/>
      <c r="C96" s="316"/>
      <c r="D96" s="316"/>
      <c r="E96" s="316"/>
      <c r="F96" s="316"/>
      <c r="G96" s="316"/>
      <c r="H96" s="316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</row>
    <row r="97" spans="1:25" x14ac:dyDescent="0.25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</row>
    <row r="98" spans="1:25" x14ac:dyDescent="0.25">
      <c r="A98" s="175" t="s">
        <v>323</v>
      </c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</row>
    <row r="99" spans="1:25" x14ac:dyDescent="0.25">
      <c r="A99" s="317" t="s">
        <v>162</v>
      </c>
      <c r="B99" s="317"/>
      <c r="C99" s="317"/>
      <c r="D99" s="317"/>
      <c r="E99" s="317" t="s">
        <v>322</v>
      </c>
      <c r="F99" s="317"/>
      <c r="G99" s="317"/>
      <c r="H99" s="317" t="s">
        <v>30</v>
      </c>
      <c r="I99" s="317"/>
      <c r="J99" s="317"/>
      <c r="K99" s="317"/>
      <c r="L99" s="317"/>
      <c r="M99" s="317"/>
      <c r="N99" s="317" t="s">
        <v>321</v>
      </c>
      <c r="O99" s="317"/>
      <c r="P99" s="317"/>
      <c r="Q99" s="317"/>
      <c r="R99" s="317"/>
      <c r="S99" s="317"/>
      <c r="T99" s="317"/>
      <c r="U99" s="317"/>
      <c r="V99" s="317"/>
      <c r="W99" s="317"/>
      <c r="X99" s="318" t="s">
        <v>320</v>
      </c>
      <c r="Y99" s="318"/>
    </row>
    <row r="100" spans="1:25" ht="26.45" customHeight="1" x14ac:dyDescent="0.25">
      <c r="A100" s="310" t="s">
        <v>319</v>
      </c>
      <c r="B100" s="310"/>
      <c r="C100" s="310"/>
      <c r="D100" s="310"/>
      <c r="E100" s="310" t="e">
        <f>General!$I$5</f>
        <v>#N/A</v>
      </c>
      <c r="F100" s="310"/>
      <c r="G100" s="310"/>
      <c r="H100" s="310">
        <f>General!$I$4</f>
        <v>0</v>
      </c>
      <c r="I100" s="310"/>
      <c r="J100" s="310"/>
      <c r="K100" s="310"/>
      <c r="L100" s="310"/>
      <c r="M100" s="310"/>
      <c r="N100" s="310" t="e">
        <f>VLOOKUP(H100,'BD Patron'!$C$6:$N$10,11,FALSE)</f>
        <v>#N/A</v>
      </c>
      <c r="O100" s="310"/>
      <c r="P100" s="310"/>
      <c r="Q100" s="310"/>
      <c r="R100" s="310"/>
      <c r="S100" s="310"/>
      <c r="T100" s="310"/>
      <c r="U100" s="310"/>
      <c r="V100" s="310"/>
      <c r="W100" s="310"/>
      <c r="X100" s="311" t="e">
        <f>VLOOKUP(H100,'BD Patron'!$C$6:$N$10,10,FALSE)+731</f>
        <v>#N/A</v>
      </c>
      <c r="Y100" s="311"/>
    </row>
    <row r="101" spans="1:25" ht="15" hidden="1" customHeight="1" x14ac:dyDescent="0.25">
      <c r="A101" s="310" t="s">
        <v>318</v>
      </c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1"/>
      <c r="Y101" s="311"/>
    </row>
    <row r="102" spans="1:25" ht="28.9" hidden="1" customHeight="1" x14ac:dyDescent="0.25">
      <c r="A102" s="310" t="str">
        <f>VLOOKUP(H102,'BD Patron'!$C$15:$U$24,2,FALSE)</f>
        <v>Baño de bloque seco</v>
      </c>
      <c r="B102" s="310"/>
      <c r="C102" s="310"/>
      <c r="D102" s="310"/>
      <c r="E102" s="310" t="str">
        <f>CONCATENATE(VLOOKUP(H102,'BD Patron'!$C$15:$U$24,3,FALSE), " ", VLOOKUP(H102,'BD Patron'!$C$15:$U$24,4,FALSE))</f>
        <v>Fluke 9171</v>
      </c>
      <c r="F102" s="310"/>
      <c r="G102" s="310"/>
      <c r="H102" s="310" t="str">
        <f>Calibración!$S$4</f>
        <v>NI-MCPT-37</v>
      </c>
      <c r="I102" s="310"/>
      <c r="J102" s="310"/>
      <c r="K102" s="310"/>
      <c r="L102" s="310"/>
      <c r="M102" s="310"/>
      <c r="N102" s="310" t="str">
        <f>CONCATENATE(VLOOKUP(H102,'BD Patron'!$C$15:$U$24,18,FALSE), " ",VLOOKUP(H102,'BD Patron'!$C$15:$U$24,19,FALSE))</f>
        <v>SCM Metrología y Laboratorios 20180507-28-1</v>
      </c>
      <c r="O102" s="310"/>
      <c r="P102" s="310"/>
      <c r="Q102" s="310"/>
      <c r="R102" s="310"/>
      <c r="S102" s="310"/>
      <c r="T102" s="310"/>
      <c r="U102" s="310"/>
      <c r="V102" s="310"/>
      <c r="W102" s="310"/>
      <c r="X102" s="311">
        <f>VLOOKUP(H102,'BD Patron'!$C$15:$U$24,17,FALSE)+365</f>
        <v>43595</v>
      </c>
      <c r="Y102" s="311"/>
    </row>
    <row r="103" spans="1:25" ht="28.15" customHeight="1" x14ac:dyDescent="0.25">
      <c r="A103" s="310" t="str">
        <f>VLOOKUP(H103,'BD Patron'!$C$16:$Q$25,2,FALSE)</f>
        <v>Termómetro Digital</v>
      </c>
      <c r="B103" s="310"/>
      <c r="C103" s="310"/>
      <c r="D103" s="310"/>
      <c r="E103" s="310" t="str">
        <f>CONCATENATE(VLOOKUP(H103,'BD Patron'!$C$16:$Q$25,3,FALSE), " ", VLOOKUP(H103,'BD Patron'!$C$16:$Q$25,4,FALSE))</f>
        <v>AccuMac/Fluke 5627A</v>
      </c>
      <c r="F103" s="310"/>
      <c r="G103" s="310"/>
      <c r="H103" s="310" t="str">
        <f>Calibración!$J$5</f>
        <v>NI-MCPT-05</v>
      </c>
      <c r="I103" s="310"/>
      <c r="J103" s="310"/>
      <c r="K103" s="310"/>
      <c r="L103" s="310"/>
      <c r="M103" s="310"/>
      <c r="N103" s="310" t="str">
        <f>CONCATENATE(VLOOKUP(H103,'BD Patron'!$C$15:$U$24,18,FALSE), " ",VLOOKUP(H103,'BD Patron'!$C$15:$U$24,19,FALSE))</f>
        <v>SCM Metrología y Laboratorios SCM-00039472</v>
      </c>
      <c r="O103" s="310"/>
      <c r="P103" s="310"/>
      <c r="Q103" s="310"/>
      <c r="R103" s="310"/>
      <c r="S103" s="310"/>
      <c r="T103" s="310"/>
      <c r="U103" s="310"/>
      <c r="V103" s="310"/>
      <c r="W103" s="310"/>
      <c r="X103" s="311">
        <f>VLOOKUP(H103,'BD Patron'!$C$15:$U$24,17,FALSE)+365</f>
        <v>45204</v>
      </c>
      <c r="Y103" s="311"/>
    </row>
    <row r="104" spans="1:25" x14ac:dyDescent="0.25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</row>
    <row r="105" spans="1:25" x14ac:dyDescent="0.25">
      <c r="A105" s="175" t="s">
        <v>248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</row>
    <row r="106" spans="1:25" ht="15" customHeight="1" x14ac:dyDescent="0.25">
      <c r="A106" s="173" t="s">
        <v>317</v>
      </c>
      <c r="B106" s="96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96"/>
    </row>
    <row r="107" spans="1:25" ht="15" customHeight="1" x14ac:dyDescent="0.25">
      <c r="A107" s="174" t="str">
        <f>'[4]Salida de Datos'!$F$8</f>
        <v>La corrección corresponde al valor del patrón menos las indicación del equipo.</v>
      </c>
      <c r="B107" s="96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96"/>
    </row>
    <row r="108" spans="1:25" ht="15" customHeight="1" x14ac:dyDescent="0.25">
      <c r="A108" s="174" t="str">
        <f>'[4]Salida de Datos'!$F$9</f>
        <v>La indicación de temperatura de referencia y del equipo, corresponden al promedio de 3 mediciones .</v>
      </c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</row>
    <row r="109" spans="1:25" x14ac:dyDescent="0.25">
      <c r="A109" s="174" t="s">
        <v>1599</v>
      </c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</row>
    <row r="110" spans="1:25" x14ac:dyDescent="0.25">
      <c r="A110" s="174" t="s">
        <v>1602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</row>
    <row r="111" spans="1:25" x14ac:dyDescent="0.25">
      <c r="A111" s="174" t="str">
        <f>'[4]Salida de Datos'!$F$11</f>
        <v>De acuerdo a lo establecido en NTON 07-004-01 Norma Metrológica del Sistema Internacional de Unidades (SI).</v>
      </c>
      <c r="B111" s="96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96"/>
    </row>
    <row r="112" spans="1:25" x14ac:dyDescent="0.25">
      <c r="A112" s="173" t="s">
        <v>316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</row>
    <row r="113" spans="1:25" x14ac:dyDescent="0.25">
      <c r="A113" s="173" t="s">
        <v>315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</row>
    <row r="114" spans="1:25" x14ac:dyDescent="0.25">
      <c r="A114" s="96" t="s">
        <v>314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172"/>
      <c r="S114" s="172"/>
      <c r="T114" s="96"/>
      <c r="U114" s="96"/>
      <c r="V114" s="96"/>
      <c r="W114" s="96"/>
      <c r="X114" s="96"/>
      <c r="Y114" s="96"/>
    </row>
    <row r="115" spans="1:25" x14ac:dyDescent="0.25">
      <c r="A115" s="96" t="s">
        <v>313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171"/>
      <c r="S115" s="171"/>
      <c r="T115" s="171"/>
      <c r="U115" s="171"/>
      <c r="V115" s="171"/>
      <c r="Y115" s="96"/>
    </row>
    <row r="116" spans="1:25" x14ac:dyDescent="0.25">
      <c r="A116" s="173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</row>
    <row r="117" spans="1:25" x14ac:dyDescent="0.25">
      <c r="A117" s="173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</row>
    <row r="119" spans="1:25" x14ac:dyDescent="0.25">
      <c r="I119" s="314" t="s">
        <v>85</v>
      </c>
      <c r="J119" s="314"/>
      <c r="K119" s="314"/>
      <c r="L119" s="314"/>
      <c r="M119" s="314"/>
      <c r="N119" s="314"/>
      <c r="O119" s="314"/>
      <c r="P119" s="314"/>
    </row>
    <row r="120" spans="1:25" x14ac:dyDescent="0.25">
      <c r="I120" s="315" t="s">
        <v>312</v>
      </c>
      <c r="J120" s="315"/>
      <c r="K120" s="315"/>
      <c r="L120" s="315"/>
      <c r="M120" s="315"/>
      <c r="N120" s="315"/>
      <c r="O120" s="315"/>
      <c r="P120" s="315"/>
    </row>
    <row r="121" spans="1:25" x14ac:dyDescent="0.25">
      <c r="I121" s="312" t="s">
        <v>311</v>
      </c>
      <c r="J121" s="312"/>
      <c r="K121" s="312"/>
      <c r="L121" s="312"/>
      <c r="M121" s="312"/>
      <c r="N121" s="312"/>
      <c r="O121" s="312"/>
      <c r="P121" s="312"/>
    </row>
    <row r="122" spans="1:25" x14ac:dyDescent="0.25">
      <c r="I122" s="313" t="s">
        <v>310</v>
      </c>
      <c r="J122" s="313"/>
      <c r="K122" s="313"/>
      <c r="L122" s="313"/>
      <c r="M122" s="313"/>
      <c r="N122" s="313"/>
      <c r="O122" s="313"/>
      <c r="P122" s="313"/>
    </row>
  </sheetData>
  <mergeCells count="157">
    <mergeCell ref="D73:E73"/>
    <mergeCell ref="F73:K73"/>
    <mergeCell ref="L73:Q73"/>
    <mergeCell ref="R73:X73"/>
    <mergeCell ref="D71:E71"/>
    <mergeCell ref="F71:K71"/>
    <mergeCell ref="L71:Q71"/>
    <mergeCell ref="R71:X71"/>
    <mergeCell ref="D72:E72"/>
    <mergeCell ref="F72:K72"/>
    <mergeCell ref="L72:Q72"/>
    <mergeCell ref="R72:X72"/>
    <mergeCell ref="F70:K70"/>
    <mergeCell ref="L70:Q70"/>
    <mergeCell ref="R70:X70"/>
    <mergeCell ref="N8:Y8"/>
    <mergeCell ref="N9:Y9"/>
    <mergeCell ref="N10:Y10"/>
    <mergeCell ref="N12:Y12"/>
    <mergeCell ref="N13:Y13"/>
    <mergeCell ref="N14:Y14"/>
    <mergeCell ref="N11:R11"/>
    <mergeCell ref="N15:Y15"/>
    <mergeCell ref="N16:Y16"/>
    <mergeCell ref="N17:Y17"/>
    <mergeCell ref="N18:Y18"/>
    <mergeCell ref="N19:Y19"/>
    <mergeCell ref="N20:Y20"/>
    <mergeCell ref="N21:Y22"/>
    <mergeCell ref="D25:X25"/>
    <mergeCell ref="D26:E27"/>
    <mergeCell ref="F26:K27"/>
    <mergeCell ref="L26:Q27"/>
    <mergeCell ref="R26:X27"/>
    <mergeCell ref="D28:E28"/>
    <mergeCell ref="F28:K28"/>
    <mergeCell ref="L28:Q28"/>
    <mergeCell ref="R28:X28"/>
    <mergeCell ref="D29:E29"/>
    <mergeCell ref="F29:K29"/>
    <mergeCell ref="L29:Q29"/>
    <mergeCell ref="R29:X29"/>
    <mergeCell ref="D30:E30"/>
    <mergeCell ref="F30:K30"/>
    <mergeCell ref="L30:Q30"/>
    <mergeCell ref="R30:X30"/>
    <mergeCell ref="D31:E31"/>
    <mergeCell ref="F31:K31"/>
    <mergeCell ref="L31:Q31"/>
    <mergeCell ref="R31:X31"/>
    <mergeCell ref="D32:E32"/>
    <mergeCell ref="F32:K32"/>
    <mergeCell ref="L32:Q32"/>
    <mergeCell ref="R32:X32"/>
    <mergeCell ref="D33:E33"/>
    <mergeCell ref="F33:K33"/>
    <mergeCell ref="L33:Q33"/>
    <mergeCell ref="R33:X33"/>
    <mergeCell ref="D59:X59"/>
    <mergeCell ref="D60:E61"/>
    <mergeCell ref="F60:K61"/>
    <mergeCell ref="L60:Q61"/>
    <mergeCell ref="R60:X61"/>
    <mergeCell ref="D36:E36"/>
    <mergeCell ref="F36:K36"/>
    <mergeCell ref="L36:Q36"/>
    <mergeCell ref="R36:X36"/>
    <mergeCell ref="D39:E39"/>
    <mergeCell ref="F39:K39"/>
    <mergeCell ref="L39:Q39"/>
    <mergeCell ref="R39:X39"/>
    <mergeCell ref="D40:E40"/>
    <mergeCell ref="F40:K40"/>
    <mergeCell ref="L40:Q40"/>
    <mergeCell ref="R40:X40"/>
    <mergeCell ref="D34:E34"/>
    <mergeCell ref="F34:K34"/>
    <mergeCell ref="L34:Q34"/>
    <mergeCell ref="R34:X34"/>
    <mergeCell ref="D35:E35"/>
    <mergeCell ref="F35:K35"/>
    <mergeCell ref="L35:Q35"/>
    <mergeCell ref="R35:X35"/>
    <mergeCell ref="L38:Q38"/>
    <mergeCell ref="R38:X38"/>
    <mergeCell ref="D37:E37"/>
    <mergeCell ref="F37:K37"/>
    <mergeCell ref="L37:Q37"/>
    <mergeCell ref="R37:X37"/>
    <mergeCell ref="D38:E38"/>
    <mergeCell ref="F38:K38"/>
    <mergeCell ref="D62:E62"/>
    <mergeCell ref="F62:K62"/>
    <mergeCell ref="L62:Q62"/>
    <mergeCell ref="R62:X62"/>
    <mergeCell ref="D63:E63"/>
    <mergeCell ref="F63:K63"/>
    <mergeCell ref="L63:Q63"/>
    <mergeCell ref="R63:X63"/>
    <mergeCell ref="D64:E64"/>
    <mergeCell ref="F64:K64"/>
    <mergeCell ref="L64:Q64"/>
    <mergeCell ref="R64:X64"/>
    <mergeCell ref="A89:Y89"/>
    <mergeCell ref="D65:E65"/>
    <mergeCell ref="F65:K65"/>
    <mergeCell ref="L65:Q65"/>
    <mergeCell ref="R65:X65"/>
    <mergeCell ref="D66:E66"/>
    <mergeCell ref="F66:K66"/>
    <mergeCell ref="L66:Q66"/>
    <mergeCell ref="R66:X66"/>
    <mergeCell ref="D68:E68"/>
    <mergeCell ref="D67:E67"/>
    <mergeCell ref="F67:K67"/>
    <mergeCell ref="L67:Q67"/>
    <mergeCell ref="R67:X67"/>
    <mergeCell ref="B75:D75"/>
    <mergeCell ref="N85:Y85"/>
    <mergeCell ref="F68:K68"/>
    <mergeCell ref="L68:Q68"/>
    <mergeCell ref="R68:X68"/>
    <mergeCell ref="D69:E69"/>
    <mergeCell ref="F69:K69"/>
    <mergeCell ref="L69:Q69"/>
    <mergeCell ref="R69:X69"/>
    <mergeCell ref="D70:E70"/>
    <mergeCell ref="A92:Y96"/>
    <mergeCell ref="A99:D99"/>
    <mergeCell ref="E99:G99"/>
    <mergeCell ref="H99:M99"/>
    <mergeCell ref="N99:W99"/>
    <mergeCell ref="X99:Y99"/>
    <mergeCell ref="H100:M100"/>
    <mergeCell ref="N100:W100"/>
    <mergeCell ref="X100:Y100"/>
    <mergeCell ref="A100:D100"/>
    <mergeCell ref="E100:G100"/>
    <mergeCell ref="A101:D101"/>
    <mergeCell ref="E101:G101"/>
    <mergeCell ref="H101:M101"/>
    <mergeCell ref="N101:W101"/>
    <mergeCell ref="X101:Y101"/>
    <mergeCell ref="I121:P121"/>
    <mergeCell ref="I122:P122"/>
    <mergeCell ref="A102:D102"/>
    <mergeCell ref="E102:G102"/>
    <mergeCell ref="H102:M102"/>
    <mergeCell ref="N102:W102"/>
    <mergeCell ref="A103:D103"/>
    <mergeCell ref="E103:G103"/>
    <mergeCell ref="H103:M103"/>
    <mergeCell ref="N103:W103"/>
    <mergeCell ref="I119:P119"/>
    <mergeCell ref="I120:P120"/>
    <mergeCell ref="X102:Y102"/>
    <mergeCell ref="X103:Y103"/>
  </mergeCells>
  <conditionalFormatting sqref="A114">
    <cfRule type="cellIs" priority="1" operator="equal">
      <formula>$D$27</formula>
    </cfRule>
  </conditionalFormatting>
  <conditionalFormatting sqref="A115">
    <cfRule type="cellIs" priority="2" operator="equal">
      <formula>$F$29</formula>
    </cfRule>
  </conditionalFormatting>
  <conditionalFormatting sqref="A116:A117">
    <cfRule type="cellIs" priority="3" operator="equal">
      <formula>$D$28</formula>
    </cfRule>
  </conditionalFormatting>
  <printOptions horizontalCentered="1"/>
  <pageMargins left="0.51" right="0.51" top="0.51" bottom="0.51" header="0" footer="0.31"/>
  <pageSetup orientation="portrait" horizontalDpi="4294967293" verticalDpi="4294967293" r:id="rId1"/>
  <headerFooter>
    <oddHeader>&amp;C
&amp;G</oddHeader>
    <oddFooter xml:space="preserve">&amp;C&amp;G&amp;R&amp;"Arial,Normal"&amp;7Página &amp;Pde&amp;N&amp;8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8:Z122"/>
  <sheetViews>
    <sheetView view="pageLayout" topLeftCell="A52" zoomScaleNormal="100" workbookViewId="0">
      <selection activeCell="D63" sqref="D63:E63"/>
    </sheetView>
  </sheetViews>
  <sheetFormatPr defaultColWidth="11.42578125" defaultRowHeight="15" x14ac:dyDescent="0.25"/>
  <cols>
    <col min="1" max="1" width="3.5703125" customWidth="1"/>
    <col min="2" max="2" width="3.140625" customWidth="1"/>
    <col min="3" max="3" width="0.140625" hidden="1" customWidth="1"/>
    <col min="4" max="4" width="12.42578125" customWidth="1"/>
    <col min="5" max="5" width="4.42578125" customWidth="1"/>
    <col min="6" max="6" width="3.5703125" customWidth="1"/>
    <col min="7" max="7" width="4.85546875" customWidth="1"/>
    <col min="8" max="9" width="3" customWidth="1"/>
    <col min="10" max="10" width="2.5703125" customWidth="1"/>
    <col min="11" max="11" width="3" customWidth="1"/>
    <col min="12" max="12" width="4.140625" customWidth="1"/>
    <col min="13" max="13" width="4.42578125" customWidth="1"/>
    <col min="14" max="15" width="2.42578125" customWidth="1"/>
    <col min="16" max="17" width="3.42578125" customWidth="1"/>
    <col min="18" max="18" width="4" customWidth="1"/>
    <col min="19" max="21" width="2.42578125" customWidth="1"/>
    <col min="22" max="22" width="4.42578125" customWidth="1"/>
    <col min="23" max="23" width="2.42578125" customWidth="1"/>
    <col min="24" max="24" width="3.5703125" customWidth="1"/>
    <col min="25" max="25" width="6.42578125" customWidth="1"/>
  </cols>
  <sheetData>
    <row r="8" spans="1:25" x14ac:dyDescent="0.25">
      <c r="A8" s="175" t="s">
        <v>324</v>
      </c>
      <c r="B8" s="178"/>
      <c r="C8" s="177"/>
      <c r="E8" s="177"/>
      <c r="F8" s="177"/>
      <c r="G8" s="185"/>
      <c r="H8" s="185"/>
      <c r="I8" s="185"/>
      <c r="J8" s="185"/>
      <c r="K8" s="185"/>
      <c r="L8" s="96"/>
      <c r="M8" s="96"/>
      <c r="N8" s="326" t="str">
        <f>General!F3</f>
        <v>NI-MC-T-1325-2023</v>
      </c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</row>
    <row r="9" spans="1:25" x14ac:dyDescent="0.25">
      <c r="A9" s="175" t="s">
        <v>349</v>
      </c>
      <c r="B9" s="178"/>
      <c r="C9" s="177"/>
      <c r="E9" s="177"/>
      <c r="F9" s="177"/>
      <c r="G9" s="185"/>
      <c r="H9" s="185"/>
      <c r="I9" s="185"/>
      <c r="J9" s="185"/>
      <c r="K9" s="185"/>
      <c r="L9" s="96"/>
      <c r="M9" s="96"/>
      <c r="N9" s="347" t="str">
        <f>General!F4</f>
        <v>NI-CS-0063-23</v>
      </c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</row>
    <row r="10" spans="1:25" x14ac:dyDescent="0.25">
      <c r="A10" s="175" t="s">
        <v>348</v>
      </c>
      <c r="B10" s="178"/>
      <c r="C10" s="178"/>
      <c r="E10" s="178"/>
      <c r="F10" s="178"/>
      <c r="G10" s="185"/>
      <c r="H10" s="185"/>
      <c r="I10" s="185"/>
      <c r="J10" s="185"/>
      <c r="K10" s="185"/>
      <c r="L10" s="188"/>
      <c r="M10" s="96"/>
      <c r="N10" s="348">
        <f>General!F5</f>
        <v>44964</v>
      </c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</row>
    <row r="11" spans="1:25" x14ac:dyDescent="0.25">
      <c r="A11" s="175" t="s">
        <v>347</v>
      </c>
      <c r="B11" s="178"/>
      <c r="C11" s="178"/>
      <c r="E11" s="178"/>
      <c r="F11" s="178"/>
      <c r="G11" s="185"/>
      <c r="H11" s="185"/>
      <c r="I11" s="185"/>
      <c r="J11" s="185"/>
      <c r="K11" s="185"/>
      <c r="L11" s="188"/>
      <c r="M11" s="96"/>
      <c r="N11" s="348">
        <f ca="1">NOW()</f>
        <v>46188.488317939817</v>
      </c>
      <c r="O11" s="348"/>
      <c r="P11" s="348"/>
      <c r="Q11" s="348"/>
      <c r="R11" s="348"/>
      <c r="S11" s="187"/>
      <c r="T11" s="187"/>
      <c r="U11" s="187"/>
      <c r="V11" s="187"/>
      <c r="W11" s="187"/>
      <c r="X11" s="187"/>
      <c r="Y11" s="187"/>
    </row>
    <row r="12" spans="1:25" x14ac:dyDescent="0.25">
      <c r="A12" s="175" t="s">
        <v>346</v>
      </c>
      <c r="B12" s="178"/>
      <c r="C12" s="178"/>
      <c r="E12" s="178"/>
      <c r="F12" s="178"/>
      <c r="G12" s="185"/>
      <c r="H12" s="185"/>
      <c r="I12" s="185"/>
      <c r="J12" s="185"/>
      <c r="K12" s="185"/>
      <c r="L12" s="96"/>
      <c r="M12" s="96"/>
      <c r="N12" s="349">
        <f>General!F7</f>
        <v>0</v>
      </c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</row>
    <row r="13" spans="1:25" x14ac:dyDescent="0.25">
      <c r="A13" s="175" t="s">
        <v>345</v>
      </c>
      <c r="B13" s="178"/>
      <c r="C13" s="178"/>
      <c r="E13" s="178"/>
      <c r="F13" s="178"/>
      <c r="G13" s="185"/>
      <c r="H13" s="185"/>
      <c r="I13" s="185"/>
      <c r="J13" s="185"/>
      <c r="K13" s="185"/>
      <c r="L13" s="96"/>
      <c r="M13" s="96"/>
      <c r="N13" s="347">
        <f>General!F8</f>
        <v>0</v>
      </c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</row>
    <row r="14" spans="1:25" x14ac:dyDescent="0.25">
      <c r="A14" s="175" t="s">
        <v>344</v>
      </c>
      <c r="B14" s="178"/>
      <c r="C14" s="178"/>
      <c r="E14" s="178"/>
      <c r="F14" s="178"/>
      <c r="G14" s="185"/>
      <c r="H14" s="185"/>
      <c r="I14" s="185"/>
      <c r="J14" s="185"/>
      <c r="K14" s="185"/>
      <c r="L14" s="96"/>
      <c r="M14" s="96"/>
      <c r="N14" s="347">
        <f>General!F10</f>
        <v>0</v>
      </c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</row>
    <row r="15" spans="1:25" x14ac:dyDescent="0.25">
      <c r="A15" s="175" t="s">
        <v>343</v>
      </c>
      <c r="B15" s="178"/>
      <c r="C15" s="178"/>
      <c r="E15" s="178"/>
      <c r="F15" s="178"/>
      <c r="G15" s="185"/>
      <c r="H15" s="185"/>
      <c r="I15" s="185"/>
      <c r="J15" s="185"/>
      <c r="K15" s="185"/>
      <c r="L15" s="96"/>
      <c r="M15" s="96"/>
      <c r="N15" s="347">
        <f>General!F9</f>
        <v>0</v>
      </c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</row>
    <row r="16" spans="1:25" x14ac:dyDescent="0.25">
      <c r="A16" s="175" t="s">
        <v>342</v>
      </c>
      <c r="B16" s="178"/>
      <c r="C16" s="178"/>
      <c r="E16" s="178"/>
      <c r="F16" s="178"/>
      <c r="G16" s="185"/>
      <c r="H16" s="185"/>
      <c r="I16" s="185"/>
      <c r="J16" s="185"/>
      <c r="K16" s="185"/>
      <c r="L16" s="96"/>
      <c r="M16" s="96"/>
      <c r="N16" s="347">
        <f>General!F11</f>
        <v>0</v>
      </c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</row>
    <row r="17" spans="1:25" x14ac:dyDescent="0.25">
      <c r="A17" s="175" t="s">
        <v>341</v>
      </c>
      <c r="B17" s="178"/>
      <c r="C17" s="178"/>
      <c r="E17" s="178"/>
      <c r="F17" s="178"/>
      <c r="G17" s="185"/>
      <c r="H17" s="185"/>
      <c r="I17" s="185"/>
      <c r="J17" s="185"/>
      <c r="K17" s="185"/>
      <c r="L17" s="96"/>
      <c r="M17" s="96"/>
      <c r="N17" s="347">
        <f>General!F12</f>
        <v>0</v>
      </c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</row>
    <row r="18" spans="1:25" x14ac:dyDescent="0.25">
      <c r="A18" s="175" t="s">
        <v>340</v>
      </c>
      <c r="B18" s="178"/>
      <c r="C18" s="178"/>
      <c r="E18" s="178"/>
      <c r="F18" s="178"/>
      <c r="G18" s="185"/>
      <c r="H18" s="185"/>
      <c r="I18" s="185"/>
      <c r="J18" s="185"/>
      <c r="K18" s="185"/>
      <c r="L18" s="96"/>
      <c r="M18" s="96"/>
      <c r="N18" s="347">
        <f>General!F6</f>
        <v>0</v>
      </c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</row>
    <row r="19" spans="1:25" x14ac:dyDescent="0.25">
      <c r="A19" s="175" t="s">
        <v>339</v>
      </c>
      <c r="B19" s="178"/>
      <c r="C19" s="178"/>
      <c r="E19" s="178"/>
      <c r="F19" s="178"/>
      <c r="G19" s="185"/>
      <c r="H19" s="185"/>
      <c r="I19" s="185"/>
      <c r="J19" s="185"/>
      <c r="K19" s="185"/>
      <c r="L19" s="96"/>
      <c r="M19" s="96"/>
      <c r="N19" s="347" t="str">
        <f>General!L3</f>
        <v xml:space="preserve">Agricola Nicavista </v>
      </c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</row>
    <row r="20" spans="1:25" x14ac:dyDescent="0.25">
      <c r="A20" s="186" t="s">
        <v>338</v>
      </c>
      <c r="B20" s="178"/>
      <c r="C20" s="178"/>
      <c r="E20" s="178"/>
      <c r="F20" s="178"/>
      <c r="G20" s="185"/>
      <c r="H20" s="185"/>
      <c r="I20" s="185"/>
      <c r="J20" s="185"/>
      <c r="K20" s="185"/>
      <c r="L20" s="96"/>
      <c r="M20" s="96"/>
      <c r="N20" s="347" t="str">
        <f>General!L4</f>
        <v>Ciudad Rama, Atlántico Sur, Nicaragua</v>
      </c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</row>
    <row r="21" spans="1:25" ht="17.25" customHeight="1" x14ac:dyDescent="0.25">
      <c r="A21" s="175" t="s">
        <v>337</v>
      </c>
      <c r="C21" s="178"/>
      <c r="D21" s="178"/>
      <c r="E21" s="178"/>
      <c r="F21" s="178"/>
      <c r="G21" s="185"/>
      <c r="H21" s="185"/>
      <c r="I21" s="185"/>
      <c r="J21" s="185"/>
      <c r="K21" s="185"/>
      <c r="L21" s="184"/>
      <c r="M21" s="96"/>
      <c r="N21" s="350" t="str">
        <f>General!L5</f>
        <v>Laboratorio</v>
      </c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</row>
    <row r="22" spans="1:25" ht="17.25" customHeight="1" x14ac:dyDescent="0.25">
      <c r="A22" s="175"/>
      <c r="C22" s="178"/>
      <c r="D22" s="178"/>
      <c r="E22" s="178"/>
      <c r="F22" s="178"/>
      <c r="G22" s="185"/>
      <c r="H22" s="185"/>
      <c r="I22" s="185"/>
      <c r="J22" s="185"/>
      <c r="K22" s="185"/>
      <c r="L22" s="184"/>
      <c r="M22" s="96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</row>
    <row r="23" spans="1:25" x14ac:dyDescent="0.25">
      <c r="A23" s="175" t="s">
        <v>336</v>
      </c>
      <c r="C23" s="178"/>
      <c r="D23" s="178"/>
      <c r="E23" s="178"/>
      <c r="F23" s="178"/>
    </row>
    <row r="24" spans="1:25" ht="11.25" customHeight="1" x14ac:dyDescent="0.25"/>
    <row r="25" spans="1:25" x14ac:dyDescent="0.25">
      <c r="A25" s="96"/>
      <c r="B25" s="96"/>
      <c r="C25" s="96"/>
      <c r="D25" s="351" t="s">
        <v>261</v>
      </c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</row>
    <row r="26" spans="1:25" ht="15" customHeight="1" x14ac:dyDescent="0.25">
      <c r="A26" s="96"/>
      <c r="B26" s="96"/>
      <c r="C26" s="96"/>
      <c r="D26" s="352" t="s">
        <v>259</v>
      </c>
      <c r="E26" s="352"/>
      <c r="F26" s="334" t="s">
        <v>335</v>
      </c>
      <c r="G26" s="338"/>
      <c r="H26" s="338"/>
      <c r="I26" s="338"/>
      <c r="J26" s="338"/>
      <c r="K26" s="335"/>
      <c r="L26" s="353" t="s">
        <v>258</v>
      </c>
      <c r="M26" s="353"/>
      <c r="N26" s="353"/>
      <c r="O26" s="353"/>
      <c r="P26" s="353"/>
      <c r="Q26" s="353"/>
      <c r="R26" s="352" t="s">
        <v>334</v>
      </c>
      <c r="S26" s="352"/>
      <c r="T26" s="352"/>
      <c r="U26" s="352"/>
      <c r="V26" s="352"/>
      <c r="W26" s="352"/>
      <c r="X26" s="352"/>
    </row>
    <row r="27" spans="1:25" ht="14.25" customHeight="1" x14ac:dyDescent="0.25">
      <c r="A27" s="96"/>
      <c r="B27" s="96"/>
      <c r="C27" s="96"/>
      <c r="D27" s="352"/>
      <c r="E27" s="352"/>
      <c r="F27" s="336"/>
      <c r="G27" s="339"/>
      <c r="H27" s="339"/>
      <c r="I27" s="339"/>
      <c r="J27" s="339"/>
      <c r="K27" s="337"/>
      <c r="L27" s="353"/>
      <c r="M27" s="353"/>
      <c r="N27" s="353"/>
      <c r="O27" s="353"/>
      <c r="P27" s="353"/>
      <c r="Q27" s="353"/>
      <c r="R27" s="352"/>
      <c r="S27" s="352"/>
      <c r="T27" s="352"/>
      <c r="U27" s="352"/>
      <c r="V27" s="352"/>
      <c r="W27" s="352"/>
      <c r="X27" s="352"/>
    </row>
    <row r="28" spans="1:25" x14ac:dyDescent="0.25">
      <c r="A28" s="96"/>
      <c r="B28" s="96"/>
      <c r="C28" s="96"/>
      <c r="D28" s="330" t="str">
        <f>Calibración!C31</f>
        <v>°C</v>
      </c>
      <c r="E28" s="346"/>
      <c r="F28" s="327" t="str">
        <f>Calibración!D31</f>
        <v>°C</v>
      </c>
      <c r="G28" s="329"/>
      <c r="H28" s="329"/>
      <c r="I28" s="329"/>
      <c r="J28" s="329"/>
      <c r="K28" s="328"/>
      <c r="L28" s="346" t="str">
        <f>Calibración!E31</f>
        <v>°C</v>
      </c>
      <c r="M28" s="346"/>
      <c r="N28" s="346"/>
      <c r="O28" s="346"/>
      <c r="P28" s="346"/>
      <c r="Q28" s="346"/>
      <c r="R28" s="346" t="str">
        <f>Calibración!F31</f>
        <v>°C</v>
      </c>
      <c r="S28" s="346"/>
      <c r="T28" s="346"/>
      <c r="U28" s="346"/>
      <c r="V28" s="346"/>
      <c r="W28" s="346"/>
      <c r="X28" s="346"/>
    </row>
    <row r="29" spans="1:25" x14ac:dyDescent="0.25">
      <c r="A29" s="96"/>
      <c r="B29" s="96"/>
      <c r="C29" s="96"/>
      <c r="D29" s="330" t="str">
        <f ca="1">IFERROR(FIXED(Calibración!C32,decim+1),"")</f>
        <v>0.00</v>
      </c>
      <c r="E29" s="330"/>
      <c r="F29" s="330" t="str">
        <f>IFERROR(FIXED(Calibración!D32,decim),"")</f>
        <v>0.0</v>
      </c>
      <c r="G29" s="330"/>
      <c r="H29" s="330"/>
      <c r="I29" s="330"/>
      <c r="J29" s="330"/>
      <c r="K29" s="330"/>
      <c r="L29" s="330" t="str">
        <f ca="1">IFERROR(FIXED(Calibración!E32,decim),"")</f>
        <v>0.0</v>
      </c>
      <c r="M29" s="330"/>
      <c r="N29" s="330"/>
      <c r="O29" s="330"/>
      <c r="P29" s="330"/>
      <c r="Q29" s="330"/>
      <c r="R29" s="330" t="str">
        <f ca="1">IFERROR(IF(D29="","",FIXED(Calibración!F32,decim+1)),"")</f>
        <v>0.12</v>
      </c>
      <c r="S29" s="330"/>
      <c r="T29" s="330"/>
      <c r="U29" s="330"/>
      <c r="V29" s="330"/>
      <c r="W29" s="330"/>
      <c r="X29" s="330"/>
    </row>
    <row r="30" spans="1:25" x14ac:dyDescent="0.25">
      <c r="A30" s="96"/>
      <c r="B30" s="96"/>
      <c r="C30" s="96"/>
      <c r="D30" s="330" t="str">
        <f ca="1">IFERROR(FIXED(Calibración!C33,decim+1),"")</f>
        <v>0.00</v>
      </c>
      <c r="E30" s="330"/>
      <c r="F30" s="330" t="str">
        <f>IFERROR(FIXED(Calibración!D33,decim),"")</f>
        <v>0.0</v>
      </c>
      <c r="G30" s="330"/>
      <c r="H30" s="330"/>
      <c r="I30" s="330"/>
      <c r="J30" s="330"/>
      <c r="K30" s="330"/>
      <c r="L30" s="330" t="str">
        <f ca="1">IFERROR(FIXED(Calibración!E33,decim),"")</f>
        <v>0.0</v>
      </c>
      <c r="M30" s="330"/>
      <c r="N30" s="330"/>
      <c r="O30" s="330"/>
      <c r="P30" s="330"/>
      <c r="Q30" s="330"/>
      <c r="R30" s="330" t="str">
        <f ca="1">IFERROR(IF(D30="","",FIXED(Calibración!F33,decim+1)),"")</f>
        <v>0.12</v>
      </c>
      <c r="S30" s="330"/>
      <c r="T30" s="330"/>
      <c r="U30" s="330"/>
      <c r="V30" s="330"/>
      <c r="W30" s="330"/>
      <c r="X30" s="330"/>
    </row>
    <row r="31" spans="1:25" x14ac:dyDescent="0.25">
      <c r="A31" s="96"/>
      <c r="B31" s="96"/>
      <c r="C31" s="96"/>
      <c r="D31" s="330" t="str">
        <f ca="1">IFERROR(FIXED(Calibración!C34,decim+1),"")</f>
        <v>0.00</v>
      </c>
      <c r="E31" s="330"/>
      <c r="F31" s="330" t="str">
        <f>IFERROR(FIXED(Calibración!D34,decim),"")</f>
        <v>0.0</v>
      </c>
      <c r="G31" s="330"/>
      <c r="H31" s="330"/>
      <c r="I31" s="330"/>
      <c r="J31" s="330"/>
      <c r="K31" s="330"/>
      <c r="L31" s="330" t="str">
        <f ca="1">IFERROR(FIXED(Calibración!E34,decim),"")</f>
        <v>0.0</v>
      </c>
      <c r="M31" s="330"/>
      <c r="N31" s="330"/>
      <c r="O31" s="330"/>
      <c r="P31" s="330"/>
      <c r="Q31" s="330"/>
      <c r="R31" s="330" t="str">
        <f ca="1">IFERROR(IF(D31="","",FIXED(Calibración!F34,decim+1)),"")</f>
        <v>0.12</v>
      </c>
      <c r="S31" s="330"/>
      <c r="T31" s="330"/>
      <c r="U31" s="330"/>
      <c r="V31" s="330"/>
      <c r="W31" s="330"/>
      <c r="X31" s="330"/>
    </row>
    <row r="32" spans="1:25" x14ac:dyDescent="0.25">
      <c r="A32" s="96"/>
      <c r="B32" s="96"/>
      <c r="C32" s="96"/>
      <c r="D32" s="330" t="str">
        <f ca="1">IFERROR(FIXED(Calibración!C35,decim+1),"")</f>
        <v>0.00</v>
      </c>
      <c r="E32" s="330"/>
      <c r="F32" s="330" t="str">
        <f>IFERROR(FIXED(Calibración!D35,decim),"")</f>
        <v>0.0</v>
      </c>
      <c r="G32" s="330"/>
      <c r="H32" s="330"/>
      <c r="I32" s="330"/>
      <c r="J32" s="330"/>
      <c r="K32" s="330"/>
      <c r="L32" s="330" t="str">
        <f ca="1">IFERROR(FIXED(Calibración!E35,decim),"")</f>
        <v>0.0</v>
      </c>
      <c r="M32" s="330"/>
      <c r="N32" s="330"/>
      <c r="O32" s="330"/>
      <c r="P32" s="330"/>
      <c r="Q32" s="330"/>
      <c r="R32" s="330" t="str">
        <f ca="1">IFERROR(IF(D32="","",FIXED(Calibración!F35,decim+1)),"")</f>
        <v>0.12</v>
      </c>
      <c r="S32" s="330"/>
      <c r="T32" s="330"/>
      <c r="U32" s="330"/>
      <c r="V32" s="330"/>
      <c r="W32" s="330"/>
      <c r="X32" s="330"/>
    </row>
    <row r="33" spans="1:24" x14ac:dyDescent="0.25">
      <c r="A33" s="96"/>
      <c r="B33" s="96"/>
      <c r="C33" s="96"/>
      <c r="D33" s="330" t="str">
        <f ca="1">IFERROR(FIXED(Calibración!C36,decim+1),"")</f>
        <v>0.00</v>
      </c>
      <c r="E33" s="330"/>
      <c r="F33" s="330" t="str">
        <f>IFERROR(FIXED(Calibración!D36,decim),"")</f>
        <v>0.0</v>
      </c>
      <c r="G33" s="330"/>
      <c r="H33" s="330"/>
      <c r="I33" s="330"/>
      <c r="J33" s="330"/>
      <c r="K33" s="330"/>
      <c r="L33" s="330" t="str">
        <f ca="1">IFERROR(FIXED(Calibración!E36,decim),"")</f>
        <v>0.0</v>
      </c>
      <c r="M33" s="330"/>
      <c r="N33" s="330"/>
      <c r="O33" s="330"/>
      <c r="P33" s="330"/>
      <c r="Q33" s="330"/>
      <c r="R33" s="330" t="str">
        <f ca="1">IFERROR(IF(D33="","",FIXED(Calibración!F36,decim+1)),"")</f>
        <v>0.12</v>
      </c>
      <c r="S33" s="330"/>
      <c r="T33" s="330"/>
      <c r="U33" s="330"/>
      <c r="V33" s="330"/>
      <c r="W33" s="330"/>
      <c r="X33" s="330"/>
    </row>
    <row r="34" spans="1:24" x14ac:dyDescent="0.25">
      <c r="A34" s="96"/>
      <c r="B34" s="96"/>
      <c r="C34" s="96"/>
      <c r="D34" s="330" t="str">
        <f ca="1">IFERROR(FIXED(Calibración!C37,decim+1),"")</f>
        <v>0.00</v>
      </c>
      <c r="E34" s="330"/>
      <c r="F34" s="330" t="str">
        <f>IFERROR(FIXED(Calibración!D37,decim),"")</f>
        <v>0.0</v>
      </c>
      <c r="G34" s="330"/>
      <c r="H34" s="330"/>
      <c r="I34" s="330"/>
      <c r="J34" s="330"/>
      <c r="K34" s="330"/>
      <c r="L34" s="330" t="str">
        <f ca="1">IFERROR(FIXED(Calibración!E37,decim),"")</f>
        <v>0.0</v>
      </c>
      <c r="M34" s="330"/>
      <c r="N34" s="330"/>
      <c r="O34" s="330"/>
      <c r="P34" s="330"/>
      <c r="Q34" s="330"/>
      <c r="R34" s="330" t="str">
        <f ca="1">IFERROR(IF(D34="","",FIXED(Calibración!F37,decim+1)),"")</f>
        <v>0.12</v>
      </c>
      <c r="S34" s="330"/>
      <c r="T34" s="330"/>
      <c r="U34" s="330"/>
      <c r="V34" s="330"/>
      <c r="W34" s="330"/>
      <c r="X34" s="330"/>
    </row>
    <row r="35" spans="1:24" x14ac:dyDescent="0.25">
      <c r="A35" s="96"/>
      <c r="B35" s="96"/>
      <c r="C35" s="96"/>
      <c r="D35" s="330" t="str">
        <f ca="1">IFERROR(FIXED(Calibración!C38,decim+1),"")</f>
        <v>0.00</v>
      </c>
      <c r="E35" s="330"/>
      <c r="F35" s="330" t="str">
        <f>IFERROR(FIXED(Calibración!D38,decim),"")</f>
        <v>0.0</v>
      </c>
      <c r="G35" s="330"/>
      <c r="H35" s="330"/>
      <c r="I35" s="330"/>
      <c r="J35" s="330"/>
      <c r="K35" s="330"/>
      <c r="L35" s="330" t="str">
        <f ca="1">IFERROR(FIXED(Calibración!E38,decim),"")</f>
        <v>0.0</v>
      </c>
      <c r="M35" s="330"/>
      <c r="N35" s="330"/>
      <c r="O35" s="330"/>
      <c r="P35" s="330"/>
      <c r="Q35" s="330"/>
      <c r="R35" s="330" t="str">
        <f ca="1">IFERROR(IF(D35="","",FIXED(Calibración!F38,decim+1)),"")</f>
        <v>0.12</v>
      </c>
      <c r="S35" s="330"/>
      <c r="T35" s="330"/>
      <c r="U35" s="330"/>
      <c r="V35" s="330"/>
      <c r="W35" s="330"/>
      <c r="X35" s="330"/>
    </row>
    <row r="36" spans="1:24" x14ac:dyDescent="0.25">
      <c r="A36" s="96"/>
      <c r="B36" s="96"/>
      <c r="C36" s="96"/>
      <c r="D36" s="330" t="str">
        <f ca="1">IFERROR(FIXED(Calibración!C39,decim+1),"")</f>
        <v>0.00</v>
      </c>
      <c r="E36" s="330"/>
      <c r="F36" s="330" t="str">
        <f>IFERROR(FIXED(Calibración!D39,decim),"")</f>
        <v>0.0</v>
      </c>
      <c r="G36" s="330"/>
      <c r="H36" s="330"/>
      <c r="I36" s="330"/>
      <c r="J36" s="330"/>
      <c r="K36" s="330"/>
      <c r="L36" s="330" t="str">
        <f ca="1">IFERROR(FIXED(Calibración!E39,decim),"")</f>
        <v>0.0</v>
      </c>
      <c r="M36" s="330"/>
      <c r="N36" s="330"/>
      <c r="O36" s="330"/>
      <c r="P36" s="330"/>
      <c r="Q36" s="330"/>
      <c r="R36" s="330" t="str">
        <f ca="1">IFERROR(IF(D36="","",FIXED(Calibración!F39,decim+1)),"")</f>
        <v>0.12</v>
      </c>
      <c r="S36" s="330"/>
      <c r="T36" s="330"/>
      <c r="U36" s="330"/>
      <c r="V36" s="330"/>
      <c r="W36" s="330"/>
      <c r="X36" s="330"/>
    </row>
    <row r="37" spans="1:24" x14ac:dyDescent="0.25">
      <c r="A37" s="96"/>
      <c r="B37" s="96"/>
      <c r="C37" s="96"/>
      <c r="D37" s="330" t="str">
        <f ca="1">IFERROR(FIXED(Calibración!C40,decim+1),"")</f>
        <v>0.00</v>
      </c>
      <c r="E37" s="330"/>
      <c r="F37" s="330" t="str">
        <f>IFERROR(FIXED(Calibración!D40,decim),"")</f>
        <v>0.0</v>
      </c>
      <c r="G37" s="330"/>
      <c r="H37" s="330"/>
      <c r="I37" s="330"/>
      <c r="J37" s="330"/>
      <c r="K37" s="330"/>
      <c r="L37" s="330" t="str">
        <f ca="1">IFERROR(FIXED(Calibración!E40,decim),"")</f>
        <v>0.0</v>
      </c>
      <c r="M37" s="330"/>
      <c r="N37" s="330"/>
      <c r="O37" s="330"/>
      <c r="P37" s="330"/>
      <c r="Q37" s="330"/>
      <c r="R37" s="330" t="str">
        <f ca="1">IFERROR(IF(D37="","",FIXED(Calibración!F40,decim+1)),"")</f>
        <v>0.12</v>
      </c>
      <c r="S37" s="330"/>
      <c r="T37" s="330"/>
      <c r="U37" s="330"/>
      <c r="V37" s="330"/>
      <c r="W37" s="330"/>
      <c r="X37" s="330"/>
    </row>
    <row r="38" spans="1:24" x14ac:dyDescent="0.25">
      <c r="A38" s="96"/>
      <c r="B38" s="96"/>
      <c r="C38" s="96"/>
      <c r="D38" s="330" t="str">
        <f ca="1">IFERROR(FIXED(Calibración!C41,decim+1),"")</f>
        <v>0.00</v>
      </c>
      <c r="E38" s="330"/>
      <c r="F38" s="330" t="str">
        <f>IFERROR(FIXED(Calibración!D41,decim),"")</f>
        <v>0.0</v>
      </c>
      <c r="G38" s="330"/>
      <c r="H38" s="330"/>
      <c r="I38" s="330"/>
      <c r="J38" s="330"/>
      <c r="K38" s="330"/>
      <c r="L38" s="330" t="str">
        <f ca="1">IFERROR(FIXED(Calibración!E41,decim),"")</f>
        <v>0.0</v>
      </c>
      <c r="M38" s="330"/>
      <c r="N38" s="330"/>
      <c r="O38" s="330"/>
      <c r="P38" s="330"/>
      <c r="Q38" s="330"/>
      <c r="R38" s="330" t="str">
        <f ca="1">IFERROR(IF(D38="","",FIXED(Calibración!F41,decim+1)),"")</f>
        <v>0.12</v>
      </c>
      <c r="S38" s="330"/>
      <c r="T38" s="330"/>
      <c r="U38" s="330"/>
      <c r="V38" s="330"/>
      <c r="W38" s="330"/>
      <c r="X38" s="330"/>
    </row>
    <row r="39" spans="1:24" x14ac:dyDescent="0.25">
      <c r="A39" s="96"/>
      <c r="B39" s="96"/>
      <c r="C39" s="96"/>
      <c r="D39" s="330" t="str">
        <f>IFERROR(FIXED(Calibración!C42,decim+1),"")</f>
        <v>0.00</v>
      </c>
      <c r="E39" s="330"/>
      <c r="F39" s="330" t="str">
        <f>IFERROR(FIXED(Calibración!D42,decim),"")</f>
        <v>0.0</v>
      </c>
      <c r="G39" s="330"/>
      <c r="H39" s="330"/>
      <c r="I39" s="330"/>
      <c r="J39" s="330"/>
      <c r="K39" s="330"/>
      <c r="L39" s="330" t="str">
        <f>IFERROR(FIXED(Calibración!E42,decim),"")</f>
        <v>0.0</v>
      </c>
      <c r="M39" s="330"/>
      <c r="N39" s="330"/>
      <c r="O39" s="330"/>
      <c r="P39" s="330"/>
      <c r="Q39" s="330"/>
      <c r="R39" s="330" t="str">
        <f>IFERROR(IF(D39="","",FIXED(Calibración!F42,decim+1)),"")</f>
        <v>0.00</v>
      </c>
      <c r="S39" s="330"/>
      <c r="T39" s="330"/>
      <c r="U39" s="330"/>
      <c r="V39" s="330"/>
      <c r="W39" s="330"/>
      <c r="X39" s="330"/>
    </row>
    <row r="40" spans="1:24" ht="12.75" customHeight="1" x14ac:dyDescent="0.25">
      <c r="D40" s="330" t="str">
        <f>IFERROR(FIXED(Calibración!C43,decim+1),"")</f>
        <v/>
      </c>
      <c r="E40" s="330"/>
      <c r="F40" s="330" t="str">
        <f>IFERROR(FIXED(Calibración!D43,decim),"")</f>
        <v>0.0</v>
      </c>
      <c r="G40" s="330"/>
      <c r="H40" s="330"/>
      <c r="I40" s="330"/>
      <c r="J40" s="330"/>
      <c r="K40" s="330"/>
      <c r="L40" s="330" t="str">
        <f>IFERROR(FIXED(Calibración!E43,decim),"")</f>
        <v>0.0</v>
      </c>
      <c r="M40" s="330"/>
      <c r="N40" s="330"/>
      <c r="O40" s="330"/>
      <c r="P40" s="330"/>
      <c r="Q40" s="330"/>
      <c r="R40" s="330" t="str">
        <f>IFERROR(IF(D40="","",FIXED(Calibración!F43,decim+1)),"")</f>
        <v/>
      </c>
      <c r="S40" s="330"/>
      <c r="T40" s="330"/>
      <c r="U40" s="330"/>
      <c r="V40" s="330"/>
      <c r="W40" s="330"/>
      <c r="X40" s="330"/>
    </row>
    <row r="41" spans="1:24" ht="12.75" customHeight="1" x14ac:dyDescent="0.25"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</row>
    <row r="42" spans="1:24" ht="12.75" customHeight="1" x14ac:dyDescent="0.25"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</row>
    <row r="43" spans="1:24" ht="12.75" customHeight="1" x14ac:dyDescent="0.25"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</row>
    <row r="44" spans="1:24" ht="12.75" customHeight="1" x14ac:dyDescent="0.25"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</row>
    <row r="45" spans="1:24" ht="12.75" customHeight="1" x14ac:dyDescent="0.25"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</row>
    <row r="46" spans="1:24" ht="12.75" customHeight="1" x14ac:dyDescent="0.25"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</row>
    <row r="47" spans="1:24" ht="12.75" customHeight="1" x14ac:dyDescent="0.25"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</row>
    <row r="48" spans="1:24" ht="12.75" customHeight="1" x14ac:dyDescent="0.25"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</row>
    <row r="49" spans="1:24" ht="12.75" customHeight="1" x14ac:dyDescent="0.25"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</row>
    <row r="50" spans="1:24" x14ac:dyDescent="0.25">
      <c r="A50" s="175" t="s">
        <v>1601</v>
      </c>
      <c r="D50" s="180"/>
      <c r="E50" s="180"/>
      <c r="F50" s="18"/>
      <c r="G50" s="18"/>
      <c r="H50" s="18"/>
      <c r="I50" s="18"/>
      <c r="J50" s="18"/>
      <c r="K50" s="18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</row>
    <row r="51" spans="1:24" x14ac:dyDescent="0.25">
      <c r="A51" s="175"/>
      <c r="D51" s="180"/>
      <c r="E51" s="180"/>
      <c r="F51" s="18"/>
      <c r="G51" s="18"/>
      <c r="H51" s="18"/>
      <c r="I51" s="18"/>
      <c r="J51" s="18"/>
      <c r="K51" s="18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</row>
    <row r="52" spans="1:24" x14ac:dyDescent="0.25">
      <c r="A52" s="175"/>
      <c r="D52" s="180"/>
      <c r="E52" s="180"/>
      <c r="F52" s="18"/>
      <c r="G52" s="18"/>
      <c r="H52" s="18"/>
      <c r="I52" s="18"/>
      <c r="J52" s="18"/>
      <c r="K52" s="18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</row>
    <row r="53" spans="1:24" x14ac:dyDescent="0.25">
      <c r="A53" s="175"/>
      <c r="D53" s="180"/>
      <c r="E53" s="180"/>
      <c r="F53" s="18"/>
      <c r="G53" s="18"/>
      <c r="H53" s="18"/>
      <c r="I53" s="18"/>
      <c r="J53" s="18"/>
      <c r="K53" s="18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</row>
    <row r="54" spans="1:24" x14ac:dyDescent="0.25">
      <c r="A54" s="175"/>
      <c r="D54" s="180"/>
      <c r="E54" s="180"/>
      <c r="F54" s="18"/>
      <c r="G54" s="18"/>
      <c r="H54" s="18"/>
      <c r="I54" s="18"/>
      <c r="J54" s="18"/>
      <c r="K54" s="18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</row>
    <row r="55" spans="1:24" x14ac:dyDescent="0.25">
      <c r="A55" s="175"/>
      <c r="D55" s="180"/>
      <c r="E55" s="180"/>
      <c r="F55" s="18"/>
      <c r="G55" s="18"/>
      <c r="H55" s="18"/>
      <c r="I55" s="18"/>
      <c r="J55" s="18"/>
      <c r="K55" s="18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</row>
    <row r="56" spans="1:24" x14ac:dyDescent="0.25">
      <c r="A56" s="175"/>
      <c r="D56" s="180"/>
      <c r="E56" s="180"/>
      <c r="F56" s="18"/>
      <c r="G56" s="18"/>
      <c r="H56" s="18"/>
      <c r="I56" s="18"/>
      <c r="J56" s="18"/>
      <c r="K56" s="18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</row>
    <row r="57" spans="1:24" x14ac:dyDescent="0.25">
      <c r="A57" s="175"/>
      <c r="D57" s="180"/>
      <c r="E57" s="180"/>
      <c r="F57" s="18"/>
      <c r="G57" s="18"/>
      <c r="H57" s="18"/>
      <c r="I57" s="18"/>
      <c r="J57" s="18"/>
      <c r="K57" s="18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</row>
    <row r="58" spans="1:24" ht="15" customHeight="1" x14ac:dyDescent="0.25">
      <c r="D58" s="180"/>
      <c r="E58" s="180"/>
      <c r="F58" s="18"/>
      <c r="G58" s="18"/>
      <c r="H58" s="18"/>
      <c r="I58" s="18"/>
      <c r="J58" s="18"/>
      <c r="K58" s="18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</row>
    <row r="59" spans="1:24" x14ac:dyDescent="0.25">
      <c r="A59" s="96"/>
      <c r="B59" s="96"/>
      <c r="C59" s="96"/>
      <c r="D59" s="331" t="s">
        <v>261</v>
      </c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3"/>
    </row>
    <row r="60" spans="1:24" ht="15" customHeight="1" x14ac:dyDescent="0.25">
      <c r="A60" s="96"/>
      <c r="B60" s="96"/>
      <c r="C60" s="96"/>
      <c r="D60" s="334" t="s">
        <v>259</v>
      </c>
      <c r="E60" s="335"/>
      <c r="F60" s="334" t="s">
        <v>335</v>
      </c>
      <c r="G60" s="338"/>
      <c r="H60" s="338"/>
      <c r="I60" s="338"/>
      <c r="J60" s="338"/>
      <c r="K60" s="335"/>
      <c r="L60" s="340" t="s">
        <v>258</v>
      </c>
      <c r="M60" s="341"/>
      <c r="N60" s="341"/>
      <c r="O60" s="341"/>
      <c r="P60" s="341"/>
      <c r="Q60" s="342"/>
      <c r="R60" s="334" t="s">
        <v>334</v>
      </c>
      <c r="S60" s="338"/>
      <c r="T60" s="338"/>
      <c r="U60" s="338"/>
      <c r="V60" s="338"/>
      <c r="W60" s="338"/>
      <c r="X60" s="335"/>
    </row>
    <row r="61" spans="1:24" x14ac:dyDescent="0.25">
      <c r="A61" s="96"/>
      <c r="B61" s="96"/>
      <c r="C61" s="96"/>
      <c r="D61" s="336"/>
      <c r="E61" s="337"/>
      <c r="F61" s="336"/>
      <c r="G61" s="339"/>
      <c r="H61" s="339"/>
      <c r="I61" s="339"/>
      <c r="J61" s="339"/>
      <c r="K61" s="337"/>
      <c r="L61" s="343"/>
      <c r="M61" s="344"/>
      <c r="N61" s="344"/>
      <c r="O61" s="344"/>
      <c r="P61" s="344"/>
      <c r="Q61" s="345"/>
      <c r="R61" s="336"/>
      <c r="S61" s="339"/>
      <c r="T61" s="339"/>
      <c r="U61" s="339"/>
      <c r="V61" s="339"/>
      <c r="W61" s="339"/>
      <c r="X61" s="337"/>
    </row>
    <row r="62" spans="1:24" x14ac:dyDescent="0.25">
      <c r="A62" s="96"/>
      <c r="B62" s="96"/>
      <c r="C62" s="96"/>
      <c r="D62" s="327" t="s">
        <v>1603</v>
      </c>
      <c r="E62" s="328"/>
      <c r="F62" s="327" t="s">
        <v>1603</v>
      </c>
      <c r="G62" s="329"/>
      <c r="H62" s="329"/>
      <c r="I62" s="329"/>
      <c r="J62" s="329"/>
      <c r="K62" s="328"/>
      <c r="L62" s="327" t="s">
        <v>1603</v>
      </c>
      <c r="M62" s="329"/>
      <c r="N62" s="329"/>
      <c r="O62" s="329"/>
      <c r="P62" s="329"/>
      <c r="Q62" s="328"/>
      <c r="R62" s="327" t="s">
        <v>1603</v>
      </c>
      <c r="S62" s="329"/>
      <c r="T62" s="329"/>
      <c r="U62" s="329"/>
      <c r="V62" s="329"/>
      <c r="W62" s="329"/>
      <c r="X62" s="328"/>
    </row>
    <row r="63" spans="1:24" x14ac:dyDescent="0.25">
      <c r="A63" s="96"/>
      <c r="B63" s="96"/>
      <c r="C63" s="96"/>
      <c r="D63" s="319">
        <f ca="1">CONVERT(D29,"C","F")</f>
        <v>32</v>
      </c>
      <c r="E63" s="320"/>
      <c r="F63" s="319">
        <f>CONVERT(F29,"C","F")</f>
        <v>32</v>
      </c>
      <c r="G63" s="321"/>
      <c r="H63" s="321">
        <f>CONVERT(H29,"F","C")</f>
        <v>-17.777777777777779</v>
      </c>
      <c r="I63" s="321"/>
      <c r="J63" s="321">
        <f>CONVERT(J29,"F","C")</f>
        <v>-17.777777777777779</v>
      </c>
      <c r="K63" s="320"/>
      <c r="L63" s="319">
        <f ca="1">F63-D63</f>
        <v>0</v>
      </c>
      <c r="M63" s="321"/>
      <c r="N63" s="321"/>
      <c r="O63" s="321"/>
      <c r="P63" s="321"/>
      <c r="Q63" s="320"/>
      <c r="R63" s="322">
        <f ca="1">R29*1.8</f>
        <v>0.216</v>
      </c>
      <c r="S63" s="323"/>
      <c r="T63" s="323"/>
      <c r="U63" s="323"/>
      <c r="V63" s="323"/>
      <c r="W63" s="323"/>
      <c r="X63" s="324"/>
    </row>
    <row r="64" spans="1:24" x14ac:dyDescent="0.25">
      <c r="A64" s="96"/>
      <c r="B64" s="96"/>
      <c r="C64" s="96"/>
      <c r="D64" s="319">
        <f t="shared" ref="D64:D73" ca="1" si="0">CONVERT(D30,"C","F")</f>
        <v>32</v>
      </c>
      <c r="E64" s="320"/>
      <c r="F64" s="319">
        <f t="shared" ref="F64:F73" si="1">CONVERT(F30,"C","F")</f>
        <v>32</v>
      </c>
      <c r="G64" s="321"/>
      <c r="H64" s="321">
        <f t="shared" ref="H64:H73" si="2">CONVERT(H30,"F","C")</f>
        <v>-17.777777777777779</v>
      </c>
      <c r="I64" s="321"/>
      <c r="J64" s="321">
        <f t="shared" ref="J64:J73" si="3">CONVERT(J30,"F","C")</f>
        <v>-17.777777777777779</v>
      </c>
      <c r="K64" s="320"/>
      <c r="L64" s="319">
        <f ca="1">F64-D64</f>
        <v>0</v>
      </c>
      <c r="M64" s="321"/>
      <c r="N64" s="321"/>
      <c r="O64" s="321"/>
      <c r="P64" s="321"/>
      <c r="Q64" s="320"/>
      <c r="R64" s="322">
        <f t="shared" ref="R64:R73" ca="1" si="4">R30*1.8</f>
        <v>0.216</v>
      </c>
      <c r="S64" s="323"/>
      <c r="T64" s="323"/>
      <c r="U64" s="323"/>
      <c r="V64" s="323"/>
      <c r="W64" s="323"/>
      <c r="X64" s="324"/>
    </row>
    <row r="65" spans="1:26" x14ac:dyDescent="0.25">
      <c r="A65" s="96"/>
      <c r="B65" s="96"/>
      <c r="C65" s="96"/>
      <c r="D65" s="319">
        <f t="shared" ca="1" si="0"/>
        <v>32</v>
      </c>
      <c r="E65" s="320"/>
      <c r="F65" s="319">
        <f t="shared" si="1"/>
        <v>32</v>
      </c>
      <c r="G65" s="321"/>
      <c r="H65" s="321">
        <f t="shared" si="2"/>
        <v>-17.777777777777779</v>
      </c>
      <c r="I65" s="321"/>
      <c r="J65" s="321">
        <f t="shared" si="3"/>
        <v>-17.777777777777779</v>
      </c>
      <c r="K65" s="320"/>
      <c r="L65" s="319">
        <f ca="1">F65-D65</f>
        <v>0</v>
      </c>
      <c r="M65" s="321"/>
      <c r="N65" s="321"/>
      <c r="O65" s="321"/>
      <c r="P65" s="321"/>
      <c r="Q65" s="320"/>
      <c r="R65" s="322">
        <f t="shared" ca="1" si="4"/>
        <v>0.216</v>
      </c>
      <c r="S65" s="323"/>
      <c r="T65" s="323"/>
      <c r="U65" s="323"/>
      <c r="V65" s="323"/>
      <c r="W65" s="323"/>
      <c r="X65" s="324"/>
    </row>
    <row r="66" spans="1:26" x14ac:dyDescent="0.25">
      <c r="A66" s="96"/>
      <c r="B66" s="96"/>
      <c r="C66" s="96"/>
      <c r="D66" s="319">
        <f t="shared" ca="1" si="0"/>
        <v>32</v>
      </c>
      <c r="E66" s="320"/>
      <c r="F66" s="319">
        <f t="shared" si="1"/>
        <v>32</v>
      </c>
      <c r="G66" s="321"/>
      <c r="H66" s="321">
        <f t="shared" si="2"/>
        <v>-17.777777777777779</v>
      </c>
      <c r="I66" s="321"/>
      <c r="J66" s="321">
        <f t="shared" si="3"/>
        <v>-17.777777777777779</v>
      </c>
      <c r="K66" s="320"/>
      <c r="L66" s="319">
        <f ca="1">F66-D66</f>
        <v>0</v>
      </c>
      <c r="M66" s="321"/>
      <c r="N66" s="321"/>
      <c r="O66" s="321"/>
      <c r="P66" s="321"/>
      <c r="Q66" s="320"/>
      <c r="R66" s="322">
        <f t="shared" ca="1" si="4"/>
        <v>0.216</v>
      </c>
      <c r="S66" s="323"/>
      <c r="T66" s="323"/>
      <c r="U66" s="323"/>
      <c r="V66" s="323"/>
      <c r="W66" s="323"/>
      <c r="X66" s="324"/>
    </row>
    <row r="67" spans="1:26" x14ac:dyDescent="0.25">
      <c r="A67" s="96"/>
      <c r="B67" s="96"/>
      <c r="C67" s="96"/>
      <c r="D67" s="319">
        <f t="shared" ca="1" si="0"/>
        <v>32</v>
      </c>
      <c r="E67" s="320"/>
      <c r="F67" s="319">
        <f t="shared" si="1"/>
        <v>32</v>
      </c>
      <c r="G67" s="321"/>
      <c r="H67" s="321">
        <f t="shared" si="2"/>
        <v>-17.777777777777779</v>
      </c>
      <c r="I67" s="321"/>
      <c r="J67" s="321">
        <f t="shared" si="3"/>
        <v>-17.777777777777779</v>
      </c>
      <c r="K67" s="320"/>
      <c r="L67" s="319">
        <f ca="1">F67-D67</f>
        <v>0</v>
      </c>
      <c r="M67" s="321"/>
      <c r="N67" s="321"/>
      <c r="O67" s="321"/>
      <c r="P67" s="321"/>
      <c r="Q67" s="320"/>
      <c r="R67" s="322">
        <f t="shared" ca="1" si="4"/>
        <v>0.216</v>
      </c>
      <c r="S67" s="323"/>
      <c r="T67" s="323"/>
      <c r="U67" s="323"/>
      <c r="V67" s="323"/>
      <c r="W67" s="323"/>
      <c r="X67" s="324"/>
    </row>
    <row r="68" spans="1:26" x14ac:dyDescent="0.25">
      <c r="A68" s="96"/>
      <c r="B68" s="96"/>
      <c r="C68" s="96"/>
      <c r="D68" s="319">
        <f t="shared" ca="1" si="0"/>
        <v>32</v>
      </c>
      <c r="E68" s="320"/>
      <c r="F68" s="319">
        <f t="shared" si="1"/>
        <v>32</v>
      </c>
      <c r="G68" s="321"/>
      <c r="H68" s="321">
        <f t="shared" si="2"/>
        <v>-17.777777777777779</v>
      </c>
      <c r="I68" s="321"/>
      <c r="J68" s="321">
        <f t="shared" si="3"/>
        <v>-17.777777777777779</v>
      </c>
      <c r="K68" s="320"/>
      <c r="L68" s="319">
        <f t="shared" ref="L68:L73" ca="1" si="5">F68-D68</f>
        <v>0</v>
      </c>
      <c r="M68" s="321"/>
      <c r="N68" s="321"/>
      <c r="O68" s="321"/>
      <c r="P68" s="321"/>
      <c r="Q68" s="320"/>
      <c r="R68" s="322">
        <f t="shared" ca="1" si="4"/>
        <v>0.216</v>
      </c>
      <c r="S68" s="323"/>
      <c r="T68" s="323"/>
      <c r="U68" s="323"/>
      <c r="V68" s="323"/>
      <c r="W68" s="323"/>
      <c r="X68" s="324"/>
    </row>
    <row r="69" spans="1:26" x14ac:dyDescent="0.25">
      <c r="A69" s="96"/>
      <c r="B69" s="96"/>
      <c r="C69" s="96"/>
      <c r="D69" s="319">
        <f t="shared" ca="1" si="0"/>
        <v>32</v>
      </c>
      <c r="E69" s="320"/>
      <c r="F69" s="319">
        <f t="shared" si="1"/>
        <v>32</v>
      </c>
      <c r="G69" s="321"/>
      <c r="H69" s="321">
        <f t="shared" si="2"/>
        <v>-17.777777777777779</v>
      </c>
      <c r="I69" s="321"/>
      <c r="J69" s="321">
        <f t="shared" si="3"/>
        <v>-17.777777777777779</v>
      </c>
      <c r="K69" s="320"/>
      <c r="L69" s="319">
        <f t="shared" ca="1" si="5"/>
        <v>0</v>
      </c>
      <c r="M69" s="321"/>
      <c r="N69" s="321"/>
      <c r="O69" s="321"/>
      <c r="P69" s="321"/>
      <c r="Q69" s="320"/>
      <c r="R69" s="322">
        <f t="shared" ca="1" si="4"/>
        <v>0.216</v>
      </c>
      <c r="S69" s="323"/>
      <c r="T69" s="323"/>
      <c r="U69" s="323"/>
      <c r="V69" s="323"/>
      <c r="W69" s="323"/>
      <c r="X69" s="324"/>
    </row>
    <row r="70" spans="1:26" x14ac:dyDescent="0.25">
      <c r="A70" s="96"/>
      <c r="B70" s="96"/>
      <c r="C70" s="96"/>
      <c r="D70" s="319">
        <f t="shared" ca="1" si="0"/>
        <v>32</v>
      </c>
      <c r="E70" s="320"/>
      <c r="F70" s="319">
        <f t="shared" si="1"/>
        <v>32</v>
      </c>
      <c r="G70" s="321"/>
      <c r="H70" s="321">
        <f t="shared" si="2"/>
        <v>-17.777777777777779</v>
      </c>
      <c r="I70" s="321"/>
      <c r="J70" s="321">
        <f t="shared" si="3"/>
        <v>-17.777777777777779</v>
      </c>
      <c r="K70" s="320"/>
      <c r="L70" s="319">
        <f t="shared" ca="1" si="5"/>
        <v>0</v>
      </c>
      <c r="M70" s="321"/>
      <c r="N70" s="321"/>
      <c r="O70" s="321"/>
      <c r="P70" s="321"/>
      <c r="Q70" s="320"/>
      <c r="R70" s="322">
        <f t="shared" ca="1" si="4"/>
        <v>0.216</v>
      </c>
      <c r="S70" s="323"/>
      <c r="T70" s="323"/>
      <c r="U70" s="323"/>
      <c r="V70" s="323"/>
      <c r="W70" s="323"/>
      <c r="X70" s="324"/>
    </row>
    <row r="71" spans="1:26" x14ac:dyDescent="0.25">
      <c r="A71" s="96"/>
      <c r="B71" s="96"/>
      <c r="C71" s="96"/>
      <c r="D71" s="319">
        <f t="shared" ca="1" si="0"/>
        <v>32</v>
      </c>
      <c r="E71" s="320"/>
      <c r="F71" s="319">
        <f t="shared" si="1"/>
        <v>32</v>
      </c>
      <c r="G71" s="321"/>
      <c r="H71" s="321">
        <f t="shared" si="2"/>
        <v>-17.777777777777779</v>
      </c>
      <c r="I71" s="321"/>
      <c r="J71" s="321">
        <f t="shared" si="3"/>
        <v>-17.777777777777779</v>
      </c>
      <c r="K71" s="320"/>
      <c r="L71" s="319">
        <f t="shared" ca="1" si="5"/>
        <v>0</v>
      </c>
      <c r="M71" s="321"/>
      <c r="N71" s="321"/>
      <c r="O71" s="321"/>
      <c r="P71" s="321"/>
      <c r="Q71" s="320"/>
      <c r="R71" s="322">
        <f t="shared" ca="1" si="4"/>
        <v>0.216</v>
      </c>
      <c r="S71" s="323"/>
      <c r="T71" s="323"/>
      <c r="U71" s="323"/>
      <c r="V71" s="323"/>
      <c r="W71" s="323"/>
      <c r="X71" s="324"/>
    </row>
    <row r="72" spans="1:26" x14ac:dyDescent="0.25">
      <c r="A72" s="96"/>
      <c r="B72" s="96"/>
      <c r="C72" s="96"/>
      <c r="D72" s="319">
        <f t="shared" ca="1" si="0"/>
        <v>32</v>
      </c>
      <c r="E72" s="320"/>
      <c r="F72" s="319">
        <f t="shared" si="1"/>
        <v>32</v>
      </c>
      <c r="G72" s="321"/>
      <c r="H72" s="321">
        <f t="shared" si="2"/>
        <v>-17.777777777777779</v>
      </c>
      <c r="I72" s="321"/>
      <c r="J72" s="321">
        <f t="shared" si="3"/>
        <v>-17.777777777777779</v>
      </c>
      <c r="K72" s="320"/>
      <c r="L72" s="319">
        <f t="shared" ca="1" si="5"/>
        <v>0</v>
      </c>
      <c r="M72" s="321"/>
      <c r="N72" s="321"/>
      <c r="O72" s="321"/>
      <c r="P72" s="321"/>
      <c r="Q72" s="320"/>
      <c r="R72" s="322">
        <f t="shared" ca="1" si="4"/>
        <v>0.216</v>
      </c>
      <c r="S72" s="323"/>
      <c r="T72" s="323"/>
      <c r="U72" s="323"/>
      <c r="V72" s="323"/>
      <c r="W72" s="323"/>
      <c r="X72" s="324"/>
    </row>
    <row r="73" spans="1:26" ht="13.9" customHeight="1" x14ac:dyDescent="0.25">
      <c r="D73" s="319">
        <f t="shared" si="0"/>
        <v>32</v>
      </c>
      <c r="E73" s="320"/>
      <c r="F73" s="319">
        <f t="shared" si="1"/>
        <v>32</v>
      </c>
      <c r="G73" s="321"/>
      <c r="H73" s="321">
        <f t="shared" si="2"/>
        <v>-17.777777777777779</v>
      </c>
      <c r="I73" s="321"/>
      <c r="J73" s="321">
        <f t="shared" si="3"/>
        <v>-17.777777777777779</v>
      </c>
      <c r="K73" s="320"/>
      <c r="L73" s="319">
        <f t="shared" si="5"/>
        <v>0</v>
      </c>
      <c r="M73" s="321"/>
      <c r="N73" s="321"/>
      <c r="O73" s="321"/>
      <c r="P73" s="321"/>
      <c r="Q73" s="320"/>
      <c r="R73" s="322">
        <f t="shared" si="4"/>
        <v>0</v>
      </c>
      <c r="S73" s="323"/>
      <c r="T73" s="323"/>
      <c r="U73" s="323"/>
      <c r="V73" s="323"/>
      <c r="W73" s="323"/>
      <c r="X73" s="324"/>
    </row>
    <row r="74" spans="1:26" x14ac:dyDescent="0.25">
      <c r="A74" s="175" t="str">
        <f>CONCATENATE("Condiciones ambientales  (Higrotermómetro ",  General!$I$4, ")")</f>
        <v>Condiciones ambientales  (Higrotermómetro 0)</v>
      </c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O74" s="175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x14ac:dyDescent="0.25">
      <c r="A75" s="183"/>
      <c r="B75" s="325" t="s">
        <v>333</v>
      </c>
      <c r="C75" s="325"/>
      <c r="D75" s="325"/>
      <c r="E75" s="182">
        <f>CertTempC</f>
        <v>0</v>
      </c>
      <c r="F75" s="167" t="s">
        <v>332</v>
      </c>
      <c r="G75" s="181" t="e">
        <f>CertTempIncerti</f>
        <v>#N/A</v>
      </c>
      <c r="H75" s="183" t="s">
        <v>218</v>
      </c>
      <c r="I75" s="96"/>
      <c r="J75" s="96"/>
      <c r="K75" s="96"/>
      <c r="L75" s="96"/>
      <c r="M75" s="96"/>
      <c r="N75" s="96"/>
      <c r="O75" s="96"/>
      <c r="P75" s="183"/>
      <c r="Q75" s="96"/>
      <c r="R75" s="96"/>
      <c r="S75" s="96"/>
      <c r="T75" s="96"/>
      <c r="U75" s="96"/>
      <c r="V75" s="182"/>
      <c r="W75" s="167"/>
      <c r="X75" s="182"/>
      <c r="Y75" s="96"/>
    </row>
    <row r="76" spans="1:26" x14ac:dyDescent="0.25">
      <c r="A76" s="183"/>
      <c r="B76" s="183" t="s">
        <v>331</v>
      </c>
      <c r="C76" s="183"/>
      <c r="D76" s="183"/>
      <c r="E76" s="182">
        <f>CertHR</f>
        <v>0</v>
      </c>
      <c r="F76" s="167" t="s">
        <v>330</v>
      </c>
      <c r="G76" s="181" t="e">
        <f>CertHRIncerti</f>
        <v>#N/A</v>
      </c>
      <c r="H76" s="167" t="s">
        <v>329</v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</row>
    <row r="77" spans="1:26" x14ac:dyDescent="0.25">
      <c r="A77" s="183"/>
      <c r="B77" s="183"/>
      <c r="C77" s="183"/>
      <c r="D77" s="183"/>
      <c r="E77" s="182"/>
      <c r="F77" s="167"/>
      <c r="G77" s="181"/>
      <c r="H77" s="167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</row>
    <row r="78" spans="1:26" ht="24" customHeight="1" x14ac:dyDescent="0.25">
      <c r="A78" s="183"/>
      <c r="B78" s="183"/>
      <c r="C78" s="183"/>
      <c r="D78" s="183"/>
      <c r="E78" s="182"/>
      <c r="F78" s="167"/>
      <c r="G78" s="181"/>
      <c r="H78" s="167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</row>
    <row r="79" spans="1:26" x14ac:dyDescent="0.25">
      <c r="A79" s="183"/>
      <c r="B79" s="183"/>
      <c r="C79" s="183"/>
      <c r="D79" s="183"/>
      <c r="E79" s="182"/>
      <c r="F79" s="167"/>
      <c r="G79" s="181"/>
      <c r="H79" s="167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</row>
    <row r="80" spans="1:26" x14ac:dyDescent="0.25">
      <c r="A80" s="183"/>
      <c r="B80" s="183"/>
      <c r="C80" s="183"/>
      <c r="D80" s="183"/>
      <c r="E80" s="182"/>
      <c r="F80" s="167"/>
      <c r="G80" s="181"/>
      <c r="H80" s="167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</row>
    <row r="81" spans="1:25" x14ac:dyDescent="0.25">
      <c r="A81" s="183"/>
      <c r="B81" s="183"/>
      <c r="C81" s="183"/>
      <c r="D81" s="183"/>
      <c r="E81" s="182"/>
      <c r="F81" s="167"/>
      <c r="G81" s="181"/>
      <c r="H81" s="167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 spans="1:25" ht="20.25" customHeight="1" x14ac:dyDescent="0.25">
      <c r="A82" s="183"/>
      <c r="B82" s="183"/>
      <c r="C82" s="183"/>
      <c r="D82" s="183"/>
      <c r="E82" s="182"/>
      <c r="F82" s="167"/>
      <c r="G82" s="181"/>
      <c r="H82" s="167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</row>
    <row r="83" spans="1:25" x14ac:dyDescent="0.25">
      <c r="A83" s="183"/>
      <c r="B83" s="183"/>
      <c r="C83" s="183"/>
      <c r="D83" s="183"/>
      <c r="E83" s="182"/>
      <c r="F83" s="167"/>
      <c r="G83" s="181"/>
      <c r="H83" s="167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</row>
    <row r="84" spans="1:25" x14ac:dyDescent="0.25">
      <c r="A84" s="183"/>
      <c r="B84" s="183"/>
      <c r="C84" s="183"/>
      <c r="D84" s="183"/>
      <c r="E84" s="182"/>
      <c r="F84" s="167"/>
      <c r="G84" s="181"/>
      <c r="H84" s="167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</row>
    <row r="85" spans="1:25" x14ac:dyDescent="0.25">
      <c r="A85" s="175" t="s">
        <v>324</v>
      </c>
      <c r="B85" s="96"/>
      <c r="C85" s="178"/>
      <c r="D85" s="177"/>
      <c r="E85" s="177"/>
      <c r="F85" s="177"/>
      <c r="G85" s="96"/>
      <c r="H85" s="96"/>
      <c r="I85" s="96"/>
      <c r="J85" s="96"/>
      <c r="K85" s="96"/>
      <c r="L85" s="96"/>
      <c r="M85" s="96"/>
      <c r="N85" s="326" t="str">
        <f>N8</f>
        <v>NI-MC-T-1325-2023</v>
      </c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</row>
    <row r="86" spans="1:25" x14ac:dyDescent="0.25">
      <c r="A86" s="175"/>
      <c r="B86" s="96"/>
      <c r="C86" s="178"/>
      <c r="D86" s="177"/>
      <c r="E86" s="177"/>
      <c r="F86" s="177"/>
      <c r="G86" s="96"/>
      <c r="H86" s="96"/>
      <c r="I86" s="96"/>
      <c r="J86" s="96"/>
      <c r="K86" s="96"/>
      <c r="L86" s="96"/>
      <c r="M86" s="9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 x14ac:dyDescent="0.25">
      <c r="A87" s="17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</row>
    <row r="88" spans="1:25" x14ac:dyDescent="0.25">
      <c r="A88" s="175" t="s">
        <v>328</v>
      </c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</row>
    <row r="89" spans="1:25" ht="15" customHeight="1" x14ac:dyDescent="0.25">
      <c r="A89" s="316" t="s">
        <v>327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</row>
    <row r="90" spans="1:25" x14ac:dyDescent="0.25"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</row>
    <row r="91" spans="1:25" ht="15" customHeight="1" x14ac:dyDescent="0.25">
      <c r="A91" s="175" t="s">
        <v>326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</row>
    <row r="92" spans="1:25" x14ac:dyDescent="0.25">
      <c r="A92" s="316" t="s">
        <v>325</v>
      </c>
      <c r="B92" s="316"/>
      <c r="C92" s="316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</row>
    <row r="93" spans="1:25" ht="15" customHeight="1" x14ac:dyDescent="0.25">
      <c r="A93" s="316"/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</row>
    <row r="94" spans="1:25" ht="15" customHeight="1" x14ac:dyDescent="0.25">
      <c r="A94" s="316"/>
      <c r="B94" s="316"/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</row>
    <row r="95" spans="1:25" x14ac:dyDescent="0.25">
      <c r="A95" s="316"/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</row>
    <row r="96" spans="1:25" x14ac:dyDescent="0.25">
      <c r="A96" s="316"/>
      <c r="B96" s="316"/>
      <c r="C96" s="316"/>
      <c r="D96" s="316"/>
      <c r="E96" s="316"/>
      <c r="F96" s="316"/>
      <c r="G96" s="316"/>
      <c r="H96" s="316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</row>
    <row r="97" spans="1:25" x14ac:dyDescent="0.25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</row>
    <row r="98" spans="1:25" x14ac:dyDescent="0.25">
      <c r="A98" s="175" t="s">
        <v>323</v>
      </c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</row>
    <row r="99" spans="1:25" x14ac:dyDescent="0.25">
      <c r="A99" s="317" t="s">
        <v>162</v>
      </c>
      <c r="B99" s="317"/>
      <c r="C99" s="317"/>
      <c r="D99" s="317"/>
      <c r="E99" s="317" t="s">
        <v>322</v>
      </c>
      <c r="F99" s="317"/>
      <c r="G99" s="317"/>
      <c r="H99" s="317" t="s">
        <v>30</v>
      </c>
      <c r="I99" s="317"/>
      <c r="J99" s="317"/>
      <c r="K99" s="317"/>
      <c r="L99" s="317"/>
      <c r="M99" s="317"/>
      <c r="N99" s="317" t="s">
        <v>321</v>
      </c>
      <c r="O99" s="317"/>
      <c r="P99" s="317"/>
      <c r="Q99" s="317"/>
      <c r="R99" s="317"/>
      <c r="S99" s="317"/>
      <c r="T99" s="317"/>
      <c r="U99" s="317"/>
      <c r="V99" s="317"/>
      <c r="W99" s="317"/>
      <c r="X99" s="318" t="s">
        <v>320</v>
      </c>
      <c r="Y99" s="318"/>
    </row>
    <row r="100" spans="1:25" ht="26.45" customHeight="1" x14ac:dyDescent="0.25">
      <c r="A100" s="310" t="s">
        <v>319</v>
      </c>
      <c r="B100" s="310"/>
      <c r="C100" s="310"/>
      <c r="D100" s="310"/>
      <c r="E100" s="310" t="e">
        <f>General!$I$5</f>
        <v>#N/A</v>
      </c>
      <c r="F100" s="310"/>
      <c r="G100" s="310"/>
      <c r="H100" s="310">
        <f>General!$I$4</f>
        <v>0</v>
      </c>
      <c r="I100" s="310"/>
      <c r="J100" s="310"/>
      <c r="K100" s="310"/>
      <c r="L100" s="310"/>
      <c r="M100" s="310"/>
      <c r="N100" s="310" t="e">
        <f>VLOOKUP(H100,'BD Patron'!$C$6:$N$10,11,FALSE)</f>
        <v>#N/A</v>
      </c>
      <c r="O100" s="310"/>
      <c r="P100" s="310"/>
      <c r="Q100" s="310"/>
      <c r="R100" s="310"/>
      <c r="S100" s="310"/>
      <c r="T100" s="310"/>
      <c r="U100" s="310"/>
      <c r="V100" s="310"/>
      <c r="W100" s="310"/>
      <c r="X100" s="311" t="e">
        <f>VLOOKUP(H100,'BD Patron'!$C$6:$N$10,10,FALSE)+731</f>
        <v>#N/A</v>
      </c>
      <c r="Y100" s="311"/>
    </row>
    <row r="101" spans="1:25" ht="15" hidden="1" customHeight="1" x14ac:dyDescent="0.25">
      <c r="A101" s="310" t="s">
        <v>318</v>
      </c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1"/>
      <c r="Y101" s="311"/>
    </row>
    <row r="102" spans="1:25" ht="28.9" hidden="1" customHeight="1" x14ac:dyDescent="0.25">
      <c r="A102" s="310" t="str">
        <f>VLOOKUP(H102,'BD Patron'!$C$15:$U$24,2,FALSE)</f>
        <v>Baño de bloque seco</v>
      </c>
      <c r="B102" s="310"/>
      <c r="C102" s="310"/>
      <c r="D102" s="310"/>
      <c r="E102" s="310" t="str">
        <f>CONCATENATE(VLOOKUP(H102,'BD Patron'!$C$15:$U$24,3,FALSE), " ", VLOOKUP(H102,'BD Patron'!$C$15:$U$24,4,FALSE))</f>
        <v>Fluke 9171</v>
      </c>
      <c r="F102" s="310"/>
      <c r="G102" s="310"/>
      <c r="H102" s="310" t="str">
        <f>Calibración!$S$4</f>
        <v>NI-MCPT-37</v>
      </c>
      <c r="I102" s="310"/>
      <c r="J102" s="310"/>
      <c r="K102" s="310"/>
      <c r="L102" s="310"/>
      <c r="M102" s="310"/>
      <c r="N102" s="310" t="str">
        <f>CONCATENATE(VLOOKUP(H102,'BD Patron'!$C$15:$U$24,18,FALSE), " ",VLOOKUP(H102,'BD Patron'!$C$15:$U$24,19,FALSE))</f>
        <v>SCM Metrología y Laboratorios 20180507-28-1</v>
      </c>
      <c r="O102" s="310"/>
      <c r="P102" s="310"/>
      <c r="Q102" s="310"/>
      <c r="R102" s="310"/>
      <c r="S102" s="310"/>
      <c r="T102" s="310"/>
      <c r="U102" s="310"/>
      <c r="V102" s="310"/>
      <c r="W102" s="310"/>
      <c r="X102" s="311">
        <f>VLOOKUP(H102,'BD Patron'!$C$15:$U$24,17,FALSE)+365</f>
        <v>43595</v>
      </c>
      <c r="Y102" s="311"/>
    </row>
    <row r="103" spans="1:25" ht="28.15" customHeight="1" x14ac:dyDescent="0.25">
      <c r="A103" s="310" t="str">
        <f>VLOOKUP(H103,'BD Patron'!$C$16:$Q$25,2,FALSE)</f>
        <v>Termómetro Digital</v>
      </c>
      <c r="B103" s="310"/>
      <c r="C103" s="310"/>
      <c r="D103" s="310"/>
      <c r="E103" s="310" t="str">
        <f>CONCATENATE(VLOOKUP(H103,'BD Patron'!$C$16:$Q$25,3,FALSE), " ", VLOOKUP(H103,'BD Patron'!$C$16:$Q$25,4,FALSE))</f>
        <v>AccuMac/Fluke 5627A</v>
      </c>
      <c r="F103" s="310"/>
      <c r="G103" s="310"/>
      <c r="H103" s="310" t="str">
        <f>Calibración!$J$5</f>
        <v>NI-MCPT-05</v>
      </c>
      <c r="I103" s="310"/>
      <c r="J103" s="310"/>
      <c r="K103" s="310"/>
      <c r="L103" s="310"/>
      <c r="M103" s="310"/>
      <c r="N103" s="310" t="str">
        <f>CONCATENATE(VLOOKUP(H103,'BD Patron'!$C$15:$U$24,18,FALSE), " ",VLOOKUP(H103,'BD Patron'!$C$15:$U$24,19,FALSE))</f>
        <v>SCM Metrología y Laboratorios SCM-00039472</v>
      </c>
      <c r="O103" s="310"/>
      <c r="P103" s="310"/>
      <c r="Q103" s="310"/>
      <c r="R103" s="310"/>
      <c r="S103" s="310"/>
      <c r="T103" s="310"/>
      <c r="U103" s="310"/>
      <c r="V103" s="310"/>
      <c r="W103" s="310"/>
      <c r="X103" s="311">
        <f>VLOOKUP(H103,'BD Patron'!$C$15:$U$24,17,FALSE)+365</f>
        <v>45204</v>
      </c>
      <c r="Y103" s="311"/>
    </row>
    <row r="104" spans="1:25" x14ac:dyDescent="0.25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</row>
    <row r="105" spans="1:25" x14ac:dyDescent="0.25">
      <c r="A105" s="175" t="s">
        <v>248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</row>
    <row r="106" spans="1:25" ht="15" customHeight="1" x14ac:dyDescent="0.25">
      <c r="A106" s="173" t="s">
        <v>317</v>
      </c>
      <c r="B106" s="96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96"/>
    </row>
    <row r="107" spans="1:25" ht="15" customHeight="1" x14ac:dyDescent="0.25">
      <c r="A107" s="174" t="str">
        <f>'[4]Salida de Datos'!$F$8</f>
        <v>La corrección corresponde al valor del patrón menos las indicación del equipo.</v>
      </c>
      <c r="B107" s="96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96"/>
    </row>
    <row r="108" spans="1:25" ht="15" customHeight="1" x14ac:dyDescent="0.25">
      <c r="A108" s="174" t="str">
        <f>'[4]Salida de Datos'!$F$9</f>
        <v>La indicación de temperatura de referencia y del equipo, corresponden al promedio de 3 mediciones .</v>
      </c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</row>
    <row r="109" spans="1:25" x14ac:dyDescent="0.25">
      <c r="A109" s="174" t="s">
        <v>1599</v>
      </c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</row>
    <row r="110" spans="1:25" x14ac:dyDescent="0.25">
      <c r="A110" s="174" t="s">
        <v>1598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</row>
    <row r="111" spans="1:25" x14ac:dyDescent="0.25">
      <c r="A111" s="174" t="str">
        <f>'[4]Salida de Datos'!$F$11</f>
        <v>De acuerdo a lo establecido en NTON 07-004-01 Norma Metrológica del Sistema Internacional de Unidades (SI).</v>
      </c>
      <c r="B111" s="96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96"/>
    </row>
    <row r="112" spans="1:25" x14ac:dyDescent="0.25">
      <c r="A112" s="173" t="s">
        <v>316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</row>
    <row r="113" spans="1:25" x14ac:dyDescent="0.25">
      <c r="A113" s="173" t="s">
        <v>315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</row>
    <row r="114" spans="1:25" x14ac:dyDescent="0.25">
      <c r="A114" s="96" t="s">
        <v>314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172"/>
      <c r="S114" s="172"/>
      <c r="T114" s="96"/>
      <c r="U114" s="96"/>
      <c r="V114" s="96"/>
      <c r="W114" s="96"/>
      <c r="X114" s="96"/>
      <c r="Y114" s="96"/>
    </row>
    <row r="115" spans="1:25" x14ac:dyDescent="0.25">
      <c r="A115" s="96" t="s">
        <v>313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171"/>
      <c r="S115" s="171"/>
      <c r="T115" s="171"/>
      <c r="U115" s="171"/>
      <c r="V115" s="171"/>
      <c r="Y115" s="96"/>
    </row>
    <row r="116" spans="1:25" x14ac:dyDescent="0.25">
      <c r="A116" s="173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</row>
    <row r="117" spans="1:25" x14ac:dyDescent="0.25">
      <c r="A117" s="173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</row>
    <row r="119" spans="1:25" x14ac:dyDescent="0.25">
      <c r="I119" s="314" t="s">
        <v>85</v>
      </c>
      <c r="J119" s="314"/>
      <c r="K119" s="314"/>
      <c r="L119" s="314"/>
      <c r="M119" s="314"/>
      <c r="N119" s="314"/>
      <c r="O119" s="314"/>
      <c r="P119" s="314"/>
    </row>
    <row r="120" spans="1:25" x14ac:dyDescent="0.25">
      <c r="I120" s="315" t="s">
        <v>312</v>
      </c>
      <c r="J120" s="315"/>
      <c r="K120" s="315"/>
      <c r="L120" s="315"/>
      <c r="M120" s="315"/>
      <c r="N120" s="315"/>
      <c r="O120" s="315"/>
      <c r="P120" s="315"/>
    </row>
    <row r="121" spans="1:25" x14ac:dyDescent="0.25">
      <c r="I121" s="312" t="s">
        <v>311</v>
      </c>
      <c r="J121" s="312"/>
      <c r="K121" s="312"/>
      <c r="L121" s="312"/>
      <c r="M121" s="312"/>
      <c r="N121" s="312"/>
      <c r="O121" s="312"/>
      <c r="P121" s="312"/>
    </row>
    <row r="122" spans="1:25" x14ac:dyDescent="0.25">
      <c r="I122" s="313" t="s">
        <v>310</v>
      </c>
      <c r="J122" s="313"/>
      <c r="K122" s="313"/>
      <c r="L122" s="313"/>
      <c r="M122" s="313"/>
      <c r="N122" s="313"/>
      <c r="O122" s="313"/>
      <c r="P122" s="313"/>
    </row>
  </sheetData>
  <mergeCells count="157">
    <mergeCell ref="I119:P119"/>
    <mergeCell ref="I120:P120"/>
    <mergeCell ref="I121:P121"/>
    <mergeCell ref="I122:P122"/>
    <mergeCell ref="A102:D102"/>
    <mergeCell ref="E102:G102"/>
    <mergeCell ref="H102:M102"/>
    <mergeCell ref="N102:W102"/>
    <mergeCell ref="X102:Y102"/>
    <mergeCell ref="A103:D103"/>
    <mergeCell ref="E103:G103"/>
    <mergeCell ref="H103:M103"/>
    <mergeCell ref="N103:W103"/>
    <mergeCell ref="X103:Y103"/>
    <mergeCell ref="A100:D100"/>
    <mergeCell ref="E100:G100"/>
    <mergeCell ref="H100:M100"/>
    <mergeCell ref="N100:W100"/>
    <mergeCell ref="X100:Y100"/>
    <mergeCell ref="A101:D101"/>
    <mergeCell ref="E101:G101"/>
    <mergeCell ref="H101:M101"/>
    <mergeCell ref="N101:W101"/>
    <mergeCell ref="X101:Y101"/>
    <mergeCell ref="B75:D75"/>
    <mergeCell ref="N85:Y85"/>
    <mergeCell ref="A89:Y89"/>
    <mergeCell ref="A92:Y96"/>
    <mergeCell ref="A99:D99"/>
    <mergeCell ref="E99:G99"/>
    <mergeCell ref="H99:M99"/>
    <mergeCell ref="N99:W99"/>
    <mergeCell ref="X99:Y99"/>
    <mergeCell ref="D72:E72"/>
    <mergeCell ref="F72:K72"/>
    <mergeCell ref="L72:Q72"/>
    <mergeCell ref="R72:X72"/>
    <mergeCell ref="D73:E73"/>
    <mergeCell ref="F73:K73"/>
    <mergeCell ref="L73:Q73"/>
    <mergeCell ref="R73:X73"/>
    <mergeCell ref="D70:E70"/>
    <mergeCell ref="F70:K70"/>
    <mergeCell ref="L70:Q70"/>
    <mergeCell ref="R70:X70"/>
    <mergeCell ref="D71:E71"/>
    <mergeCell ref="F71:K71"/>
    <mergeCell ref="L71:Q71"/>
    <mergeCell ref="R71:X71"/>
    <mergeCell ref="D68:E68"/>
    <mergeCell ref="F68:K68"/>
    <mergeCell ref="L68:Q68"/>
    <mergeCell ref="R68:X68"/>
    <mergeCell ref="D69:E69"/>
    <mergeCell ref="F69:K69"/>
    <mergeCell ref="L69:Q69"/>
    <mergeCell ref="R69:X69"/>
    <mergeCell ref="D66:E66"/>
    <mergeCell ref="F66:K66"/>
    <mergeCell ref="L66:Q66"/>
    <mergeCell ref="R66:X66"/>
    <mergeCell ref="D67:E67"/>
    <mergeCell ref="F67:K67"/>
    <mergeCell ref="L67:Q67"/>
    <mergeCell ref="R67:X67"/>
    <mergeCell ref="D64:E64"/>
    <mergeCell ref="F64:K64"/>
    <mergeCell ref="L64:Q64"/>
    <mergeCell ref="R64:X64"/>
    <mergeCell ref="D65:E65"/>
    <mergeCell ref="F65:K65"/>
    <mergeCell ref="L65:Q65"/>
    <mergeCell ref="R65:X65"/>
    <mergeCell ref="D62:E62"/>
    <mergeCell ref="F62:K62"/>
    <mergeCell ref="L62:Q62"/>
    <mergeCell ref="R62:X62"/>
    <mergeCell ref="D63:E63"/>
    <mergeCell ref="F63:K63"/>
    <mergeCell ref="L63:Q63"/>
    <mergeCell ref="R63:X63"/>
    <mergeCell ref="D40:E40"/>
    <mergeCell ref="F40:K40"/>
    <mergeCell ref="L40:Q40"/>
    <mergeCell ref="R40:X40"/>
    <mergeCell ref="D59:X59"/>
    <mergeCell ref="D60:E61"/>
    <mergeCell ref="F60:K61"/>
    <mergeCell ref="L60:Q61"/>
    <mergeCell ref="R60:X61"/>
    <mergeCell ref="D38:E38"/>
    <mergeCell ref="F38:K38"/>
    <mergeCell ref="L38:Q38"/>
    <mergeCell ref="R38:X38"/>
    <mergeCell ref="D39:E39"/>
    <mergeCell ref="F39:K39"/>
    <mergeCell ref="L39:Q39"/>
    <mergeCell ref="R39:X39"/>
    <mergeCell ref="D36:E36"/>
    <mergeCell ref="F36:K36"/>
    <mergeCell ref="L36:Q36"/>
    <mergeCell ref="R36:X36"/>
    <mergeCell ref="D37:E37"/>
    <mergeCell ref="F37:K37"/>
    <mergeCell ref="L37:Q37"/>
    <mergeCell ref="R37:X37"/>
    <mergeCell ref="D34:E34"/>
    <mergeCell ref="F34:K34"/>
    <mergeCell ref="L34:Q34"/>
    <mergeCell ref="R34:X34"/>
    <mergeCell ref="D35:E35"/>
    <mergeCell ref="F35:K35"/>
    <mergeCell ref="L35:Q35"/>
    <mergeCell ref="R35:X35"/>
    <mergeCell ref="D32:E32"/>
    <mergeCell ref="F32:K32"/>
    <mergeCell ref="L32:Q32"/>
    <mergeCell ref="R32:X32"/>
    <mergeCell ref="D33:E33"/>
    <mergeCell ref="F33:K33"/>
    <mergeCell ref="L33:Q33"/>
    <mergeCell ref="R33:X33"/>
    <mergeCell ref="D30:E30"/>
    <mergeCell ref="F30:K30"/>
    <mergeCell ref="L30:Q30"/>
    <mergeCell ref="R30:X30"/>
    <mergeCell ref="D31:E31"/>
    <mergeCell ref="F31:K31"/>
    <mergeCell ref="L31:Q31"/>
    <mergeCell ref="R31:X31"/>
    <mergeCell ref="D28:E28"/>
    <mergeCell ref="F28:K28"/>
    <mergeCell ref="L28:Q28"/>
    <mergeCell ref="R28:X28"/>
    <mergeCell ref="D29:E29"/>
    <mergeCell ref="F29:K29"/>
    <mergeCell ref="L29:Q29"/>
    <mergeCell ref="R29:X29"/>
    <mergeCell ref="D26:E27"/>
    <mergeCell ref="F26:K27"/>
    <mergeCell ref="L26:Q27"/>
    <mergeCell ref="R26:X27"/>
    <mergeCell ref="N14:Y14"/>
    <mergeCell ref="N15:Y15"/>
    <mergeCell ref="N16:Y16"/>
    <mergeCell ref="N17:Y17"/>
    <mergeCell ref="N18:Y18"/>
    <mergeCell ref="N19:Y19"/>
    <mergeCell ref="N8:Y8"/>
    <mergeCell ref="N9:Y9"/>
    <mergeCell ref="N10:Y10"/>
    <mergeCell ref="N11:R11"/>
    <mergeCell ref="N12:Y12"/>
    <mergeCell ref="N13:Y13"/>
    <mergeCell ref="N20:Y20"/>
    <mergeCell ref="N21:Y22"/>
    <mergeCell ref="D25:X25"/>
  </mergeCells>
  <conditionalFormatting sqref="A114">
    <cfRule type="cellIs" priority="1" operator="equal">
      <formula>$D$27</formula>
    </cfRule>
  </conditionalFormatting>
  <conditionalFormatting sqref="A115">
    <cfRule type="cellIs" priority="2" operator="equal">
      <formula>$F$29</formula>
    </cfRule>
  </conditionalFormatting>
  <conditionalFormatting sqref="A116:A117">
    <cfRule type="cellIs" priority="3" operator="equal">
      <formula>$D$28</formula>
    </cfRule>
  </conditionalFormatting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Q25"/>
  <sheetViews>
    <sheetView zoomScale="85" zoomScaleNormal="85" workbookViewId="0">
      <selection activeCell="A36" sqref="A36:I36"/>
    </sheetView>
  </sheetViews>
  <sheetFormatPr defaultColWidth="9.140625" defaultRowHeight="15" x14ac:dyDescent="0.25"/>
  <cols>
    <col min="1" max="1" width="4.140625" customWidth="1"/>
    <col min="6" max="7" width="11.5703125" customWidth="1"/>
    <col min="8" max="8" width="2.5703125" customWidth="1"/>
    <col min="9" max="17" width="10.5703125" customWidth="1"/>
  </cols>
  <sheetData>
    <row r="2" spans="2:17" x14ac:dyDescent="0.25">
      <c r="B2" s="202"/>
      <c r="C2" s="202"/>
      <c r="D2" s="202"/>
      <c r="E2" s="202"/>
      <c r="F2" s="202"/>
      <c r="G2" s="202"/>
      <c r="I2" s="201"/>
    </row>
    <row r="3" spans="2:17" x14ac:dyDescent="0.25">
      <c r="B3" s="392" t="s">
        <v>388</v>
      </c>
      <c r="C3" s="392"/>
      <c r="D3" s="392"/>
      <c r="E3" s="392"/>
      <c r="F3" s="392"/>
      <c r="G3" s="392"/>
    </row>
    <row r="4" spans="2:17" x14ac:dyDescent="0.25">
      <c r="B4" s="200"/>
      <c r="C4" s="200"/>
      <c r="D4" s="200"/>
      <c r="E4" s="200"/>
      <c r="F4" s="200"/>
      <c r="G4" s="200"/>
      <c r="I4" s="393" t="s">
        <v>387</v>
      </c>
      <c r="J4" s="393"/>
      <c r="K4" s="393" t="s">
        <v>386</v>
      </c>
      <c r="L4" s="393"/>
      <c r="N4" s="57" t="s">
        <v>385</v>
      </c>
      <c r="O4" s="57"/>
    </row>
    <row r="5" spans="2:17" ht="18.75" thickBot="1" x14ac:dyDescent="0.3">
      <c r="B5" s="394" t="s">
        <v>384</v>
      </c>
      <c r="C5" s="394"/>
      <c r="D5" s="200"/>
      <c r="E5" s="200"/>
      <c r="F5" s="200"/>
      <c r="G5" s="200"/>
      <c r="I5" s="199" t="s">
        <v>383</v>
      </c>
      <c r="J5" s="199" t="s">
        <v>382</v>
      </c>
      <c r="K5" s="199" t="s">
        <v>383</v>
      </c>
      <c r="L5" s="199" t="s">
        <v>382</v>
      </c>
      <c r="M5" s="199" t="s">
        <v>381</v>
      </c>
      <c r="N5" s="199" t="s">
        <v>380</v>
      </c>
      <c r="O5" s="199" t="s">
        <v>379</v>
      </c>
      <c r="P5" s="199" t="s">
        <v>378</v>
      </c>
      <c r="Q5" s="199" t="s">
        <v>377</v>
      </c>
    </row>
    <row r="6" spans="2:17" ht="15.75" thickBot="1" x14ac:dyDescent="0.3">
      <c r="B6" s="195" t="s">
        <v>372</v>
      </c>
      <c r="C6" s="194" t="s">
        <v>371</v>
      </c>
      <c r="D6" s="387" t="s">
        <v>370</v>
      </c>
      <c r="E6" s="388"/>
      <c r="F6" s="388"/>
      <c r="G6" s="389"/>
      <c r="I6" s="114">
        <v>-30</v>
      </c>
      <c r="J6" s="114">
        <v>99.98</v>
      </c>
      <c r="K6" s="114">
        <v>7.0999999999999994E-2</v>
      </c>
      <c r="L6" s="114">
        <v>7.3999999999999996E-2</v>
      </c>
      <c r="M6" s="196">
        <v>9.1762999999999997E-2</v>
      </c>
      <c r="N6" s="196">
        <v>5.8816999999999995E-4</v>
      </c>
      <c r="O6" s="114"/>
      <c r="P6" s="114"/>
      <c r="Q6" s="198"/>
    </row>
    <row r="7" spans="2:17" ht="15.75" thickBot="1" x14ac:dyDescent="0.3">
      <c r="B7" s="390">
        <v>-30</v>
      </c>
      <c r="C7" s="390">
        <v>99.98</v>
      </c>
      <c r="D7" s="387" t="s">
        <v>376</v>
      </c>
      <c r="E7" s="389"/>
      <c r="F7" s="387" t="s">
        <v>375</v>
      </c>
      <c r="G7" s="389"/>
      <c r="I7" s="197">
        <v>150.214</v>
      </c>
      <c r="J7" s="197">
        <v>249.96799999999999</v>
      </c>
      <c r="K7" s="196">
        <v>5.5399999999999998E-2</v>
      </c>
      <c r="L7" s="196">
        <v>0.06</v>
      </c>
      <c r="M7" s="196">
        <v>4.8473000000000002E-2</v>
      </c>
      <c r="N7" s="196">
        <v>4.6112999999999997E-5</v>
      </c>
      <c r="O7" s="114"/>
      <c r="P7" s="114"/>
      <c r="Q7" s="114"/>
    </row>
    <row r="8" spans="2:17" ht="15.75" thickBot="1" x14ac:dyDescent="0.3">
      <c r="B8" s="391"/>
      <c r="C8" s="391"/>
      <c r="D8" s="387" t="s">
        <v>367</v>
      </c>
      <c r="E8" s="389"/>
      <c r="F8" s="387" t="s">
        <v>366</v>
      </c>
      <c r="G8" s="389"/>
      <c r="I8" s="197">
        <v>250.2</v>
      </c>
      <c r="J8" s="197">
        <v>350.1</v>
      </c>
      <c r="K8" s="196">
        <v>0.39200000000000002</v>
      </c>
      <c r="L8" s="196">
        <v>0.4</v>
      </c>
      <c r="M8" s="196">
        <v>0.37196000000000001</v>
      </c>
      <c r="N8" s="196">
        <v>8.0080000000000006E-5</v>
      </c>
      <c r="O8" s="114"/>
      <c r="P8" s="114"/>
      <c r="Q8" s="114"/>
    </row>
    <row r="9" spans="2:17" ht="15.75" thickBot="1" x14ac:dyDescent="0.3">
      <c r="B9" s="195" t="s">
        <v>372</v>
      </c>
      <c r="C9" s="194" t="s">
        <v>371</v>
      </c>
      <c r="D9" s="387" t="s">
        <v>370</v>
      </c>
      <c r="E9" s="388"/>
      <c r="F9" s="388"/>
      <c r="G9" s="389"/>
    </row>
    <row r="10" spans="2:17" ht="15.75" thickBot="1" x14ac:dyDescent="0.3">
      <c r="B10" s="390">
        <v>150.214</v>
      </c>
      <c r="C10" s="390">
        <v>249.96799999999999</v>
      </c>
      <c r="D10" s="387" t="s">
        <v>374</v>
      </c>
      <c r="E10" s="389"/>
      <c r="F10" s="387" t="s">
        <v>373</v>
      </c>
      <c r="G10" s="389"/>
    </row>
    <row r="11" spans="2:17" ht="15.75" thickBot="1" x14ac:dyDescent="0.3">
      <c r="B11" s="391"/>
      <c r="C11" s="391"/>
      <c r="D11" s="387" t="s">
        <v>367</v>
      </c>
      <c r="E11" s="389"/>
      <c r="F11" s="387" t="s">
        <v>366</v>
      </c>
      <c r="G11" s="389"/>
    </row>
    <row r="12" spans="2:17" ht="15.75" thickBot="1" x14ac:dyDescent="0.3">
      <c r="B12" s="195" t="s">
        <v>372</v>
      </c>
      <c r="C12" s="194" t="s">
        <v>371</v>
      </c>
      <c r="D12" s="387" t="s">
        <v>370</v>
      </c>
      <c r="E12" s="388"/>
      <c r="F12" s="388"/>
      <c r="G12" s="389"/>
    </row>
    <row r="13" spans="2:17" ht="15.75" thickBot="1" x14ac:dyDescent="0.3">
      <c r="B13" s="390">
        <v>250.2</v>
      </c>
      <c r="C13" s="390">
        <v>350.1</v>
      </c>
      <c r="D13" s="387" t="s">
        <v>369</v>
      </c>
      <c r="E13" s="389"/>
      <c r="F13" s="387" t="s">
        <v>368</v>
      </c>
      <c r="G13" s="389"/>
    </row>
    <row r="14" spans="2:17" ht="15.75" thickBot="1" x14ac:dyDescent="0.3">
      <c r="B14" s="391"/>
      <c r="C14" s="391"/>
      <c r="D14" s="387" t="s">
        <v>367</v>
      </c>
      <c r="E14" s="389"/>
      <c r="F14" s="387" t="s">
        <v>366</v>
      </c>
      <c r="G14" s="389"/>
      <c r="I14" s="57" t="s">
        <v>365</v>
      </c>
      <c r="J14" s="57"/>
    </row>
    <row r="15" spans="2:17" ht="18" x14ac:dyDescent="0.25">
      <c r="I15" s="192" t="s">
        <v>364</v>
      </c>
      <c r="J15" s="193" t="s">
        <v>363</v>
      </c>
      <c r="K15" s="193" t="s">
        <v>362</v>
      </c>
      <c r="L15" s="192" t="s">
        <v>256</v>
      </c>
      <c r="M15" s="192" t="s">
        <v>361</v>
      </c>
    </row>
    <row r="16" spans="2:17" x14ac:dyDescent="0.25">
      <c r="I16" s="103" t="s">
        <v>360</v>
      </c>
      <c r="J16" s="190">
        <f ca="1">IFERROR(IF(unidad="°C",Calibración!C32,IF(unidad="K",Calibración!C32-273.15,5*(Calibración!C32+ 459.67) /9)),"")</f>
        <v>-2.0157982925077794E-3</v>
      </c>
      <c r="K16" s="189">
        <f ca="1">IFERROR(IF(J16="","",IF(unidad="°C",Calibración!F32,IF(unidad="K",Calibración!J32,5*(Calibración!J32+ 459.67) /9))),"")</f>
        <v>0.1196010545967775</v>
      </c>
      <c r="L16" s="189">
        <f t="shared" ref="L16:L25" ca="1" si="0">IF(J16=0,0,IF(J16&lt;=$J$6,$M$6+$N$6*J16+$O$6*J16^2+$P$6*J16^3+$Q$6*J16^4,IF(J16&gt;$J$7,$M$8+$N$8*J16+$O$8*J16^2+$P$8*J16^3+$Q$8*J16^4,$M$7+$N$7*J16+$O$7*J16^2+$P$7*J16^3+$Q$7*J16^4)))</f>
        <v>9.176181436791829E-2</v>
      </c>
      <c r="M16" s="189">
        <f t="shared" ref="M16:M25" ca="1" si="1">IF(J16=0,0,IF(J16&lt;=$J$6+5,$K$6,IF(J16&gt;$J$7+10,$K$8,$K$7)))</f>
        <v>7.0999999999999994E-2</v>
      </c>
    </row>
    <row r="17" spans="2:13" x14ac:dyDescent="0.25">
      <c r="I17" s="103" t="s">
        <v>359</v>
      </c>
      <c r="J17" s="190">
        <f ca="1">IFERROR(IF(unidad="°C",Calibración!C33,IF(unidad="K",Calibración!C33-273.15,5*(Calibración!C33+ 459.67) /9)),"")</f>
        <v>-2.0157982925077794E-3</v>
      </c>
      <c r="K17" s="189">
        <f ca="1">IFERROR(IF(J17="","",IF(unidad="°C",Calibración!F33,IF(unidad="K",Calibración!J33,5*(Calibración!J33+ 459.67) /9))),"")</f>
        <v>0.1196010545967775</v>
      </c>
      <c r="L17" s="189">
        <f t="shared" ca="1" si="0"/>
        <v>9.176181436791829E-2</v>
      </c>
      <c r="M17" s="189">
        <f t="shared" ca="1" si="1"/>
        <v>7.0999999999999994E-2</v>
      </c>
    </row>
    <row r="18" spans="2:13" x14ac:dyDescent="0.25">
      <c r="B18" s="191"/>
      <c r="I18" s="103" t="s">
        <v>358</v>
      </c>
      <c r="J18" s="190">
        <f ca="1">IFERROR(IF(unidad="°C",Calibración!C34,IF(unidad="K",Calibración!C34-273.15,5*(Calibración!C34+ 459.67) /9)),"")</f>
        <v>-2.0157982925077794E-3</v>
      </c>
      <c r="K18" s="189">
        <f ca="1">IFERROR(IF(J18="","",IF(unidad="°C",Calibración!F34,IF(unidad="K",Calibración!J34,5*(Calibración!J34+ 459.67) /9))),"")</f>
        <v>0.1196010545967775</v>
      </c>
      <c r="L18" s="189">
        <f t="shared" ca="1" si="0"/>
        <v>9.176181436791829E-2</v>
      </c>
      <c r="M18" s="189">
        <f t="shared" ca="1" si="1"/>
        <v>7.0999999999999994E-2</v>
      </c>
    </row>
    <row r="19" spans="2:13" x14ac:dyDescent="0.25">
      <c r="I19" s="103" t="s">
        <v>357</v>
      </c>
      <c r="J19" s="190">
        <f ca="1">IFERROR(IF(unidad="°C",Calibración!C35,IF(unidad="K",Calibración!C35-273.15,5*(Calibración!C35+ 459.67) /9)),"")</f>
        <v>-2.0157982925077794E-3</v>
      </c>
      <c r="K19" s="189">
        <f ca="1">IFERROR(IF(J19="","",IF(unidad="°C",Calibración!F35,IF(unidad="K",Calibración!J35,5*(Calibración!J35+ 459.67) /9))),"")</f>
        <v>0.1196010545967775</v>
      </c>
      <c r="L19" s="189">
        <f t="shared" ca="1" si="0"/>
        <v>9.176181436791829E-2</v>
      </c>
      <c r="M19" s="189">
        <f t="shared" ca="1" si="1"/>
        <v>7.0999999999999994E-2</v>
      </c>
    </row>
    <row r="20" spans="2:13" x14ac:dyDescent="0.25">
      <c r="I20" s="103" t="s">
        <v>356</v>
      </c>
      <c r="J20" s="190">
        <f ca="1">IFERROR(IF(unidad="°C",Calibración!C36,IF(unidad="K",Calibración!C36-273.15,5*(Calibración!C36+ 459.67) /9)),"")</f>
        <v>-2.0157982925077794E-3</v>
      </c>
      <c r="K20" s="189">
        <f ca="1">IFERROR(IF(J20="","",IF(unidad="°C",Calibración!F36,IF(unidad="K",Calibración!J36,5*(Calibración!J36+ 459.67) /9))),"")</f>
        <v>0.1196010545967775</v>
      </c>
      <c r="L20" s="189">
        <f t="shared" ca="1" si="0"/>
        <v>9.176181436791829E-2</v>
      </c>
      <c r="M20" s="189">
        <f t="shared" ca="1" si="1"/>
        <v>7.0999999999999994E-2</v>
      </c>
    </row>
    <row r="21" spans="2:13" x14ac:dyDescent="0.25">
      <c r="I21" s="103" t="s">
        <v>355</v>
      </c>
      <c r="J21" s="190">
        <f ca="1">IFERROR(IF(unidad="°C",Calibración!C37,IF(unidad="K",Calibración!C37-273.15,5*(Calibración!C37+ 459.67) /9)),"")</f>
        <v>-2.0157982925077794E-3</v>
      </c>
      <c r="K21" s="189">
        <f ca="1">IFERROR(IF(J21="","",IF(unidad="°C",Calibración!F37,IF(unidad="K",Calibración!J37,5*(Calibración!J37+ 459.67) /9))),"")</f>
        <v>0.1196010545967775</v>
      </c>
      <c r="L21" s="189">
        <f t="shared" ca="1" si="0"/>
        <v>9.176181436791829E-2</v>
      </c>
      <c r="M21" s="189">
        <f t="shared" ca="1" si="1"/>
        <v>7.0999999999999994E-2</v>
      </c>
    </row>
    <row r="22" spans="2:13" x14ac:dyDescent="0.25">
      <c r="I22" s="103" t="s">
        <v>354</v>
      </c>
      <c r="J22" s="190">
        <f ca="1">IFERROR(IF(unidad="°C",Calibración!C38,IF(unidad="K",Calibración!C38-273.15,5*(Calibración!C38+ 459.67) /9)),"")</f>
        <v>-2.0157982925077794E-3</v>
      </c>
      <c r="K22" s="189">
        <f ca="1">IFERROR(IF(J22="","",IF(unidad="°C",Calibración!F38,IF(unidad="K",Calibración!J38,5*(Calibración!J38+ 459.67) /9))),"")</f>
        <v>0.1196010545967775</v>
      </c>
      <c r="L22" s="189">
        <f t="shared" ca="1" si="0"/>
        <v>9.176181436791829E-2</v>
      </c>
      <c r="M22" s="189">
        <f t="shared" ca="1" si="1"/>
        <v>7.0999999999999994E-2</v>
      </c>
    </row>
    <row r="23" spans="2:13" x14ac:dyDescent="0.25">
      <c r="I23" s="103" t="s">
        <v>353</v>
      </c>
      <c r="J23" s="190">
        <f ca="1">IFERROR(IF(unidad="°C",Calibración!C39,IF(unidad="K",Calibración!C39-273.15,5*(Calibración!C39+ 459.67) /9)),"")</f>
        <v>-2.0157982925077794E-3</v>
      </c>
      <c r="K23" s="189">
        <f ca="1">IFERROR(IF(J23="","",IF(unidad="°C",Calibración!F39,IF(unidad="K",Calibración!J39,5*(Calibración!J39+ 459.67) /9))),"")</f>
        <v>0.1196010545967775</v>
      </c>
      <c r="L23" s="189">
        <f t="shared" ca="1" si="0"/>
        <v>9.176181436791829E-2</v>
      </c>
      <c r="M23" s="189">
        <f t="shared" ca="1" si="1"/>
        <v>7.0999999999999994E-2</v>
      </c>
    </row>
    <row r="24" spans="2:13" x14ac:dyDescent="0.25">
      <c r="I24" s="103" t="s">
        <v>352</v>
      </c>
      <c r="J24" s="190">
        <f ca="1">IFERROR(IF(unidad="°C",Calibración!C40,IF(unidad="K",Calibración!C40-273.15,5*(Calibración!C40+ 459.67) /9)),"")</f>
        <v>-2.0157982925077794E-3</v>
      </c>
      <c r="K24" s="189">
        <f ca="1">IFERROR(IF(J24="","",IF(unidad="°C",Calibración!F40,IF(unidad="K",Calibración!J40,5*(Calibración!J40+ 459.67) /9))),"")</f>
        <v>0.1196010545967775</v>
      </c>
      <c r="L24" s="189">
        <f t="shared" ca="1" si="0"/>
        <v>9.176181436791829E-2</v>
      </c>
      <c r="M24" s="189">
        <f t="shared" ca="1" si="1"/>
        <v>7.0999999999999994E-2</v>
      </c>
    </row>
    <row r="25" spans="2:13" x14ac:dyDescent="0.25">
      <c r="I25" s="103" t="s">
        <v>351</v>
      </c>
      <c r="J25" s="190">
        <f ca="1">IFERROR(IF(unidad="°C",Calibración!C41,IF(unidad="K",Calibración!C41-273.15,5*(Calibración!C41+ 459.67) /9)),"")</f>
        <v>-2.0157982925077794E-3</v>
      </c>
      <c r="K25" s="189">
        <f ca="1">IFERROR(IF(J25="","",IF(unidad="°C",Calibración!F41,IF(unidad="K",Calibración!J41,5*(Calibración!J41+ 459.67) /9))),"")</f>
        <v>0.1196010545967775</v>
      </c>
      <c r="L25" s="189">
        <f t="shared" ca="1" si="0"/>
        <v>9.176181436791829E-2</v>
      </c>
      <c r="M25" s="189">
        <f t="shared" ca="1" si="1"/>
        <v>7.0999999999999994E-2</v>
      </c>
    </row>
  </sheetData>
  <sheetProtection formatCells="0" formatColumns="0"/>
  <mergeCells count="25">
    <mergeCell ref="D8:E8"/>
    <mergeCell ref="F8:G8"/>
    <mergeCell ref="B3:G3"/>
    <mergeCell ref="I4:J4"/>
    <mergeCell ref="K4:L4"/>
    <mergeCell ref="B5:C5"/>
    <mergeCell ref="D6:G6"/>
    <mergeCell ref="B7:B8"/>
    <mergeCell ref="C7:C8"/>
    <mergeCell ref="D7:E7"/>
    <mergeCell ref="F7:G7"/>
    <mergeCell ref="D9:G9"/>
    <mergeCell ref="B10:B11"/>
    <mergeCell ref="C10:C11"/>
    <mergeCell ref="D10:E10"/>
    <mergeCell ref="F10:G10"/>
    <mergeCell ref="D11:E11"/>
    <mergeCell ref="F11:G11"/>
    <mergeCell ref="D12:G12"/>
    <mergeCell ref="B13:B14"/>
    <mergeCell ref="C13:C14"/>
    <mergeCell ref="D13:E13"/>
    <mergeCell ref="F13:G13"/>
    <mergeCell ref="D14:E14"/>
    <mergeCell ref="F14:G14"/>
  </mergeCells>
  <conditionalFormatting sqref="K16:K25">
    <cfRule type="cellIs" dxfId="0" priority="1" operator="lessThan">
      <formula>M16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23"/>
  <sheetViews>
    <sheetView topLeftCell="A4" zoomScale="85" zoomScaleNormal="85" workbookViewId="0">
      <selection activeCell="A36" sqref="A36:I36"/>
    </sheetView>
  </sheetViews>
  <sheetFormatPr defaultColWidth="8.85546875" defaultRowHeight="15" x14ac:dyDescent="0.25"/>
  <cols>
    <col min="1" max="1" width="3" bestFit="1" customWidth="1"/>
    <col min="2" max="2" width="4" customWidth="1"/>
    <col min="3" max="3" width="15.42578125" style="22" bestFit="1" customWidth="1"/>
    <col min="4" max="4" width="28.140625" style="22" customWidth="1"/>
    <col min="5" max="5" width="15.42578125" style="22" bestFit="1" customWidth="1"/>
    <col min="6" max="6" width="13.42578125" style="22" bestFit="1" customWidth="1"/>
    <col min="7" max="7" width="17.5703125" style="22" bestFit="1" customWidth="1"/>
    <col min="8" max="8" width="12.5703125" style="22" bestFit="1" customWidth="1"/>
    <col min="9" max="9" width="15.5703125" style="22" customWidth="1"/>
    <col min="10" max="10" width="15.42578125" style="22" customWidth="1"/>
    <col min="11" max="11" width="13.42578125" style="22" customWidth="1"/>
    <col min="12" max="12" width="12.42578125" style="22" bestFit="1" customWidth="1"/>
    <col min="13" max="13" width="11.42578125" bestFit="1" customWidth="1"/>
    <col min="14" max="14" width="11.85546875" bestFit="1" customWidth="1"/>
    <col min="15" max="15" width="11.5703125" customWidth="1"/>
    <col min="16" max="16" width="13.140625" customWidth="1"/>
    <col min="17" max="18" width="5.42578125" bestFit="1" customWidth="1"/>
    <col min="19" max="19" width="17.42578125" bestFit="1" customWidth="1"/>
    <col min="20" max="20" width="21.42578125" customWidth="1"/>
    <col min="21" max="21" width="17.42578125" bestFit="1" customWidth="1"/>
  </cols>
  <sheetData>
    <row r="1" spans="2:21" x14ac:dyDescent="0.25">
      <c r="C1"/>
      <c r="D1"/>
      <c r="E1"/>
      <c r="F1"/>
      <c r="G1"/>
      <c r="H1"/>
      <c r="I1"/>
      <c r="J1"/>
      <c r="K1"/>
      <c r="L1"/>
    </row>
    <row r="2" spans="2:21" x14ac:dyDescent="0.25">
      <c r="C2" s="57" t="s">
        <v>488</v>
      </c>
      <c r="D2" s="57"/>
      <c r="E2"/>
      <c r="F2"/>
      <c r="G2"/>
      <c r="H2"/>
      <c r="I2"/>
      <c r="J2"/>
      <c r="K2"/>
      <c r="L2"/>
    </row>
    <row r="3" spans="2:21" x14ac:dyDescent="0.25">
      <c r="C3"/>
      <c r="D3"/>
      <c r="E3"/>
      <c r="F3"/>
      <c r="G3"/>
      <c r="H3"/>
      <c r="I3"/>
      <c r="J3"/>
      <c r="K3"/>
      <c r="L3"/>
    </row>
    <row r="4" spans="2:21" ht="14.45" customHeight="1" x14ac:dyDescent="0.25">
      <c r="C4"/>
      <c r="D4"/>
      <c r="E4"/>
      <c r="F4"/>
      <c r="G4"/>
      <c r="H4" s="395" t="s">
        <v>487</v>
      </c>
      <c r="I4" s="396"/>
      <c r="J4" s="395" t="s">
        <v>450</v>
      </c>
      <c r="K4" s="396"/>
      <c r="L4" s="397" t="s">
        <v>486</v>
      </c>
      <c r="M4" s="399" t="s">
        <v>485</v>
      </c>
      <c r="N4" s="400"/>
      <c r="O4" s="400"/>
      <c r="P4" s="401"/>
    </row>
    <row r="5" spans="2:21" ht="31.5" x14ac:dyDescent="0.25">
      <c r="B5" s="95" t="s">
        <v>255</v>
      </c>
      <c r="C5" s="95" t="s">
        <v>30</v>
      </c>
      <c r="D5" s="95" t="s">
        <v>322</v>
      </c>
      <c r="E5" s="95" t="s">
        <v>484</v>
      </c>
      <c r="F5" s="95" t="s">
        <v>483</v>
      </c>
      <c r="G5" s="95" t="s">
        <v>482</v>
      </c>
      <c r="H5" s="95" t="s">
        <v>481</v>
      </c>
      <c r="I5" s="95" t="s">
        <v>480</v>
      </c>
      <c r="J5" s="95" t="s">
        <v>479</v>
      </c>
      <c r="K5" s="95" t="s">
        <v>478</v>
      </c>
      <c r="L5" s="398"/>
      <c r="M5" s="402"/>
      <c r="N5" s="403"/>
      <c r="O5" s="403"/>
      <c r="P5" s="404"/>
    </row>
    <row r="6" spans="2:21" hidden="1" x14ac:dyDescent="0.25">
      <c r="B6" s="284">
        <v>1</v>
      </c>
      <c r="C6" s="284" t="s">
        <v>477</v>
      </c>
      <c r="D6" s="284" t="s">
        <v>469</v>
      </c>
      <c r="E6" s="284">
        <v>60</v>
      </c>
      <c r="F6" s="284">
        <v>0.1</v>
      </c>
      <c r="G6" s="284">
        <v>0.1</v>
      </c>
      <c r="H6" s="284">
        <v>0.5</v>
      </c>
      <c r="I6" s="284">
        <v>2.5</v>
      </c>
      <c r="J6" s="282">
        <v>0.3</v>
      </c>
      <c r="K6" s="289">
        <v>1.3</v>
      </c>
      <c r="L6" s="285">
        <v>43427</v>
      </c>
      <c r="M6" s="288" t="s">
        <v>476</v>
      </c>
      <c r="N6" s="281"/>
      <c r="O6" s="280"/>
      <c r="P6" s="279"/>
    </row>
    <row r="7" spans="2:21" x14ac:dyDescent="0.25">
      <c r="B7" s="284">
        <v>2</v>
      </c>
      <c r="C7" s="284" t="s">
        <v>475</v>
      </c>
      <c r="D7" s="284" t="s">
        <v>474</v>
      </c>
      <c r="E7" s="284">
        <v>50</v>
      </c>
      <c r="F7" s="284">
        <v>0.1</v>
      </c>
      <c r="G7" s="284">
        <v>0.1</v>
      </c>
      <c r="H7" s="284">
        <v>0.5</v>
      </c>
      <c r="I7" s="284">
        <v>3</v>
      </c>
      <c r="J7" s="282">
        <v>0.4</v>
      </c>
      <c r="K7" s="282">
        <v>1.3</v>
      </c>
      <c r="L7" s="283">
        <v>44839</v>
      </c>
      <c r="M7" s="282" t="s">
        <v>473</v>
      </c>
      <c r="N7" s="282"/>
      <c r="O7" s="282"/>
      <c r="P7" s="279"/>
    </row>
    <row r="8" spans="2:21" hidden="1" x14ac:dyDescent="0.25">
      <c r="B8" s="284">
        <v>3</v>
      </c>
      <c r="C8" s="284" t="s">
        <v>472</v>
      </c>
      <c r="D8" s="284" t="s">
        <v>469</v>
      </c>
      <c r="E8" s="284">
        <v>60</v>
      </c>
      <c r="F8" s="284">
        <v>0.1</v>
      </c>
      <c r="G8" s="284">
        <v>0.1</v>
      </c>
      <c r="H8" s="284">
        <v>0.5</v>
      </c>
      <c r="I8" s="284">
        <v>2.5</v>
      </c>
      <c r="J8" s="282">
        <v>0.27</v>
      </c>
      <c r="K8" s="282">
        <v>1.3</v>
      </c>
      <c r="L8" s="285">
        <v>43600</v>
      </c>
      <c r="M8" s="282" t="s">
        <v>471</v>
      </c>
      <c r="N8" s="287"/>
      <c r="O8" s="286"/>
      <c r="P8" s="279"/>
    </row>
    <row r="9" spans="2:21" x14ac:dyDescent="0.25">
      <c r="B9" s="284">
        <v>4</v>
      </c>
      <c r="C9" s="284" t="s">
        <v>470</v>
      </c>
      <c r="D9" s="284" t="s">
        <v>469</v>
      </c>
      <c r="E9" s="284">
        <v>60</v>
      </c>
      <c r="F9" s="284">
        <v>0.1</v>
      </c>
      <c r="G9" s="284">
        <v>0.1</v>
      </c>
      <c r="H9" s="284">
        <v>0.5</v>
      </c>
      <c r="I9" s="284">
        <v>2.5</v>
      </c>
      <c r="J9" s="282">
        <v>0.4</v>
      </c>
      <c r="K9" s="282">
        <v>2.2000000000000002</v>
      </c>
      <c r="L9" s="285">
        <v>44839</v>
      </c>
      <c r="M9" s="282" t="s">
        <v>468</v>
      </c>
      <c r="N9" s="281"/>
      <c r="O9" s="280"/>
      <c r="P9" s="279"/>
    </row>
    <row r="10" spans="2:21" x14ac:dyDescent="0.25">
      <c r="B10" s="284">
        <v>5</v>
      </c>
      <c r="C10" s="284" t="s">
        <v>17</v>
      </c>
      <c r="D10" s="284" t="s">
        <v>467</v>
      </c>
      <c r="E10" s="284">
        <v>60</v>
      </c>
      <c r="F10" s="284">
        <v>0.1</v>
      </c>
      <c r="G10" s="284">
        <v>0.1</v>
      </c>
      <c r="H10" s="284">
        <v>0.8</v>
      </c>
      <c r="I10" s="284">
        <v>4.2</v>
      </c>
      <c r="J10" s="282">
        <v>0.42</v>
      </c>
      <c r="K10" s="282">
        <v>1.3</v>
      </c>
      <c r="L10" s="283">
        <v>44839</v>
      </c>
      <c r="M10" s="282" t="s">
        <v>466</v>
      </c>
      <c r="N10" s="281"/>
      <c r="O10" s="280"/>
      <c r="P10" s="279"/>
    </row>
    <row r="11" spans="2:21" x14ac:dyDescent="0.25">
      <c r="C11"/>
      <c r="D11"/>
      <c r="E11"/>
      <c r="F11"/>
      <c r="G11"/>
      <c r="H11"/>
      <c r="I11"/>
      <c r="J11"/>
      <c r="K11"/>
      <c r="L11"/>
    </row>
    <row r="12" spans="2:21" ht="16.5" x14ac:dyDescent="0.25">
      <c r="C12" s="160" t="s">
        <v>465</v>
      </c>
      <c r="D12" s="256" t="s">
        <v>415</v>
      </c>
      <c r="E12"/>
      <c r="F12"/>
      <c r="G12"/>
      <c r="H12"/>
      <c r="I12"/>
      <c r="J12"/>
      <c r="K12"/>
      <c r="L12"/>
    </row>
    <row r="13" spans="2:21" ht="14.45" customHeight="1" x14ac:dyDescent="0.25">
      <c r="B13" s="106"/>
      <c r="C13" s="106"/>
      <c r="D13" s="106"/>
      <c r="E13" s="106"/>
      <c r="F13" s="106"/>
      <c r="G13" s="106"/>
      <c r="H13" s="405" t="s">
        <v>464</v>
      </c>
      <c r="I13" s="406"/>
      <c r="J13" s="405" t="s">
        <v>463</v>
      </c>
      <c r="K13" s="406"/>
      <c r="L13" s="407" t="s">
        <v>462</v>
      </c>
      <c r="M13" s="407"/>
      <c r="N13" s="106"/>
      <c r="O13" s="106"/>
      <c r="P13" s="106"/>
      <c r="Q13" s="137" t="s">
        <v>461</v>
      </c>
      <c r="R13" s="278"/>
    </row>
    <row r="14" spans="2:21" ht="46.5" x14ac:dyDescent="0.25">
      <c r="B14" s="255" t="s">
        <v>255</v>
      </c>
      <c r="C14" s="253" t="s">
        <v>414</v>
      </c>
      <c r="D14" s="253" t="s">
        <v>413</v>
      </c>
      <c r="E14" s="253" t="s">
        <v>322</v>
      </c>
      <c r="F14" s="253" t="s">
        <v>32</v>
      </c>
      <c r="G14" s="253" t="s">
        <v>460</v>
      </c>
      <c r="H14" s="253" t="s">
        <v>459</v>
      </c>
      <c r="I14" s="253" t="s">
        <v>458</v>
      </c>
      <c r="J14" s="253" t="s">
        <v>383</v>
      </c>
      <c r="K14" s="253" t="s">
        <v>382</v>
      </c>
      <c r="L14" s="253" t="s">
        <v>457</v>
      </c>
      <c r="M14" s="253" t="s">
        <v>456</v>
      </c>
      <c r="N14" s="253" t="s">
        <v>29</v>
      </c>
      <c r="O14" s="253" t="s">
        <v>455</v>
      </c>
      <c r="P14" s="253" t="s">
        <v>454</v>
      </c>
      <c r="Q14" s="253" t="s">
        <v>453</v>
      </c>
      <c r="R14" s="253" t="s">
        <v>452</v>
      </c>
      <c r="S14" s="253" t="s">
        <v>451</v>
      </c>
      <c r="T14" s="253" t="s">
        <v>41</v>
      </c>
      <c r="U14" s="253" t="s">
        <v>450</v>
      </c>
    </row>
    <row r="15" spans="2:21" ht="45" x14ac:dyDescent="0.25">
      <c r="B15" s="252">
        <v>1</v>
      </c>
      <c r="C15" s="277" t="s">
        <v>449</v>
      </c>
      <c r="D15" s="277" t="s">
        <v>448</v>
      </c>
      <c r="E15" s="264" t="s">
        <v>424</v>
      </c>
      <c r="F15" s="264">
        <v>1529</v>
      </c>
      <c r="G15" s="264" t="s">
        <v>447</v>
      </c>
      <c r="H15" s="103">
        <v>16</v>
      </c>
      <c r="I15" s="103">
        <v>30</v>
      </c>
      <c r="J15" s="272">
        <v>-30</v>
      </c>
      <c r="K15" s="272">
        <v>250</v>
      </c>
      <c r="L15" s="220">
        <v>4.0000000000000001E-3</v>
      </c>
      <c r="M15" s="220">
        <v>0.4</v>
      </c>
      <c r="N15" s="220">
        <v>1E-3</v>
      </c>
      <c r="O15" s="268">
        <v>0</v>
      </c>
      <c r="P15" s="268">
        <v>0</v>
      </c>
      <c r="Q15" s="270">
        <v>16</v>
      </c>
      <c r="R15" s="270">
        <v>30</v>
      </c>
      <c r="S15" s="275">
        <v>43509</v>
      </c>
      <c r="T15" s="274" t="s">
        <v>443</v>
      </c>
      <c r="U15" s="273">
        <v>730219</v>
      </c>
    </row>
    <row r="16" spans="2:21" ht="30" x14ac:dyDescent="0.25">
      <c r="B16" s="252">
        <v>2</v>
      </c>
      <c r="C16" s="265" t="s">
        <v>446</v>
      </c>
      <c r="D16" s="277" t="s">
        <v>445</v>
      </c>
      <c r="E16" s="264" t="s">
        <v>424</v>
      </c>
      <c r="F16" s="264" t="s">
        <v>444</v>
      </c>
      <c r="G16" s="264" t="s">
        <v>438</v>
      </c>
      <c r="H16" s="103">
        <v>-50</v>
      </c>
      <c r="I16" s="103">
        <v>250</v>
      </c>
      <c r="J16" s="272">
        <v>-30</v>
      </c>
      <c r="K16" s="272">
        <v>250</v>
      </c>
      <c r="L16" s="220">
        <v>4.0000000000000001E-3</v>
      </c>
      <c r="M16" s="220">
        <v>0.4</v>
      </c>
      <c r="N16" s="220">
        <v>1E-3</v>
      </c>
      <c r="O16" s="276">
        <v>3.9249999999999997E-3</v>
      </c>
      <c r="P16" s="268">
        <v>0</v>
      </c>
      <c r="Q16" s="270">
        <v>16</v>
      </c>
      <c r="R16" s="270">
        <v>30</v>
      </c>
      <c r="S16" s="275">
        <v>43509</v>
      </c>
      <c r="T16" s="274" t="s">
        <v>443</v>
      </c>
      <c r="U16" s="273">
        <v>730219</v>
      </c>
    </row>
    <row r="17" spans="1:21" ht="30" x14ac:dyDescent="0.25">
      <c r="B17" s="252">
        <v>3</v>
      </c>
      <c r="C17" s="265" t="s">
        <v>235</v>
      </c>
      <c r="D17" s="211" t="s">
        <v>396</v>
      </c>
      <c r="E17" s="264" t="s">
        <v>424</v>
      </c>
      <c r="F17" s="264">
        <v>9171</v>
      </c>
      <c r="G17" s="264" t="s">
        <v>442</v>
      </c>
      <c r="H17" s="103">
        <v>5</v>
      </c>
      <c r="I17" s="103">
        <v>45</v>
      </c>
      <c r="J17" s="258">
        <v>-30</v>
      </c>
      <c r="K17" s="258">
        <v>155</v>
      </c>
      <c r="L17" s="246">
        <v>0.1</v>
      </c>
      <c r="M17" s="103">
        <v>0.1</v>
      </c>
      <c r="N17" s="246">
        <v>1E-3</v>
      </c>
      <c r="O17" s="245">
        <v>0</v>
      </c>
      <c r="P17" s="268">
        <v>0</v>
      </c>
      <c r="Q17" s="268">
        <v>5</v>
      </c>
      <c r="R17" s="268">
        <v>45</v>
      </c>
      <c r="S17" s="260">
        <v>43230</v>
      </c>
      <c r="T17" s="259" t="s">
        <v>421</v>
      </c>
      <c r="U17" s="258" t="s">
        <v>441</v>
      </c>
    </row>
    <row r="18" spans="1:21" ht="30" x14ac:dyDescent="0.25">
      <c r="B18" s="252">
        <v>4</v>
      </c>
      <c r="C18" s="265" t="s">
        <v>292</v>
      </c>
      <c r="D18" s="265" t="s">
        <v>67</v>
      </c>
      <c r="E18" s="264" t="s">
        <v>440</v>
      </c>
      <c r="F18" s="264" t="s">
        <v>439</v>
      </c>
      <c r="G18" s="264" t="s">
        <v>438</v>
      </c>
      <c r="H18" s="103">
        <v>-200</v>
      </c>
      <c r="I18" s="103">
        <v>300</v>
      </c>
      <c r="J18" s="272">
        <v>-30</v>
      </c>
      <c r="K18" s="272">
        <v>250</v>
      </c>
      <c r="L18" s="103">
        <v>2.5999999999999999E-2</v>
      </c>
      <c r="M18" s="103">
        <v>0.124</v>
      </c>
      <c r="N18" s="103">
        <v>1E-3</v>
      </c>
      <c r="O18" s="271">
        <v>3.8500000000000001E-3</v>
      </c>
      <c r="P18" s="268">
        <v>0</v>
      </c>
      <c r="Q18" s="270">
        <v>16</v>
      </c>
      <c r="R18" s="270">
        <v>30</v>
      </c>
      <c r="S18" s="260">
        <v>44839</v>
      </c>
      <c r="T18" s="259" t="s">
        <v>421</v>
      </c>
      <c r="U18" s="258" t="s">
        <v>437</v>
      </c>
    </row>
    <row r="19" spans="1:21" ht="45" x14ac:dyDescent="0.25">
      <c r="B19" s="252">
        <v>5</v>
      </c>
      <c r="C19" s="265" t="s">
        <v>436</v>
      </c>
      <c r="D19" s="265" t="s">
        <v>435</v>
      </c>
      <c r="E19" s="264" t="s">
        <v>434</v>
      </c>
      <c r="F19" s="264" t="s">
        <v>433</v>
      </c>
      <c r="G19" s="264" t="s">
        <v>228</v>
      </c>
      <c r="H19" s="103">
        <v>-40</v>
      </c>
      <c r="I19" s="103">
        <v>140</v>
      </c>
      <c r="J19" s="258">
        <v>-20</v>
      </c>
      <c r="K19" s="258">
        <v>140</v>
      </c>
      <c r="L19" s="103">
        <v>0.1</v>
      </c>
      <c r="M19" s="103">
        <v>0.1</v>
      </c>
      <c r="N19" s="103">
        <v>0.1</v>
      </c>
      <c r="O19" s="269">
        <v>0</v>
      </c>
      <c r="P19" s="268">
        <v>0</v>
      </c>
      <c r="Q19" s="268">
        <v>-40</v>
      </c>
      <c r="R19" s="268">
        <v>140</v>
      </c>
      <c r="S19" s="260">
        <v>43497</v>
      </c>
      <c r="T19" s="259" t="s">
        <v>432</v>
      </c>
      <c r="U19" s="258" t="s">
        <v>431</v>
      </c>
    </row>
    <row r="20" spans="1:21" ht="30" x14ac:dyDescent="0.25">
      <c r="B20" s="252">
        <v>6</v>
      </c>
      <c r="C20" s="265" t="s">
        <v>233</v>
      </c>
      <c r="D20" s="265" t="s">
        <v>396</v>
      </c>
      <c r="E20" s="264" t="s">
        <v>395</v>
      </c>
      <c r="F20" s="264" t="s">
        <v>430</v>
      </c>
      <c r="G20" s="264" t="s">
        <v>429</v>
      </c>
      <c r="H20" s="103">
        <v>5</v>
      </c>
      <c r="I20" s="103">
        <v>45</v>
      </c>
      <c r="J20" s="258">
        <v>50</v>
      </c>
      <c r="K20" s="258">
        <v>350</v>
      </c>
      <c r="L20" s="263">
        <v>0.1</v>
      </c>
      <c r="M20" s="263">
        <v>0.1</v>
      </c>
      <c r="N20" s="103">
        <v>1</v>
      </c>
      <c r="O20" s="244">
        <v>0.03</v>
      </c>
      <c r="P20" s="229">
        <v>5.5599999999999997E-2</v>
      </c>
      <c r="Q20" s="268">
        <v>18</v>
      </c>
      <c r="R20" s="268">
        <v>28</v>
      </c>
      <c r="S20" s="260">
        <v>43642</v>
      </c>
      <c r="T20" s="259" t="s">
        <v>421</v>
      </c>
      <c r="U20" s="260" t="s">
        <v>428</v>
      </c>
    </row>
    <row r="21" spans="1:21" x14ac:dyDescent="0.25">
      <c r="B21" s="252">
        <v>7</v>
      </c>
      <c r="C21" s="265" t="s">
        <v>427</v>
      </c>
      <c r="D21" s="265"/>
      <c r="E21" s="264"/>
      <c r="F21" s="264"/>
      <c r="G21" s="264"/>
      <c r="H21" s="103"/>
      <c r="I21" s="103"/>
      <c r="J21" s="258"/>
      <c r="K21" s="258"/>
      <c r="L21" s="263"/>
      <c r="M21" s="263"/>
      <c r="N21" s="103"/>
      <c r="O21" s="244"/>
      <c r="P21" s="229"/>
      <c r="Q21" s="268"/>
      <c r="R21" s="268"/>
      <c r="S21" s="260"/>
      <c r="T21" s="259"/>
      <c r="U21" s="258"/>
    </row>
    <row r="22" spans="1:21" ht="30" x14ac:dyDescent="0.25">
      <c r="B22" s="252">
        <v>8</v>
      </c>
      <c r="C22" s="265" t="s">
        <v>426</v>
      </c>
      <c r="D22" s="265" t="s">
        <v>390</v>
      </c>
      <c r="E22" s="264" t="s">
        <v>424</v>
      </c>
      <c r="F22" s="264" t="s">
        <v>423</v>
      </c>
      <c r="G22" s="264" t="s">
        <v>422</v>
      </c>
      <c r="H22" s="103">
        <v>-10</v>
      </c>
      <c r="I22" s="263">
        <v>50</v>
      </c>
      <c r="J22" s="258">
        <v>-30</v>
      </c>
      <c r="K22" s="258">
        <v>650</v>
      </c>
      <c r="L22" s="209">
        <v>0.3</v>
      </c>
      <c r="M22" s="209">
        <v>0.5</v>
      </c>
      <c r="N22" s="209">
        <v>0.1</v>
      </c>
      <c r="O22" s="267">
        <v>0.05</v>
      </c>
      <c r="P22" s="261">
        <v>0.3</v>
      </c>
      <c r="Q22" s="261">
        <v>-10</v>
      </c>
      <c r="R22" s="261">
        <v>50</v>
      </c>
      <c r="S22" s="260">
        <v>44839</v>
      </c>
      <c r="T22" s="259" t="s">
        <v>421</v>
      </c>
      <c r="U22" s="258" t="s">
        <v>420</v>
      </c>
    </row>
    <row r="23" spans="1:21" ht="30" x14ac:dyDescent="0.25">
      <c r="B23" s="252">
        <v>9</v>
      </c>
      <c r="C23" s="265" t="s">
        <v>425</v>
      </c>
      <c r="D23" s="265" t="s">
        <v>390</v>
      </c>
      <c r="E23" s="264" t="s">
        <v>424</v>
      </c>
      <c r="F23" s="264" t="s">
        <v>423</v>
      </c>
      <c r="G23" s="264" t="s">
        <v>422</v>
      </c>
      <c r="H23" s="103">
        <v>-10</v>
      </c>
      <c r="I23" s="263">
        <v>50</v>
      </c>
      <c r="J23" s="258">
        <v>-30</v>
      </c>
      <c r="K23" s="258">
        <v>650</v>
      </c>
      <c r="L23" s="209">
        <v>0.3</v>
      </c>
      <c r="M23" s="209">
        <v>0.5</v>
      </c>
      <c r="N23" s="209">
        <v>0.1</v>
      </c>
      <c r="O23" s="267">
        <v>0.05</v>
      </c>
      <c r="P23" s="261">
        <v>0.3</v>
      </c>
      <c r="Q23" s="261">
        <v>-10</v>
      </c>
      <c r="R23" s="261">
        <v>50</v>
      </c>
      <c r="S23" s="260">
        <v>44839</v>
      </c>
      <c r="T23" s="259" t="s">
        <v>421</v>
      </c>
      <c r="U23" s="258" t="s">
        <v>420</v>
      </c>
    </row>
    <row r="24" spans="1:21" x14ac:dyDescent="0.25">
      <c r="B24" s="266">
        <v>10</v>
      </c>
      <c r="C24" s="265"/>
      <c r="D24" s="265"/>
      <c r="E24" s="264"/>
      <c r="F24" s="264"/>
      <c r="G24" s="264"/>
      <c r="H24" s="103"/>
      <c r="I24" s="263"/>
      <c r="J24" s="258"/>
      <c r="K24" s="258"/>
      <c r="L24" s="209"/>
      <c r="M24" s="209"/>
      <c r="N24" s="209"/>
      <c r="O24" s="262"/>
      <c r="P24" s="261"/>
      <c r="Q24" s="261"/>
      <c r="R24" s="261"/>
      <c r="S24" s="260"/>
      <c r="T24" s="259"/>
      <c r="U24" s="258"/>
    </row>
    <row r="25" spans="1:21" x14ac:dyDescent="0.25">
      <c r="C25"/>
      <c r="D25"/>
      <c r="E25"/>
      <c r="F25"/>
      <c r="G25"/>
      <c r="H25"/>
      <c r="I25"/>
      <c r="J25"/>
      <c r="K25"/>
      <c r="L25"/>
    </row>
    <row r="26" spans="1:21" x14ac:dyDescent="0.25">
      <c r="C26" t="s">
        <v>419</v>
      </c>
      <c r="D26"/>
      <c r="E26"/>
      <c r="F26"/>
      <c r="G26"/>
      <c r="H26"/>
      <c r="I26"/>
      <c r="J26"/>
      <c r="K26"/>
      <c r="L26"/>
    </row>
    <row r="27" spans="1:21" x14ac:dyDescent="0.25">
      <c r="C27"/>
      <c r="D27"/>
      <c r="E27"/>
      <c r="F27"/>
      <c r="G27"/>
      <c r="H27"/>
      <c r="I27"/>
      <c r="J27"/>
      <c r="K27"/>
      <c r="L27"/>
    </row>
    <row r="28" spans="1:21" x14ac:dyDescent="0.25">
      <c r="C28"/>
      <c r="D28"/>
      <c r="E28"/>
      <c r="F28"/>
      <c r="G28"/>
      <c r="H28"/>
      <c r="I28"/>
      <c r="J28"/>
      <c r="K28"/>
      <c r="L28"/>
    </row>
    <row r="29" spans="1:21" x14ac:dyDescent="0.25">
      <c r="C29"/>
      <c r="D29"/>
      <c r="E29"/>
      <c r="F29"/>
      <c r="G29"/>
      <c r="H29"/>
      <c r="I29"/>
      <c r="J29"/>
      <c r="K29"/>
      <c r="L29"/>
    </row>
    <row r="30" spans="1:21" ht="16.5" x14ac:dyDescent="0.25">
      <c r="C30" s="57" t="s">
        <v>418</v>
      </c>
      <c r="D30" s="57"/>
      <c r="E30" s="257" t="s">
        <v>417</v>
      </c>
      <c r="F30" s="257"/>
      <c r="G30"/>
      <c r="H30" s="257" t="s">
        <v>416</v>
      </c>
      <c r="I30" s="257"/>
      <c r="J30" s="256" t="s">
        <v>415</v>
      </c>
      <c r="K30"/>
      <c r="L30"/>
    </row>
    <row r="31" spans="1:21" ht="15.6" customHeight="1" x14ac:dyDescent="0.25">
      <c r="B31" s="255" t="s">
        <v>255</v>
      </c>
      <c r="C31" s="253" t="s">
        <v>414</v>
      </c>
      <c r="D31" s="253" t="s">
        <v>413</v>
      </c>
      <c r="E31" s="253" t="s">
        <v>412</v>
      </c>
      <c r="F31" s="253" t="s">
        <v>411</v>
      </c>
      <c r="G31" s="253" t="s">
        <v>410</v>
      </c>
      <c r="H31" s="253" t="s">
        <v>409</v>
      </c>
      <c r="I31" s="253" t="s">
        <v>408</v>
      </c>
      <c r="J31" s="254" t="s">
        <v>407</v>
      </c>
      <c r="K31" s="253" t="s">
        <v>406</v>
      </c>
      <c r="L31"/>
    </row>
    <row r="32" spans="1:21" x14ac:dyDescent="0.25">
      <c r="A32" s="224">
        <v>1</v>
      </c>
      <c r="B32" s="252">
        <v>1</v>
      </c>
      <c r="C32" s="251" t="str">
        <f>C15</f>
        <v>NI-MCPT-01</v>
      </c>
      <c r="D32" s="250" t="s">
        <v>405</v>
      </c>
      <c r="E32" s="103">
        <v>-30.035</v>
      </c>
      <c r="F32" s="215">
        <v>0</v>
      </c>
      <c r="G32" s="103">
        <v>0.02</v>
      </c>
      <c r="H32" s="103">
        <v>-30.097000000000001</v>
      </c>
      <c r="I32" s="103">
        <v>5.5E-2</v>
      </c>
      <c r="J32" s="231">
        <v>3.2000000000000001E-2</v>
      </c>
      <c r="K32" s="249">
        <f>ABS(Cert_patrones[[#This Row],[Correccion.act]]-Cert_patrones[[#This Row],[Correccion.ant]])</f>
        <v>5.5E-2</v>
      </c>
      <c r="L32"/>
    </row>
    <row r="33" spans="1:12" x14ac:dyDescent="0.25">
      <c r="B33" s="217">
        <v>2</v>
      </c>
      <c r="C33" s="216" t="str">
        <f t="shared" ref="C33:C40" si="0">$C$32</f>
        <v>NI-MCPT-01</v>
      </c>
      <c r="D33" s="211" t="s">
        <v>404</v>
      </c>
      <c r="E33" s="103">
        <v>0</v>
      </c>
      <c r="F33" s="215">
        <v>5.0000000000000001E-3</v>
      </c>
      <c r="G33" s="103">
        <v>1.6E-2</v>
      </c>
      <c r="H33" s="103">
        <v>1.9E-2</v>
      </c>
      <c r="I33" s="103">
        <v>4.3999999999999997E-2</v>
      </c>
      <c r="J33" s="231">
        <v>3.2000000000000001E-2</v>
      </c>
      <c r="K33" s="249">
        <f>ABS(Cert_patrones[[#This Row],[Correccion.act]]-Cert_patrones[[#This Row],[Correccion.ant]])</f>
        <v>3.9E-2</v>
      </c>
      <c r="L33"/>
    </row>
    <row r="34" spans="1:12" x14ac:dyDescent="0.25">
      <c r="B34" s="217">
        <v>3</v>
      </c>
      <c r="C34" s="216" t="str">
        <f t="shared" si="0"/>
        <v>NI-MCPT-01</v>
      </c>
      <c r="D34" s="211"/>
      <c r="E34" s="103">
        <v>25.015000000000001</v>
      </c>
      <c r="F34" s="215">
        <v>-2E-3</v>
      </c>
      <c r="G34" s="103">
        <v>1.7000000000000001E-2</v>
      </c>
      <c r="H34" s="103">
        <v>25.094000000000001</v>
      </c>
      <c r="I34" s="229">
        <v>3.9E-2</v>
      </c>
      <c r="J34" s="231">
        <v>3.2000000000000001E-2</v>
      </c>
      <c r="K34" s="249">
        <f>ABS(Cert_patrones[[#This Row],[Correccion.act]]-Cert_patrones[[#This Row],[Correccion.ant]])</f>
        <v>4.1000000000000002E-2</v>
      </c>
      <c r="L34"/>
    </row>
    <row r="35" spans="1:12" x14ac:dyDescent="0.25">
      <c r="B35" s="217">
        <v>4</v>
      </c>
      <c r="C35" s="216" t="str">
        <f t="shared" si="0"/>
        <v>NI-MCPT-01</v>
      </c>
      <c r="D35" s="211"/>
      <c r="E35" s="103">
        <v>49.984999999999999</v>
      </c>
      <c r="F35" s="215">
        <v>-5.0000000000000001E-3</v>
      </c>
      <c r="G35" s="103">
        <v>1.7000000000000001E-2</v>
      </c>
      <c r="H35" s="103">
        <v>50.055999999999997</v>
      </c>
      <c r="I35" s="103">
        <v>3.3000000000000002E-2</v>
      </c>
      <c r="J35" s="231">
        <v>3.2000000000000001E-2</v>
      </c>
      <c r="K35" s="249">
        <f>ABS(Cert_patrones[[#This Row],[Correccion.act]]-Cert_patrones[[#This Row],[Correccion.ant]])</f>
        <v>3.7999999999999999E-2</v>
      </c>
      <c r="L35"/>
    </row>
    <row r="36" spans="1:12" x14ac:dyDescent="0.25">
      <c r="B36" s="217">
        <v>5</v>
      </c>
      <c r="C36" s="216" t="str">
        <f t="shared" si="0"/>
        <v>NI-MCPT-01</v>
      </c>
      <c r="D36" s="211"/>
      <c r="E36" s="103">
        <v>100.01600000000001</v>
      </c>
      <c r="F36" s="215">
        <v>-2.4E-2</v>
      </c>
      <c r="G36" s="103">
        <v>1.9E-2</v>
      </c>
      <c r="H36" s="103">
        <v>100.02</v>
      </c>
      <c r="I36" s="229">
        <v>3.2000000000000001E-2</v>
      </c>
      <c r="J36" s="231">
        <v>3.2000000000000001E-2</v>
      </c>
      <c r="K36" s="249">
        <f>ABS(Cert_patrones[[#This Row],[Correccion.act]]-Cert_patrones[[#This Row],[Correccion.ant]])</f>
        <v>5.6000000000000001E-2</v>
      </c>
      <c r="L36"/>
    </row>
    <row r="37" spans="1:12" x14ac:dyDescent="0.25">
      <c r="B37" s="217">
        <v>6</v>
      </c>
      <c r="C37" s="216" t="str">
        <f t="shared" si="0"/>
        <v>NI-MCPT-01</v>
      </c>
      <c r="D37" s="211"/>
      <c r="E37" s="103">
        <v>150.01400000000001</v>
      </c>
      <c r="F37" s="215">
        <v>2.8000000000000001E-2</v>
      </c>
      <c r="G37" s="103">
        <v>1.9E-2</v>
      </c>
      <c r="H37" s="103">
        <v>150.19399999999999</v>
      </c>
      <c r="I37" s="103">
        <v>5.8000000000000003E-2</v>
      </c>
      <c r="J37" s="231">
        <v>3.3000000000000002E-2</v>
      </c>
      <c r="K37" s="249">
        <f>ABS(Cert_patrones[[#This Row],[Correccion.act]]-Cert_patrones[[#This Row],[Correccion.ant]])</f>
        <v>3.0000000000000002E-2</v>
      </c>
      <c r="L37"/>
    </row>
    <row r="38" spans="1:12" x14ac:dyDescent="0.25">
      <c r="B38" s="217">
        <v>7</v>
      </c>
      <c r="C38" s="216" t="str">
        <f t="shared" si="0"/>
        <v>NI-MCPT-01</v>
      </c>
      <c r="D38" s="211"/>
      <c r="E38" s="103">
        <v>200.01599999999999</v>
      </c>
      <c r="F38" s="215">
        <v>1.0999999999999999E-2</v>
      </c>
      <c r="G38" s="103">
        <v>1.9E-2</v>
      </c>
      <c r="H38" s="103">
        <v>200.07499999999999</v>
      </c>
      <c r="I38" s="103">
        <v>1.6E-2</v>
      </c>
      <c r="J38" s="231">
        <v>3.3000000000000002E-2</v>
      </c>
      <c r="K38" s="249">
        <f>ABS(Cert_patrones[[#This Row],[Correccion.act]]-Cert_patrones[[#This Row],[Correccion.ant]])</f>
        <v>5.000000000000001E-3</v>
      </c>
      <c r="L38"/>
    </row>
    <row r="39" spans="1:12" x14ac:dyDescent="0.25">
      <c r="B39" s="217">
        <v>8</v>
      </c>
      <c r="C39" s="216" t="str">
        <f t="shared" si="0"/>
        <v>NI-MCPT-01</v>
      </c>
      <c r="D39" s="211"/>
      <c r="E39" s="103">
        <v>250.02500000000001</v>
      </c>
      <c r="F39" s="215">
        <v>-1.2999999999999999E-2</v>
      </c>
      <c r="G39" s="103">
        <v>1.9E-2</v>
      </c>
      <c r="H39" s="103">
        <v>250.114</v>
      </c>
      <c r="I39" s="103">
        <v>2.7E-2</v>
      </c>
      <c r="J39" s="231">
        <v>3.3000000000000002E-2</v>
      </c>
      <c r="K39" s="249">
        <f>ABS(Cert_patrones[[#This Row],[Correccion.act]]-Cert_patrones[[#This Row],[Correccion.ant]])</f>
        <v>0.04</v>
      </c>
      <c r="L39"/>
    </row>
    <row r="40" spans="1:12" ht="15.75" thickBot="1" x14ac:dyDescent="0.3">
      <c r="B40" s="227">
        <v>9</v>
      </c>
      <c r="C40" s="212" t="str">
        <f t="shared" si="0"/>
        <v>NI-MCPT-01</v>
      </c>
      <c r="D40" s="226"/>
      <c r="E40" s="204"/>
      <c r="F40" s="210"/>
      <c r="G40" s="204"/>
      <c r="H40" s="204"/>
      <c r="I40" s="204"/>
      <c r="J40" s="230"/>
      <c r="K40" s="225" t="s">
        <v>403</v>
      </c>
      <c r="L40"/>
    </row>
    <row r="41" spans="1:12" x14ac:dyDescent="0.25">
      <c r="A41" s="224">
        <v>2</v>
      </c>
      <c r="B41" s="223">
        <v>1</v>
      </c>
      <c r="C41" s="222" t="str">
        <f>C16</f>
        <v>NI-MCPT-02</v>
      </c>
      <c r="D41" s="211" t="s">
        <v>402</v>
      </c>
      <c r="E41" s="103">
        <v>-30.035</v>
      </c>
      <c r="F41" s="247">
        <v>0</v>
      </c>
      <c r="G41" s="103">
        <v>0.02</v>
      </c>
      <c r="H41" s="103">
        <v>-30.097000000000001</v>
      </c>
      <c r="I41" s="247">
        <v>5.5E-2</v>
      </c>
      <c r="J41" s="103">
        <v>3.2000000000000001E-2</v>
      </c>
      <c r="K41" s="214">
        <f>ABS(Cert_patrones[[#This Row],[Correccion.act]]-Cert_patrones[[#This Row],[Correccion.ant]])</f>
        <v>5.5E-2</v>
      </c>
      <c r="L41"/>
    </row>
    <row r="42" spans="1:12" x14ac:dyDescent="0.25">
      <c r="B42" s="217">
        <v>2</v>
      </c>
      <c r="C42" s="216" t="str">
        <f t="shared" ref="C42:C49" si="1">$C$41</f>
        <v>NI-MCPT-02</v>
      </c>
      <c r="D42" s="211" t="s">
        <v>401</v>
      </c>
      <c r="E42" s="103">
        <v>0</v>
      </c>
      <c r="F42" s="215">
        <v>5.0000000000000001E-3</v>
      </c>
      <c r="G42" s="103">
        <v>1.6E-2</v>
      </c>
      <c r="H42" s="103">
        <v>1.9E-2</v>
      </c>
      <c r="I42" s="215">
        <v>4.3999999999999997E-2</v>
      </c>
      <c r="J42" s="103">
        <v>3.2000000000000001E-2</v>
      </c>
      <c r="K42" s="214">
        <f>ABS(Cert_patrones[[#This Row],[Correccion.act]]-Cert_patrones[[#This Row],[Correccion.ant]])</f>
        <v>3.9E-2</v>
      </c>
      <c r="L42"/>
    </row>
    <row r="43" spans="1:12" x14ac:dyDescent="0.25">
      <c r="B43" s="217">
        <v>3</v>
      </c>
      <c r="C43" s="216" t="str">
        <f t="shared" si="1"/>
        <v>NI-MCPT-02</v>
      </c>
      <c r="D43" s="211"/>
      <c r="E43" s="103">
        <v>25.015000000000001</v>
      </c>
      <c r="F43" s="215">
        <v>-2E-3</v>
      </c>
      <c r="G43" s="103">
        <v>1.7000000000000001E-2</v>
      </c>
      <c r="H43" s="103">
        <v>25.094000000000001</v>
      </c>
      <c r="I43" s="215">
        <v>3.9E-2</v>
      </c>
      <c r="J43" s="103">
        <v>3.2000000000000001E-2</v>
      </c>
      <c r="K43" s="214">
        <f>ABS(Cert_patrones[[#This Row],[Correccion.act]]-Cert_patrones[[#This Row],[Correccion.ant]])</f>
        <v>4.1000000000000002E-2</v>
      </c>
      <c r="L43"/>
    </row>
    <row r="44" spans="1:12" x14ac:dyDescent="0.25">
      <c r="B44" s="217">
        <v>4</v>
      </c>
      <c r="C44" s="216" t="str">
        <f t="shared" si="1"/>
        <v>NI-MCPT-02</v>
      </c>
      <c r="D44" s="211"/>
      <c r="E44" s="103">
        <v>49.984999999999999</v>
      </c>
      <c r="F44" s="215">
        <v>-5.0000000000000001E-3</v>
      </c>
      <c r="G44" s="103">
        <v>1.7000000000000001E-2</v>
      </c>
      <c r="H44" s="103">
        <v>50.055999999999997</v>
      </c>
      <c r="I44" s="215">
        <v>3.3000000000000002E-2</v>
      </c>
      <c r="J44" s="103">
        <v>3.2000000000000001E-2</v>
      </c>
      <c r="K44" s="214">
        <f>ABS(Cert_patrones[[#This Row],[Correccion.act]]-Cert_patrones[[#This Row],[Correccion.ant]])</f>
        <v>3.7999999999999999E-2</v>
      </c>
      <c r="L44"/>
    </row>
    <row r="45" spans="1:12" x14ac:dyDescent="0.25">
      <c r="B45" s="217">
        <v>5</v>
      </c>
      <c r="C45" s="216" t="str">
        <f t="shared" si="1"/>
        <v>NI-MCPT-02</v>
      </c>
      <c r="D45" s="211"/>
      <c r="E45" s="103">
        <v>100.01600000000001</v>
      </c>
      <c r="F45" s="215">
        <v>-2.4E-2</v>
      </c>
      <c r="G45" s="103">
        <v>1.9E-2</v>
      </c>
      <c r="H45" s="103">
        <v>100.02</v>
      </c>
      <c r="I45" s="215">
        <v>3.2000000000000001E-2</v>
      </c>
      <c r="J45" s="103">
        <v>3.2000000000000001E-2</v>
      </c>
      <c r="K45" s="214">
        <f>ABS(Cert_patrones[[#This Row],[Correccion.act]]-Cert_patrones[[#This Row],[Correccion.ant]])</f>
        <v>5.6000000000000001E-2</v>
      </c>
      <c r="L45"/>
    </row>
    <row r="46" spans="1:12" x14ac:dyDescent="0.25">
      <c r="B46" s="217">
        <v>6</v>
      </c>
      <c r="C46" s="216" t="str">
        <f t="shared" si="1"/>
        <v>NI-MCPT-02</v>
      </c>
      <c r="D46" s="211"/>
      <c r="E46" s="103">
        <v>150.01400000000001</v>
      </c>
      <c r="F46" s="215">
        <v>2.8000000000000001E-2</v>
      </c>
      <c r="G46" s="103">
        <v>1.9E-2</v>
      </c>
      <c r="H46" s="103">
        <v>150.19399999999999</v>
      </c>
      <c r="I46" s="215">
        <v>5.8000000000000003E-2</v>
      </c>
      <c r="J46" s="103">
        <v>3.3000000000000002E-2</v>
      </c>
      <c r="K46" s="214">
        <f>ABS(Cert_patrones[[#This Row],[Correccion.act]]-Cert_patrones[[#This Row],[Correccion.ant]])</f>
        <v>3.0000000000000002E-2</v>
      </c>
      <c r="L46"/>
    </row>
    <row r="47" spans="1:12" x14ac:dyDescent="0.25">
      <c r="B47" s="217">
        <v>7</v>
      </c>
      <c r="C47" s="216" t="str">
        <f t="shared" si="1"/>
        <v>NI-MCPT-02</v>
      </c>
      <c r="D47" s="211"/>
      <c r="E47" s="103">
        <v>200.01599999999999</v>
      </c>
      <c r="F47" s="215">
        <v>1.0999999999999999E-2</v>
      </c>
      <c r="G47" s="103">
        <v>1.9E-2</v>
      </c>
      <c r="H47" s="103">
        <v>200.07499999999999</v>
      </c>
      <c r="I47" s="215">
        <v>1.6E-2</v>
      </c>
      <c r="J47" s="103">
        <v>3.3000000000000002E-2</v>
      </c>
      <c r="K47" s="214">
        <f>ABS(Cert_patrones[[#This Row],[Correccion.act]]-Cert_patrones[[#This Row],[Correccion.ant]])</f>
        <v>5.000000000000001E-3</v>
      </c>
      <c r="L47"/>
    </row>
    <row r="48" spans="1:12" x14ac:dyDescent="0.25">
      <c r="B48" s="217">
        <v>8</v>
      </c>
      <c r="C48" s="216" t="str">
        <f t="shared" si="1"/>
        <v>NI-MCPT-02</v>
      </c>
      <c r="D48" s="211"/>
      <c r="E48" s="103">
        <v>250.02500000000001</v>
      </c>
      <c r="F48" s="215">
        <v>-1.2999999999999999E-2</v>
      </c>
      <c r="G48" s="103">
        <v>1.9E-2</v>
      </c>
      <c r="H48" s="103">
        <v>250.114</v>
      </c>
      <c r="I48" s="215">
        <v>2.7E-2</v>
      </c>
      <c r="J48" s="103">
        <v>3.3000000000000002E-2</v>
      </c>
      <c r="K48" s="214">
        <f>ABS(Cert_patrones[[#This Row],[Correccion.act]]-Cert_patrones[[#This Row],[Correccion.ant]])</f>
        <v>0.04</v>
      </c>
      <c r="L48"/>
    </row>
    <row r="49" spans="1:12" ht="15.75" thickBot="1" x14ac:dyDescent="0.3">
      <c r="B49" s="227">
        <v>9</v>
      </c>
      <c r="C49" s="212" t="str">
        <f t="shared" si="1"/>
        <v>NI-MCPT-02</v>
      </c>
      <c r="D49" s="226"/>
      <c r="E49" s="204"/>
      <c r="F49" s="205"/>
      <c r="G49" s="204"/>
      <c r="H49" s="204"/>
      <c r="I49" s="204"/>
      <c r="J49" s="230"/>
      <c r="K49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49"/>
    </row>
    <row r="50" spans="1:12" x14ac:dyDescent="0.25">
      <c r="A50" s="224">
        <v>3</v>
      </c>
      <c r="B50" s="223">
        <v>1</v>
      </c>
      <c r="C50" s="222" t="str">
        <f>C17</f>
        <v>NI-MCPT-37</v>
      </c>
      <c r="D50" s="211" t="s">
        <v>396</v>
      </c>
      <c r="E50" s="220">
        <v>-29.99</v>
      </c>
      <c r="F50" s="215">
        <v>1.2999999999999999E-2</v>
      </c>
      <c r="G50" s="240">
        <v>7.0999999999999994E-2</v>
      </c>
      <c r="H50" s="220"/>
      <c r="I50" s="215"/>
      <c r="J50" s="233"/>
      <c r="K50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50"/>
    </row>
    <row r="51" spans="1:12" x14ac:dyDescent="0.25">
      <c r="B51" s="217">
        <v>2</v>
      </c>
      <c r="C51" s="216" t="str">
        <f t="shared" ref="C51:C58" si="2">$C$50</f>
        <v>NI-MCPT-37</v>
      </c>
      <c r="D51" s="211"/>
      <c r="E51" s="103">
        <v>-6.6000000000000003E-2</v>
      </c>
      <c r="F51" s="215">
        <v>-6.8000000000000005E-2</v>
      </c>
      <c r="G51" s="240">
        <v>7.0999999999999994E-2</v>
      </c>
      <c r="H51" s="103"/>
      <c r="I51" s="215"/>
      <c r="J51" s="233"/>
      <c r="K51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51"/>
    </row>
    <row r="52" spans="1:12" x14ac:dyDescent="0.25">
      <c r="B52" s="217">
        <v>3</v>
      </c>
      <c r="C52" s="216" t="str">
        <f t="shared" si="2"/>
        <v>NI-MCPT-37</v>
      </c>
      <c r="D52" s="211"/>
      <c r="E52" s="103">
        <v>49.996000000000002</v>
      </c>
      <c r="F52" s="215">
        <v>-4.0000000000000001E-3</v>
      </c>
      <c r="G52" s="240">
        <v>7.0999999999999994E-2</v>
      </c>
      <c r="H52" s="103"/>
      <c r="I52" s="215"/>
      <c r="J52" s="233"/>
      <c r="K52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52"/>
    </row>
    <row r="53" spans="1:12" x14ac:dyDescent="0.25">
      <c r="B53" s="217">
        <v>4</v>
      </c>
      <c r="C53" s="216" t="str">
        <f t="shared" si="2"/>
        <v>NI-MCPT-37</v>
      </c>
      <c r="D53" s="211"/>
      <c r="E53" s="103">
        <v>100.009</v>
      </c>
      <c r="F53" s="215">
        <v>8.9999999999999993E-3</v>
      </c>
      <c r="G53" s="240">
        <v>7.0999999999999994E-2</v>
      </c>
      <c r="H53" s="103"/>
      <c r="I53" s="215"/>
      <c r="J53" s="233"/>
      <c r="K53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53"/>
    </row>
    <row r="54" spans="1:12" x14ac:dyDescent="0.25">
      <c r="B54" s="217">
        <v>5</v>
      </c>
      <c r="C54" s="216" t="str">
        <f t="shared" si="2"/>
        <v>NI-MCPT-37</v>
      </c>
      <c r="D54" s="211"/>
      <c r="E54" s="103">
        <v>120.003</v>
      </c>
      <c r="F54" s="215">
        <v>2E-3</v>
      </c>
      <c r="G54" s="240">
        <v>7.0999999999999994E-2</v>
      </c>
      <c r="H54" s="103"/>
      <c r="I54" s="215"/>
      <c r="J54" s="233"/>
      <c r="K54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54"/>
    </row>
    <row r="55" spans="1:12" x14ac:dyDescent="0.25">
      <c r="B55" s="217">
        <v>6</v>
      </c>
      <c r="C55" s="216" t="str">
        <f t="shared" si="2"/>
        <v>NI-MCPT-37</v>
      </c>
      <c r="D55" s="211"/>
      <c r="E55" s="103">
        <v>155.06200000000001</v>
      </c>
      <c r="F55" s="215">
        <v>6.2E-2</v>
      </c>
      <c r="G55" s="240">
        <v>7.0999999999999994E-2</v>
      </c>
      <c r="H55" s="103"/>
      <c r="I55" s="103"/>
      <c r="J55" s="239"/>
      <c r="K55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55"/>
    </row>
    <row r="56" spans="1:12" x14ac:dyDescent="0.25">
      <c r="B56" s="217">
        <v>7</v>
      </c>
      <c r="C56" s="216" t="str">
        <f t="shared" si="2"/>
        <v>NI-MCPT-37</v>
      </c>
      <c r="D56" s="211"/>
      <c r="E56" s="103"/>
      <c r="F56" s="215"/>
      <c r="G56" s="229"/>
      <c r="H56" s="103"/>
      <c r="I56" s="103"/>
      <c r="J56" s="231"/>
      <c r="K56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56"/>
    </row>
    <row r="57" spans="1:12" x14ac:dyDescent="0.25">
      <c r="B57" s="217">
        <v>8</v>
      </c>
      <c r="C57" s="216" t="str">
        <f t="shared" si="2"/>
        <v>NI-MCPT-37</v>
      </c>
      <c r="D57" s="211"/>
      <c r="E57" s="103"/>
      <c r="F57" s="215"/>
      <c r="G57" s="229"/>
      <c r="H57" s="103"/>
      <c r="I57" s="103"/>
      <c r="J57" s="231"/>
      <c r="K57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57"/>
    </row>
    <row r="58" spans="1:12" ht="15.75" thickBot="1" x14ac:dyDescent="0.3">
      <c r="B58" s="227">
        <v>9</v>
      </c>
      <c r="C58" s="212" t="str">
        <f t="shared" si="2"/>
        <v>NI-MCPT-37</v>
      </c>
      <c r="D58" s="226"/>
      <c r="E58" s="204"/>
      <c r="F58" s="210"/>
      <c r="G58" s="248"/>
      <c r="H58" s="204"/>
      <c r="I58" s="204"/>
      <c r="J58" s="230"/>
      <c r="K58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58"/>
    </row>
    <row r="59" spans="1:12" x14ac:dyDescent="0.25">
      <c r="A59" s="224">
        <v>4</v>
      </c>
      <c r="B59" s="223">
        <v>1</v>
      </c>
      <c r="C59" s="222" t="str">
        <f>C18</f>
        <v>NI-MCPT-05</v>
      </c>
      <c r="D59" s="211" t="s">
        <v>67</v>
      </c>
      <c r="E59" s="220">
        <v>-30.067</v>
      </c>
      <c r="F59" s="247">
        <v>-1.7000000000000001E-2</v>
      </c>
      <c r="G59" s="220">
        <v>2.3E-2</v>
      </c>
      <c r="H59" s="220">
        <v>-30.068999999999999</v>
      </c>
      <c r="I59" s="247">
        <v>-2.1000000000000001E-2</v>
      </c>
      <c r="J59" s="220">
        <v>2.3E-2</v>
      </c>
      <c r="K59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4.0000000000000001E-3</v>
      </c>
      <c r="L59"/>
    </row>
    <row r="60" spans="1:12" x14ac:dyDescent="0.25">
      <c r="B60" s="217">
        <v>2</v>
      </c>
      <c r="C60" s="216" t="str">
        <f t="shared" ref="C60:C67" si="3">$C$59</f>
        <v>NI-MCPT-05</v>
      </c>
      <c r="D60" s="211" t="s">
        <v>400</v>
      </c>
      <c r="E60" s="103">
        <v>-1.7999999999999999E-2</v>
      </c>
      <c r="F60" s="215">
        <v>-2E-3</v>
      </c>
      <c r="G60" s="246">
        <v>0.02</v>
      </c>
      <c r="H60" s="103">
        <v>-0.02</v>
      </c>
      <c r="I60" s="215">
        <v>-3.0000000000000001E-3</v>
      </c>
      <c r="J60" s="246">
        <v>0.02</v>
      </c>
      <c r="K60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1E-3</v>
      </c>
      <c r="L60"/>
    </row>
    <row r="61" spans="1:12" x14ac:dyDescent="0.25">
      <c r="B61" s="217">
        <v>3</v>
      </c>
      <c r="C61" s="216" t="str">
        <f t="shared" si="3"/>
        <v>NI-MCPT-05</v>
      </c>
      <c r="D61" s="211"/>
      <c r="E61" s="246">
        <v>25.047999999999998</v>
      </c>
      <c r="F61" s="215">
        <v>-2.4E-2</v>
      </c>
      <c r="G61" s="246">
        <v>0.02</v>
      </c>
      <c r="H61" s="246">
        <v>25.062999999999999</v>
      </c>
      <c r="I61" s="215">
        <v>-4.0000000000000001E-3</v>
      </c>
      <c r="J61" s="246">
        <v>0.02</v>
      </c>
      <c r="K61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0.02</v>
      </c>
      <c r="L61"/>
    </row>
    <row r="62" spans="1:12" x14ac:dyDescent="0.25">
      <c r="B62" s="217">
        <v>4</v>
      </c>
      <c r="C62" s="216" t="str">
        <f t="shared" si="3"/>
        <v>NI-MCPT-05</v>
      </c>
      <c r="D62" s="211"/>
      <c r="E62" s="103">
        <v>49.993000000000002</v>
      </c>
      <c r="F62" s="215">
        <v>-0.01</v>
      </c>
      <c r="G62" s="246">
        <v>0.02</v>
      </c>
      <c r="H62" s="103">
        <v>49.991</v>
      </c>
      <c r="I62" s="215">
        <v>-0.01</v>
      </c>
      <c r="J62" s="246">
        <v>0.02</v>
      </c>
      <c r="K62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0</v>
      </c>
      <c r="L62"/>
    </row>
    <row r="63" spans="1:12" x14ac:dyDescent="0.25">
      <c r="B63" s="217">
        <v>5</v>
      </c>
      <c r="C63" s="216" t="str">
        <f t="shared" si="3"/>
        <v>NI-MCPT-05</v>
      </c>
      <c r="D63" s="211"/>
      <c r="E63" s="103">
        <v>99.995000000000005</v>
      </c>
      <c r="F63" s="215">
        <v>-7.0000000000000001E-3</v>
      </c>
      <c r="G63" s="246">
        <v>0.02</v>
      </c>
      <c r="H63" s="103">
        <v>99.991</v>
      </c>
      <c r="I63" s="215">
        <v>-4.0000000000000001E-3</v>
      </c>
      <c r="J63" s="246">
        <v>0.02</v>
      </c>
      <c r="K63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3.0000000000000001E-3</v>
      </c>
      <c r="L63"/>
    </row>
    <row r="64" spans="1:12" x14ac:dyDescent="0.25">
      <c r="B64" s="217">
        <v>6</v>
      </c>
      <c r="C64" s="216" t="str">
        <f t="shared" si="3"/>
        <v>NI-MCPT-05</v>
      </c>
      <c r="D64" s="211"/>
      <c r="E64" s="246">
        <v>150.08699999999999</v>
      </c>
      <c r="F64" s="215">
        <v>2E-3</v>
      </c>
      <c r="G64" s="103">
        <v>2.5999999999999999E-2</v>
      </c>
      <c r="H64" s="246">
        <v>150.16800000000001</v>
      </c>
      <c r="I64" s="215">
        <v>0</v>
      </c>
      <c r="J64" s="103">
        <v>2.5999999999999999E-2</v>
      </c>
      <c r="K64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2E-3</v>
      </c>
      <c r="L64"/>
    </row>
    <row r="65" spans="1:12" x14ac:dyDescent="0.25">
      <c r="B65" s="217">
        <v>7</v>
      </c>
      <c r="C65" s="216" t="str">
        <f t="shared" si="3"/>
        <v>NI-MCPT-05</v>
      </c>
      <c r="D65" s="211"/>
      <c r="E65" s="103">
        <v>200.096</v>
      </c>
      <c r="F65" s="215">
        <v>-5.0000000000000001E-3</v>
      </c>
      <c r="G65" s="103">
        <v>2.5999999999999999E-2</v>
      </c>
      <c r="H65" s="103">
        <v>200.13900000000001</v>
      </c>
      <c r="I65" s="215">
        <v>-5.0000000000000001E-3</v>
      </c>
      <c r="J65" s="103">
        <v>2.5999999999999999E-2</v>
      </c>
      <c r="K65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0</v>
      </c>
      <c r="L65"/>
    </row>
    <row r="66" spans="1:12" x14ac:dyDescent="0.25">
      <c r="B66" s="217">
        <v>8</v>
      </c>
      <c r="C66" s="216" t="str">
        <f t="shared" si="3"/>
        <v>NI-MCPT-05</v>
      </c>
      <c r="D66" s="211"/>
      <c r="E66" s="103">
        <v>250.01400000000001</v>
      </c>
      <c r="F66" s="215">
        <v>-1.2E-2</v>
      </c>
      <c r="G66" s="103">
        <v>2.5999999999999999E-2</v>
      </c>
      <c r="H66" s="103">
        <v>250.012</v>
      </c>
      <c r="I66" s="215">
        <v>-1.6E-2</v>
      </c>
      <c r="J66" s="103">
        <v>2.5999999999999999E-2</v>
      </c>
      <c r="K66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4.0000000000000001E-3</v>
      </c>
      <c r="L66"/>
    </row>
    <row r="67" spans="1:12" ht="15.75" thickBot="1" x14ac:dyDescent="0.3">
      <c r="B67" s="227">
        <v>9</v>
      </c>
      <c r="C67" s="212" t="str">
        <f t="shared" si="3"/>
        <v>NI-MCPT-05</v>
      </c>
      <c r="D67" s="226"/>
      <c r="E67" s="204"/>
      <c r="F67" s="205"/>
      <c r="G67" s="204"/>
      <c r="H67" s="204"/>
      <c r="I67" s="204"/>
      <c r="J67" s="230"/>
      <c r="K67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67"/>
    </row>
    <row r="68" spans="1:12" x14ac:dyDescent="0.25">
      <c r="A68" s="224">
        <v>5</v>
      </c>
      <c r="B68" s="223">
        <v>1</v>
      </c>
      <c r="C68" s="222" t="str">
        <f>C19</f>
        <v>NI-MCPT-06</v>
      </c>
      <c r="D68" s="211" t="s">
        <v>399</v>
      </c>
      <c r="E68" s="220"/>
      <c r="F68" s="221"/>
      <c r="G68" s="220"/>
      <c r="H68" s="220"/>
      <c r="I68" s="220"/>
      <c r="J68" s="241"/>
      <c r="K68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68"/>
    </row>
    <row r="69" spans="1:12" x14ac:dyDescent="0.25">
      <c r="B69" s="217">
        <v>2</v>
      </c>
      <c r="C69" s="216" t="str">
        <f t="shared" ref="C69:C76" si="4">$C$68</f>
        <v>NI-MCPT-06</v>
      </c>
      <c r="D69" s="211" t="s">
        <v>398</v>
      </c>
      <c r="E69" s="242">
        <v>-20.41</v>
      </c>
      <c r="F69" s="243">
        <v>0.46</v>
      </c>
      <c r="G69" s="242">
        <v>6.7000000000000004E-2</v>
      </c>
      <c r="H69" s="242">
        <v>-20.38</v>
      </c>
      <c r="I69" s="242">
        <v>0.22</v>
      </c>
      <c r="J69" s="242">
        <v>0.16</v>
      </c>
      <c r="K69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0.24000000000000002</v>
      </c>
      <c r="L69"/>
    </row>
    <row r="70" spans="1:12" x14ac:dyDescent="0.25">
      <c r="B70" s="217">
        <v>3</v>
      </c>
      <c r="C70" s="216" t="str">
        <f t="shared" si="4"/>
        <v>NI-MCPT-06</v>
      </c>
      <c r="D70" s="211" t="s">
        <v>397</v>
      </c>
      <c r="E70" s="242">
        <v>-0.45</v>
      </c>
      <c r="F70" s="243">
        <v>0.45</v>
      </c>
      <c r="G70" s="242">
        <v>7.0000000000000007E-2</v>
      </c>
      <c r="H70" s="242">
        <v>-0.55000000000000004</v>
      </c>
      <c r="I70" s="245">
        <v>0.43</v>
      </c>
      <c r="J70" s="242">
        <v>0.08</v>
      </c>
      <c r="K70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2.0000000000000018E-2</v>
      </c>
      <c r="L70"/>
    </row>
    <row r="71" spans="1:12" x14ac:dyDescent="0.25">
      <c r="B71" s="217">
        <v>4</v>
      </c>
      <c r="C71" s="216" t="str">
        <f t="shared" si="4"/>
        <v>NI-MCPT-06</v>
      </c>
      <c r="D71" s="211"/>
      <c r="E71" s="242">
        <v>39.49</v>
      </c>
      <c r="F71" s="243">
        <v>0.52</v>
      </c>
      <c r="G71" s="242">
        <v>6.3E-2</v>
      </c>
      <c r="H71" s="242">
        <v>39.24</v>
      </c>
      <c r="I71" s="242">
        <v>0.63</v>
      </c>
      <c r="J71" s="242">
        <v>0.11</v>
      </c>
      <c r="K71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0.10999999999999999</v>
      </c>
      <c r="L71"/>
    </row>
    <row r="72" spans="1:12" x14ac:dyDescent="0.25">
      <c r="B72" s="217">
        <v>5</v>
      </c>
      <c r="C72" s="216" t="str">
        <f t="shared" si="4"/>
        <v>NI-MCPT-06</v>
      </c>
      <c r="D72" s="211"/>
      <c r="E72" s="242">
        <v>59.43</v>
      </c>
      <c r="F72" s="243">
        <v>0.55000000000000004</v>
      </c>
      <c r="G72" s="242">
        <v>5.8999999999999997E-2</v>
      </c>
      <c r="H72" s="242">
        <v>59.21</v>
      </c>
      <c r="I72" s="244">
        <v>0.65</v>
      </c>
      <c r="J72" s="242">
        <v>0.13</v>
      </c>
      <c r="K72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9.9999999999999978E-2</v>
      </c>
      <c r="L72"/>
    </row>
    <row r="73" spans="1:12" x14ac:dyDescent="0.25">
      <c r="B73" s="217">
        <v>6</v>
      </c>
      <c r="C73" s="216" t="str">
        <f t="shared" si="4"/>
        <v>NI-MCPT-06</v>
      </c>
      <c r="D73" s="211"/>
      <c r="E73" s="242">
        <v>79.36</v>
      </c>
      <c r="F73" s="243">
        <v>0.61</v>
      </c>
      <c r="G73" s="242">
        <v>5.7000000000000002E-2</v>
      </c>
      <c r="H73" s="242">
        <v>79.099999999999994</v>
      </c>
      <c r="I73" s="242">
        <v>0.75</v>
      </c>
      <c r="J73" s="242">
        <v>0.15</v>
      </c>
      <c r="K73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0.14000000000000001</v>
      </c>
      <c r="L73"/>
    </row>
    <row r="74" spans="1:12" x14ac:dyDescent="0.25">
      <c r="B74" s="217">
        <v>7</v>
      </c>
      <c r="C74" s="216" t="str">
        <f t="shared" si="4"/>
        <v>NI-MCPT-06</v>
      </c>
      <c r="D74" s="211"/>
      <c r="E74" s="242">
        <v>119.45</v>
      </c>
      <c r="F74" s="243">
        <v>0.57999999999999996</v>
      </c>
      <c r="G74" s="242">
        <v>6.9000000000000006E-2</v>
      </c>
      <c r="H74" s="242">
        <v>119.17</v>
      </c>
      <c r="I74" s="242">
        <v>0.67</v>
      </c>
      <c r="J74" s="242">
        <v>0.14000000000000001</v>
      </c>
      <c r="K74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9.000000000000008E-2</v>
      </c>
      <c r="L74"/>
    </row>
    <row r="75" spans="1:12" x14ac:dyDescent="0.25">
      <c r="B75" s="217">
        <v>8</v>
      </c>
      <c r="C75" s="216" t="str">
        <f t="shared" si="4"/>
        <v>NI-MCPT-06</v>
      </c>
      <c r="D75" s="211"/>
      <c r="E75" s="103">
        <v>140.61000000000001</v>
      </c>
      <c r="F75" s="215">
        <v>-0.48</v>
      </c>
      <c r="G75" s="103">
        <v>8.5999999999999993E-2</v>
      </c>
      <c r="H75" s="103">
        <v>139.1</v>
      </c>
      <c r="I75" s="103">
        <v>0.75</v>
      </c>
      <c r="J75" s="241">
        <v>0.12</v>
      </c>
      <c r="K75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1.23</v>
      </c>
      <c r="L75"/>
    </row>
    <row r="76" spans="1:12" ht="15.75" thickBot="1" x14ac:dyDescent="0.3">
      <c r="B76" s="227">
        <v>9</v>
      </c>
      <c r="C76" s="212" t="str">
        <f t="shared" si="4"/>
        <v>NI-MCPT-06</v>
      </c>
      <c r="D76" s="226"/>
      <c r="E76" s="204"/>
      <c r="F76" s="205"/>
      <c r="G76" s="204"/>
      <c r="H76" s="204"/>
      <c r="I76" s="204"/>
      <c r="J76" s="230"/>
      <c r="K76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76"/>
    </row>
    <row r="77" spans="1:12" x14ac:dyDescent="0.25">
      <c r="A77" s="224">
        <v>6</v>
      </c>
      <c r="B77" s="223">
        <v>1</v>
      </c>
      <c r="C77" s="222" t="str">
        <f>C20</f>
        <v>NI-MCPT-41</v>
      </c>
      <c r="D77" s="236" t="s">
        <v>396</v>
      </c>
      <c r="E77" s="220">
        <v>50.26</v>
      </c>
      <c r="F77" s="215">
        <v>0.26</v>
      </c>
      <c r="G77" s="240">
        <v>0.26</v>
      </c>
      <c r="H77" s="220"/>
      <c r="I77" s="215"/>
      <c r="J77" s="233"/>
      <c r="K77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77"/>
    </row>
    <row r="78" spans="1:12" x14ac:dyDescent="0.25">
      <c r="B78" s="217">
        <v>2</v>
      </c>
      <c r="C78" s="216" t="str">
        <f t="shared" ref="C78:C85" si="5">$C$77</f>
        <v>NI-MCPT-41</v>
      </c>
      <c r="D78" s="211" t="s">
        <v>395</v>
      </c>
      <c r="E78" s="103">
        <v>100.01</v>
      </c>
      <c r="F78" s="215">
        <v>0.01</v>
      </c>
      <c r="G78" s="240">
        <v>0.27</v>
      </c>
      <c r="H78" s="103"/>
      <c r="I78" s="215"/>
      <c r="J78" s="233"/>
      <c r="K78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78"/>
    </row>
    <row r="79" spans="1:12" x14ac:dyDescent="0.25">
      <c r="B79" s="217">
        <v>3</v>
      </c>
      <c r="C79" s="216" t="str">
        <f t="shared" si="5"/>
        <v>NI-MCPT-41</v>
      </c>
      <c r="D79" s="211" t="s">
        <v>394</v>
      </c>
      <c r="E79" s="103">
        <v>200.12</v>
      </c>
      <c r="F79" s="215">
        <v>0.12</v>
      </c>
      <c r="G79" s="240">
        <v>0.26</v>
      </c>
      <c r="H79" s="103"/>
      <c r="I79" s="215"/>
      <c r="J79" s="233"/>
      <c r="K79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79"/>
    </row>
    <row r="80" spans="1:12" x14ac:dyDescent="0.25">
      <c r="B80" s="217">
        <v>4</v>
      </c>
      <c r="C80" s="216" t="str">
        <f t="shared" si="5"/>
        <v>NI-MCPT-41</v>
      </c>
      <c r="D80" s="211"/>
      <c r="E80" s="103">
        <v>350.18</v>
      </c>
      <c r="F80" s="215">
        <v>0.18</v>
      </c>
      <c r="G80" s="240">
        <v>0.26</v>
      </c>
      <c r="H80" s="103"/>
      <c r="I80" s="215"/>
      <c r="J80" s="233"/>
      <c r="K80" s="214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>5.7735026918962581E-2</v>
      </c>
      <c r="L80"/>
    </row>
    <row r="81" spans="1:12" x14ac:dyDescent="0.25">
      <c r="B81" s="217">
        <v>5</v>
      </c>
      <c r="C81" s="216" t="str">
        <f t="shared" si="5"/>
        <v>NI-MCPT-41</v>
      </c>
      <c r="D81" s="211"/>
      <c r="E81" s="103"/>
      <c r="F81" s="215"/>
      <c r="G81" s="240"/>
      <c r="H81" s="103"/>
      <c r="I81" s="215"/>
      <c r="J81" s="233"/>
      <c r="K81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1"/>
    </row>
    <row r="82" spans="1:12" x14ac:dyDescent="0.25">
      <c r="B82" s="217">
        <v>6</v>
      </c>
      <c r="C82" s="216" t="str">
        <f t="shared" si="5"/>
        <v>NI-MCPT-41</v>
      </c>
      <c r="D82" s="228"/>
      <c r="E82" s="103"/>
      <c r="F82" s="215"/>
      <c r="G82" s="240"/>
      <c r="H82" s="103"/>
      <c r="I82" s="103"/>
      <c r="J82" s="239"/>
      <c r="K82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2"/>
    </row>
    <row r="83" spans="1:12" x14ac:dyDescent="0.25">
      <c r="B83" s="217">
        <v>7</v>
      </c>
      <c r="C83" s="216" t="str">
        <f t="shared" si="5"/>
        <v>NI-MCPT-41</v>
      </c>
      <c r="D83" s="211"/>
      <c r="E83" s="218"/>
      <c r="F83" s="215"/>
      <c r="G83" s="103"/>
      <c r="H83" s="218"/>
      <c r="I83" s="232"/>
      <c r="J83" s="218"/>
      <c r="K83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3"/>
    </row>
    <row r="84" spans="1:12" x14ac:dyDescent="0.25">
      <c r="B84" s="217">
        <v>8</v>
      </c>
      <c r="C84" s="216" t="str">
        <f t="shared" si="5"/>
        <v>NI-MCPT-41</v>
      </c>
      <c r="D84" s="211"/>
      <c r="E84" s="103"/>
      <c r="F84" s="215"/>
      <c r="G84" s="103"/>
      <c r="H84" s="103"/>
      <c r="I84" s="232"/>
      <c r="J84" s="218"/>
      <c r="K84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4"/>
    </row>
    <row r="85" spans="1:12" ht="15.75" thickBot="1" x14ac:dyDescent="0.3">
      <c r="B85" s="227">
        <v>9</v>
      </c>
      <c r="C85" s="212" t="str">
        <f t="shared" si="5"/>
        <v>NI-MCPT-41</v>
      </c>
      <c r="D85" s="226"/>
      <c r="E85" s="204"/>
      <c r="F85" s="205"/>
      <c r="G85" s="204"/>
      <c r="H85" s="204"/>
      <c r="I85" s="238"/>
      <c r="J85" s="237"/>
      <c r="K85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5"/>
    </row>
    <row r="86" spans="1:12" x14ac:dyDescent="0.25">
      <c r="A86" s="224">
        <v>7</v>
      </c>
      <c r="B86" s="223">
        <v>1</v>
      </c>
      <c r="C86" s="222" t="str">
        <f>C21</f>
        <v>NI-MCPT-36</v>
      </c>
      <c r="D86" s="236" t="s">
        <v>393</v>
      </c>
      <c r="E86" s="233"/>
      <c r="F86" s="235"/>
      <c r="G86" s="233"/>
      <c r="H86" s="219"/>
      <c r="I86" s="234"/>
      <c r="J86" s="219"/>
      <c r="K86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6"/>
    </row>
    <row r="87" spans="1:12" x14ac:dyDescent="0.25">
      <c r="B87" s="217">
        <v>2</v>
      </c>
      <c r="C87" s="216" t="str">
        <f t="shared" ref="C87:C94" si="6">$C$86</f>
        <v>NI-MCPT-36</v>
      </c>
      <c r="D87" s="211" t="s">
        <v>392</v>
      </c>
      <c r="E87" s="229"/>
      <c r="F87" s="143"/>
      <c r="G87" s="229"/>
      <c r="H87" s="219"/>
      <c r="I87" s="234"/>
      <c r="J87" s="219"/>
      <c r="K87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7"/>
    </row>
    <row r="88" spans="1:12" x14ac:dyDescent="0.25">
      <c r="B88" s="217">
        <v>3</v>
      </c>
      <c r="C88" s="216" t="str">
        <f t="shared" si="6"/>
        <v>NI-MCPT-36</v>
      </c>
      <c r="D88" s="211" t="s">
        <v>229</v>
      </c>
      <c r="E88" s="229"/>
      <c r="F88" s="143"/>
      <c r="G88" s="229"/>
      <c r="H88" s="218"/>
      <c r="I88" s="232"/>
      <c r="J88" s="218"/>
      <c r="K88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8"/>
    </row>
    <row r="89" spans="1:12" x14ac:dyDescent="0.25">
      <c r="B89" s="217">
        <v>4</v>
      </c>
      <c r="C89" s="216" t="str">
        <f t="shared" si="6"/>
        <v>NI-MCPT-36</v>
      </c>
      <c r="D89" s="211"/>
      <c r="E89" s="229"/>
      <c r="F89" s="143"/>
      <c r="G89" s="229"/>
      <c r="H89" s="219"/>
      <c r="I89" s="234"/>
      <c r="J89" s="219"/>
      <c r="K89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89"/>
    </row>
    <row r="90" spans="1:12" x14ac:dyDescent="0.25">
      <c r="B90" s="217">
        <v>5</v>
      </c>
      <c r="C90" s="216" t="str">
        <f t="shared" si="6"/>
        <v>NI-MCPT-36</v>
      </c>
      <c r="D90" s="211"/>
      <c r="E90" s="229"/>
      <c r="F90" s="143"/>
      <c r="G90" s="229"/>
      <c r="H90" s="103"/>
      <c r="I90" s="232"/>
      <c r="J90" s="218"/>
      <c r="K90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90"/>
    </row>
    <row r="91" spans="1:12" x14ac:dyDescent="0.25">
      <c r="B91" s="217">
        <v>6</v>
      </c>
      <c r="C91" s="216" t="str">
        <f t="shared" si="6"/>
        <v>NI-MCPT-36</v>
      </c>
      <c r="D91" s="211"/>
      <c r="E91" s="233"/>
      <c r="F91" s="143"/>
      <c r="G91" s="229"/>
      <c r="H91" s="219"/>
      <c r="I91" s="232"/>
      <c r="J91" s="218"/>
      <c r="K91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91"/>
    </row>
    <row r="92" spans="1:12" x14ac:dyDescent="0.25">
      <c r="B92" s="217">
        <v>7</v>
      </c>
      <c r="C92" s="216" t="str">
        <f t="shared" si="6"/>
        <v>NI-MCPT-36</v>
      </c>
      <c r="D92" s="211"/>
      <c r="E92" s="218"/>
      <c r="F92" s="215"/>
      <c r="G92" s="103"/>
      <c r="H92" s="218"/>
      <c r="I92" s="215"/>
      <c r="J92" s="103"/>
      <c r="K92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92"/>
    </row>
    <row r="93" spans="1:12" x14ac:dyDescent="0.25">
      <c r="B93" s="217">
        <v>8</v>
      </c>
      <c r="C93" s="216" t="str">
        <f t="shared" si="6"/>
        <v>NI-MCPT-36</v>
      </c>
      <c r="D93" s="211"/>
      <c r="E93" s="103"/>
      <c r="F93" s="215"/>
      <c r="G93" s="103"/>
      <c r="H93" s="103"/>
      <c r="I93" s="215"/>
      <c r="J93" s="103"/>
      <c r="K93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93"/>
    </row>
    <row r="94" spans="1:12" ht="15.75" thickBot="1" x14ac:dyDescent="0.3">
      <c r="B94" s="227">
        <v>9</v>
      </c>
      <c r="C94" s="212" t="str">
        <f t="shared" si="6"/>
        <v>NI-MCPT-36</v>
      </c>
      <c r="D94" s="226"/>
      <c r="E94" s="204"/>
      <c r="F94" s="205"/>
      <c r="G94" s="204"/>
      <c r="H94" s="204"/>
      <c r="I94" s="204"/>
      <c r="J94" s="230"/>
      <c r="K94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94"/>
    </row>
    <row r="95" spans="1:12" x14ac:dyDescent="0.25">
      <c r="A95" s="224">
        <v>8</v>
      </c>
      <c r="B95" s="223">
        <v>1</v>
      </c>
      <c r="C95" s="222" t="str">
        <f>C22</f>
        <v>NI-MCPT-40-1</v>
      </c>
      <c r="D95" s="211" t="s">
        <v>390</v>
      </c>
      <c r="E95" s="220">
        <v>-30.07</v>
      </c>
      <c r="F95" s="215">
        <v>-1.57</v>
      </c>
      <c r="G95" s="220">
        <v>0.12</v>
      </c>
      <c r="H95" s="220">
        <v>-30.04</v>
      </c>
      <c r="I95" s="215">
        <v>-1.6</v>
      </c>
      <c r="J95" s="220">
        <v>0.28000000000000003</v>
      </c>
      <c r="K95" s="214">
        <f>ABS(Cert_patrones[[#This Row],[Correccion.act]]-Cert_patrones[[#This Row],[Correccion.ant]])</f>
        <v>3.0000000000000027E-2</v>
      </c>
      <c r="L95"/>
    </row>
    <row r="96" spans="1:12" x14ac:dyDescent="0.25">
      <c r="B96" s="217">
        <v>2</v>
      </c>
      <c r="C96" s="216" t="str">
        <f t="shared" ref="C96:C103" si="7">$C$95</f>
        <v>NI-MCPT-40-1</v>
      </c>
      <c r="D96" s="211" t="s">
        <v>391</v>
      </c>
      <c r="E96" s="229">
        <v>0.01</v>
      </c>
      <c r="F96" s="215">
        <v>-0.59</v>
      </c>
      <c r="G96" s="103">
        <v>0.12</v>
      </c>
      <c r="H96" s="229">
        <v>-0.01</v>
      </c>
      <c r="I96" s="215">
        <v>-0.61</v>
      </c>
      <c r="J96" s="103">
        <v>0.28000000000000003</v>
      </c>
      <c r="K96" s="214">
        <f>ABS(Cert_patrones[[#This Row],[Correccion.act]]-Cert_patrones[[#This Row],[Correccion.ant]])</f>
        <v>2.0000000000000018E-2</v>
      </c>
      <c r="L96"/>
    </row>
    <row r="97" spans="1:12" x14ac:dyDescent="0.25">
      <c r="B97" s="217">
        <v>3</v>
      </c>
      <c r="C97" s="216" t="str">
        <f t="shared" si="7"/>
        <v>NI-MCPT-40-1</v>
      </c>
      <c r="D97" s="211"/>
      <c r="E97" s="229">
        <v>101.35</v>
      </c>
      <c r="F97" s="215">
        <v>0.15</v>
      </c>
      <c r="G97" s="103">
        <v>0.26</v>
      </c>
      <c r="H97" s="229">
        <v>100.24</v>
      </c>
      <c r="I97" s="215">
        <v>0.44</v>
      </c>
      <c r="J97" s="103">
        <v>0.28000000000000003</v>
      </c>
      <c r="K97" s="214">
        <f>ABS(Cert_patrones[[#This Row],[Correccion.act]]-Cert_patrones[[#This Row],[Correccion.ant]])</f>
        <v>0.29000000000000004</v>
      </c>
      <c r="L97"/>
    </row>
    <row r="98" spans="1:12" x14ac:dyDescent="0.25">
      <c r="B98" s="217">
        <v>4</v>
      </c>
      <c r="C98" s="216" t="str">
        <f t="shared" si="7"/>
        <v>NI-MCPT-40-1</v>
      </c>
      <c r="D98" s="211"/>
      <c r="E98" s="103">
        <v>199.43</v>
      </c>
      <c r="F98" s="215">
        <v>-0.77</v>
      </c>
      <c r="G98" s="103">
        <v>0.28999999999999998</v>
      </c>
      <c r="H98" s="103">
        <v>199.69</v>
      </c>
      <c r="I98" s="215">
        <v>-0.17</v>
      </c>
      <c r="J98" s="103">
        <v>0.28000000000000003</v>
      </c>
      <c r="K98" s="214">
        <f>ABS(Cert_patrones[[#This Row],[Correccion.act]]-Cert_patrones[[#This Row],[Correccion.ant]])</f>
        <v>0.6</v>
      </c>
      <c r="L98"/>
    </row>
    <row r="99" spans="1:12" x14ac:dyDescent="0.25">
      <c r="B99" s="217">
        <v>5</v>
      </c>
      <c r="C99" s="216" t="str">
        <f t="shared" si="7"/>
        <v>NI-MCPT-40-1</v>
      </c>
      <c r="D99" s="211"/>
      <c r="E99" s="103">
        <v>349.36</v>
      </c>
      <c r="F99" s="215">
        <v>-0.14000000000000001</v>
      </c>
      <c r="G99" s="103">
        <v>0.37</v>
      </c>
      <c r="H99" s="103">
        <v>599.27</v>
      </c>
      <c r="I99" s="215">
        <v>-0.23</v>
      </c>
      <c r="J99" s="103">
        <v>0.28000000000000003</v>
      </c>
      <c r="K99" s="214">
        <f>ABS(Cert_patrones[[#This Row],[Correccion.act]]-Cert_patrones[[#This Row],[Correccion.ant]])</f>
        <v>0.09</v>
      </c>
      <c r="L99"/>
    </row>
    <row r="100" spans="1:12" x14ac:dyDescent="0.25">
      <c r="B100" s="217">
        <v>6</v>
      </c>
      <c r="C100" s="216" t="str">
        <f t="shared" si="7"/>
        <v>NI-MCPT-40-1</v>
      </c>
      <c r="D100" s="211"/>
      <c r="E100" s="103">
        <v>598.27</v>
      </c>
      <c r="F100" s="215">
        <v>-0.75</v>
      </c>
      <c r="G100" s="103">
        <v>0.51</v>
      </c>
      <c r="H100" s="103">
        <v>0</v>
      </c>
      <c r="I100" s="215">
        <v>0</v>
      </c>
      <c r="J100" s="103">
        <v>0</v>
      </c>
      <c r="K100" s="214">
        <f>ABS(Cert_patrones[[#This Row],[Correccion.act]]-Cert_patrones[[#This Row],[Correccion.ant]])</f>
        <v>0.75</v>
      </c>
      <c r="L100"/>
    </row>
    <row r="101" spans="1:12" x14ac:dyDescent="0.25">
      <c r="B101" s="217">
        <v>7</v>
      </c>
      <c r="C101" s="216" t="str">
        <f t="shared" si="7"/>
        <v>NI-MCPT-40-1</v>
      </c>
      <c r="D101" s="211"/>
      <c r="E101" s="103"/>
      <c r="F101" s="215"/>
      <c r="G101" s="103"/>
      <c r="H101" s="103"/>
      <c r="I101" s="103"/>
      <c r="J101" s="231"/>
      <c r="K101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01"/>
    </row>
    <row r="102" spans="1:12" x14ac:dyDescent="0.25">
      <c r="B102" s="217">
        <v>8</v>
      </c>
      <c r="C102" s="216" t="str">
        <f t="shared" si="7"/>
        <v>NI-MCPT-40-1</v>
      </c>
      <c r="D102" s="211"/>
      <c r="E102" s="103"/>
      <c r="F102" s="215"/>
      <c r="G102" s="103"/>
      <c r="H102" s="103"/>
      <c r="I102" s="103"/>
      <c r="J102" s="231"/>
      <c r="K102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02"/>
    </row>
    <row r="103" spans="1:12" ht="15.75" thickBot="1" x14ac:dyDescent="0.3">
      <c r="B103" s="227">
        <v>9</v>
      </c>
      <c r="C103" s="212" t="str">
        <f t="shared" si="7"/>
        <v>NI-MCPT-40-1</v>
      </c>
      <c r="D103" s="226"/>
      <c r="E103" s="204"/>
      <c r="F103" s="205"/>
      <c r="G103" s="204"/>
      <c r="H103" s="204"/>
      <c r="I103" s="204"/>
      <c r="J103" s="230"/>
      <c r="K103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03"/>
    </row>
    <row r="104" spans="1:12" x14ac:dyDescent="0.25">
      <c r="A104" s="224">
        <v>9</v>
      </c>
      <c r="B104" s="223">
        <v>1</v>
      </c>
      <c r="C104" s="222" t="str">
        <f>C23</f>
        <v>NI-MCPT-40-2</v>
      </c>
      <c r="D104" s="211" t="s">
        <v>390</v>
      </c>
      <c r="E104" s="220">
        <v>-30.07</v>
      </c>
      <c r="F104" s="215">
        <v>-1.57</v>
      </c>
      <c r="G104" s="220">
        <v>0.12</v>
      </c>
      <c r="H104" s="220">
        <v>-30.04</v>
      </c>
      <c r="I104" s="215">
        <v>-1.6</v>
      </c>
      <c r="J104" s="220">
        <v>0.28000000000000003</v>
      </c>
      <c r="K104" s="214">
        <f>ABS(Cert_patrones[[#This Row],[Correccion.act]]-Cert_patrones[[#This Row],[Correccion.ant]])</f>
        <v>3.0000000000000027E-2</v>
      </c>
      <c r="L104"/>
    </row>
    <row r="105" spans="1:12" x14ac:dyDescent="0.25">
      <c r="B105" s="217">
        <v>2</v>
      </c>
      <c r="C105" s="216" t="str">
        <f t="shared" ref="C105:C113" si="8">$C$104</f>
        <v>NI-MCPT-40-2</v>
      </c>
      <c r="D105" s="211" t="s">
        <v>389</v>
      </c>
      <c r="E105" s="229">
        <v>0.01</v>
      </c>
      <c r="F105" s="215">
        <v>-0.59</v>
      </c>
      <c r="G105" s="103">
        <v>0.12</v>
      </c>
      <c r="H105" s="229">
        <v>-0.01</v>
      </c>
      <c r="I105" s="215">
        <v>-0.61</v>
      </c>
      <c r="J105" s="103">
        <v>0.28000000000000003</v>
      </c>
      <c r="K105" s="214">
        <f>ABS(Cert_patrones[[#This Row],[Correccion.act]]-Cert_patrones[[#This Row],[Correccion.ant]])</f>
        <v>2.0000000000000018E-2</v>
      </c>
      <c r="L105"/>
    </row>
    <row r="106" spans="1:12" x14ac:dyDescent="0.25">
      <c r="B106" s="217">
        <v>3</v>
      </c>
      <c r="C106" s="216" t="str">
        <f t="shared" si="8"/>
        <v>NI-MCPT-40-2</v>
      </c>
      <c r="D106" s="211"/>
      <c r="E106" s="229">
        <v>101.35</v>
      </c>
      <c r="F106" s="215">
        <v>0.15</v>
      </c>
      <c r="G106" s="103">
        <v>0.26</v>
      </c>
      <c r="H106" s="229">
        <v>100.24</v>
      </c>
      <c r="I106" s="215">
        <v>0.44</v>
      </c>
      <c r="J106" s="103">
        <v>0.28000000000000003</v>
      </c>
      <c r="K106" s="214">
        <f>ABS(Cert_patrones[[#This Row],[Correccion.act]]-Cert_patrones[[#This Row],[Correccion.ant]])</f>
        <v>0.29000000000000004</v>
      </c>
      <c r="L106"/>
    </row>
    <row r="107" spans="1:12" x14ac:dyDescent="0.25">
      <c r="B107" s="217">
        <v>4</v>
      </c>
      <c r="C107" s="216" t="str">
        <f t="shared" si="8"/>
        <v>NI-MCPT-40-2</v>
      </c>
      <c r="D107" s="211"/>
      <c r="E107" s="103">
        <v>199.43</v>
      </c>
      <c r="F107" s="215">
        <v>-0.77</v>
      </c>
      <c r="G107" s="103">
        <v>0.28999999999999998</v>
      </c>
      <c r="H107" s="103">
        <v>199.69</v>
      </c>
      <c r="I107" s="215">
        <v>-0.17</v>
      </c>
      <c r="J107" s="103">
        <v>0.28000000000000003</v>
      </c>
      <c r="K107" s="214">
        <f>ABS(Cert_patrones[[#This Row],[Correccion.act]]-Cert_patrones[[#This Row],[Correccion.ant]])</f>
        <v>0.6</v>
      </c>
      <c r="L107"/>
    </row>
    <row r="108" spans="1:12" x14ac:dyDescent="0.25">
      <c r="B108" s="217">
        <v>5</v>
      </c>
      <c r="C108" s="216" t="str">
        <f t="shared" si="8"/>
        <v>NI-MCPT-40-2</v>
      </c>
      <c r="D108" s="211"/>
      <c r="E108" s="103">
        <v>349.36</v>
      </c>
      <c r="F108" s="215">
        <v>-0.14000000000000001</v>
      </c>
      <c r="G108" s="103">
        <v>0.37</v>
      </c>
      <c r="H108" s="103">
        <v>599.27</v>
      </c>
      <c r="I108" s="215">
        <v>-0.23</v>
      </c>
      <c r="J108" s="103">
        <v>0.28000000000000003</v>
      </c>
      <c r="K108" s="214">
        <f>ABS(Cert_patrones[[#This Row],[Correccion.act]]-Cert_patrones[[#This Row],[Correccion.ant]])</f>
        <v>0.09</v>
      </c>
      <c r="L108"/>
    </row>
    <row r="109" spans="1:12" x14ac:dyDescent="0.25">
      <c r="B109" s="217">
        <v>6</v>
      </c>
      <c r="C109" s="216" t="str">
        <f t="shared" si="8"/>
        <v>NI-MCPT-40-2</v>
      </c>
      <c r="D109" s="228"/>
      <c r="E109" s="103">
        <v>598.27</v>
      </c>
      <c r="F109" s="215">
        <v>-0.75</v>
      </c>
      <c r="G109" s="103">
        <v>0.51</v>
      </c>
      <c r="H109" s="103">
        <v>0</v>
      </c>
      <c r="I109" s="215">
        <v>0</v>
      </c>
      <c r="J109" s="103">
        <v>0</v>
      </c>
      <c r="K109" s="214">
        <f>ABS(Cert_patrones[[#This Row],[Correccion.act]]-Cert_patrones[[#This Row],[Correccion.ant]])</f>
        <v>0.75</v>
      </c>
      <c r="L109"/>
    </row>
    <row r="110" spans="1:12" x14ac:dyDescent="0.25">
      <c r="B110" s="217">
        <v>7</v>
      </c>
      <c r="C110" s="216" t="str">
        <f t="shared" si="8"/>
        <v>NI-MCPT-40-2</v>
      </c>
      <c r="D110" s="211"/>
      <c r="E110" s="218"/>
      <c r="F110" s="215"/>
      <c r="G110" s="103"/>
      <c r="H110" s="218"/>
      <c r="I110" s="215"/>
      <c r="J110" s="103"/>
      <c r="K110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0"/>
    </row>
    <row r="111" spans="1:12" x14ac:dyDescent="0.25">
      <c r="B111" s="217">
        <v>8</v>
      </c>
      <c r="C111" s="216" t="str">
        <f t="shared" si="8"/>
        <v>NI-MCPT-40-2</v>
      </c>
      <c r="D111" s="211"/>
      <c r="E111" s="103"/>
      <c r="F111" s="215"/>
      <c r="G111" s="103"/>
      <c r="H111" s="103"/>
      <c r="I111" s="215"/>
      <c r="J111" s="103"/>
      <c r="K111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1"/>
    </row>
    <row r="112" spans="1:12" x14ac:dyDescent="0.25">
      <c r="B112" s="213">
        <v>9</v>
      </c>
      <c r="C112" s="216" t="str">
        <f t="shared" si="8"/>
        <v>NI-MCPT-40-2</v>
      </c>
      <c r="D112" s="211"/>
      <c r="E112" s="103"/>
      <c r="F112" s="210"/>
      <c r="G112" s="209"/>
      <c r="H112" s="103"/>
      <c r="I112" s="210"/>
      <c r="J112" s="209"/>
      <c r="K112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2"/>
    </row>
    <row r="113" spans="1:12" ht="15.75" thickBot="1" x14ac:dyDescent="0.3">
      <c r="B113" s="227">
        <v>10</v>
      </c>
      <c r="C113" s="212" t="str">
        <f t="shared" si="8"/>
        <v>NI-MCPT-40-2</v>
      </c>
      <c r="D113" s="226"/>
      <c r="E113" s="204"/>
      <c r="F113" s="205"/>
      <c r="G113" s="204"/>
      <c r="H113" s="204"/>
      <c r="I113" s="205"/>
      <c r="J113" s="204"/>
      <c r="K113" s="225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3"/>
    </row>
    <row r="114" spans="1:12" x14ac:dyDescent="0.25">
      <c r="A114" s="224">
        <v>10</v>
      </c>
      <c r="B114" s="223">
        <v>1</v>
      </c>
      <c r="C114" s="222">
        <f>C24</f>
        <v>0</v>
      </c>
      <c r="D114" s="211"/>
      <c r="E114" s="219"/>
      <c r="F114" s="221"/>
      <c r="G114" s="220"/>
      <c r="H114" s="219"/>
      <c r="I114" s="221"/>
      <c r="J114" s="220"/>
      <c r="K114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4"/>
    </row>
    <row r="115" spans="1:12" x14ac:dyDescent="0.25">
      <c r="B115" s="217">
        <v>2</v>
      </c>
      <c r="C115" s="216">
        <f t="shared" ref="C115:C122" si="9">$C$114</f>
        <v>0</v>
      </c>
      <c r="D115" s="211"/>
      <c r="E115" s="218"/>
      <c r="F115" s="215"/>
      <c r="G115" s="103"/>
      <c r="H115" s="219"/>
      <c r="I115" s="221"/>
      <c r="J115" s="220"/>
      <c r="K115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5"/>
    </row>
    <row r="116" spans="1:12" x14ac:dyDescent="0.25">
      <c r="B116" s="217">
        <v>3</v>
      </c>
      <c r="C116" s="216">
        <f t="shared" si="9"/>
        <v>0</v>
      </c>
      <c r="D116" s="211"/>
      <c r="E116" s="103"/>
      <c r="F116" s="215"/>
      <c r="G116" s="103"/>
      <c r="H116" s="218"/>
      <c r="I116" s="215"/>
      <c r="J116" s="103"/>
      <c r="K116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6"/>
    </row>
    <row r="117" spans="1:12" x14ac:dyDescent="0.25">
      <c r="B117" s="217">
        <v>4</v>
      </c>
      <c r="C117" s="216">
        <f t="shared" si="9"/>
        <v>0</v>
      </c>
      <c r="D117" s="211"/>
      <c r="E117" s="103"/>
      <c r="F117" s="215"/>
      <c r="G117" s="103"/>
      <c r="H117" s="219"/>
      <c r="I117" s="221"/>
      <c r="J117" s="220"/>
      <c r="K117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7"/>
    </row>
    <row r="118" spans="1:12" x14ac:dyDescent="0.25">
      <c r="B118" s="217">
        <v>5</v>
      </c>
      <c r="C118" s="216">
        <f t="shared" si="9"/>
        <v>0</v>
      </c>
      <c r="D118" s="211"/>
      <c r="E118" s="103"/>
      <c r="F118" s="215"/>
      <c r="G118" s="103"/>
      <c r="H118" s="103"/>
      <c r="I118" s="215"/>
      <c r="J118" s="103"/>
      <c r="K118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8"/>
    </row>
    <row r="119" spans="1:12" x14ac:dyDescent="0.25">
      <c r="B119" s="217">
        <v>6</v>
      </c>
      <c r="C119" s="216">
        <f t="shared" si="9"/>
        <v>0</v>
      </c>
      <c r="D119" s="211"/>
      <c r="E119" s="219"/>
      <c r="F119" s="215"/>
      <c r="G119" s="103"/>
      <c r="H119" s="219"/>
      <c r="I119" s="215"/>
      <c r="J119" s="103"/>
      <c r="K119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19"/>
    </row>
    <row r="120" spans="1:12" x14ac:dyDescent="0.25">
      <c r="B120" s="217">
        <v>7</v>
      </c>
      <c r="C120" s="216">
        <f t="shared" si="9"/>
        <v>0</v>
      </c>
      <c r="D120" s="211"/>
      <c r="E120" s="218"/>
      <c r="F120" s="215"/>
      <c r="G120" s="103"/>
      <c r="H120" s="218"/>
      <c r="I120" s="215"/>
      <c r="J120" s="103"/>
      <c r="K120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20"/>
    </row>
    <row r="121" spans="1:12" x14ac:dyDescent="0.25">
      <c r="B121" s="217">
        <v>8</v>
      </c>
      <c r="C121" s="216">
        <f t="shared" si="9"/>
        <v>0</v>
      </c>
      <c r="D121" s="211"/>
      <c r="E121" s="103"/>
      <c r="F121" s="215"/>
      <c r="G121" s="103"/>
      <c r="H121" s="103"/>
      <c r="I121" s="215"/>
      <c r="J121" s="103"/>
      <c r="K121" s="214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21"/>
    </row>
    <row r="122" spans="1:12" ht="15.75" thickBot="1" x14ac:dyDescent="0.3">
      <c r="B122" s="213">
        <v>9</v>
      </c>
      <c r="C122" s="212">
        <f t="shared" si="9"/>
        <v>0</v>
      </c>
      <c r="D122" s="211"/>
      <c r="E122" s="103"/>
      <c r="F122" s="210"/>
      <c r="G122" s="209"/>
      <c r="H122" s="103"/>
      <c r="I122" s="210"/>
      <c r="J122" s="209"/>
      <c r="K122" s="208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  <c r="L122"/>
    </row>
    <row r="123" spans="1:12" ht="15.75" thickBot="1" x14ac:dyDescent="0.3">
      <c r="B123" s="207"/>
      <c r="C123" s="206"/>
      <c r="D123" s="206"/>
      <c r="E123" s="204"/>
      <c r="F123" s="205"/>
      <c r="G123" s="204"/>
      <c r="H123" s="204"/>
      <c r="I123" s="205"/>
      <c r="J123" s="204"/>
      <c r="K123" s="203" t="str">
        <f>IFERROR(IF(AND(Cert_patrones[[#This Row],[t calibr.act]]&lt;&gt;"",Cert_patrones[[#This Row],[t calibr.ant]]&lt;&gt;""),ABS(Cert_patrones[[#This Row],[Correccion.act]]-Cert_patrones[[#This Row],[Correccion.ant]]),IF(Cert_patrones[[#This Row],[t calibr.act]]="","",VLOOKUP(Cert_patrones[[#This Row],[Código Patrón]],tblBD_PatronTerm[[Código Patrón]:[Coeficiente temp. +oC a medición]],11,FALSE)/SQRT(3))),"")</f>
        <v/>
      </c>
    </row>
  </sheetData>
  <sheetProtection formatCells="0" formatColumns="0"/>
  <mergeCells count="7">
    <mergeCell ref="H4:I4"/>
    <mergeCell ref="J4:K4"/>
    <mergeCell ref="L4:L5"/>
    <mergeCell ref="M4:P5"/>
    <mergeCell ref="J13:K13"/>
    <mergeCell ref="H13:I13"/>
    <mergeCell ref="L13:M13"/>
  </mergeCells>
  <pageMargins left="0.7" right="0.7" top="0.75" bottom="0.75" header="0.3" footer="0.3"/>
  <pageSetup orientation="portrait" horizontalDpi="1200" verticalDpi="1200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2"/>
  <sheetViews>
    <sheetView topLeftCell="A445" zoomScale="88" zoomScaleNormal="88" workbookViewId="0">
      <selection activeCell="A36" sqref="A36:I36"/>
    </sheetView>
  </sheetViews>
  <sheetFormatPr defaultColWidth="11.42578125" defaultRowHeight="15" x14ac:dyDescent="0.25"/>
  <cols>
    <col min="1" max="1" width="7.140625" customWidth="1"/>
    <col min="2" max="2" width="62" bestFit="1" customWidth="1"/>
    <col min="3" max="3" width="84.42578125" bestFit="1" customWidth="1"/>
  </cols>
  <sheetData>
    <row r="2" spans="1:7" x14ac:dyDescent="0.25">
      <c r="A2" s="408" t="s">
        <v>1597</v>
      </c>
      <c r="B2" s="408"/>
      <c r="C2" s="408"/>
    </row>
    <row r="3" spans="1:7" x14ac:dyDescent="0.25">
      <c r="A3" s="301"/>
      <c r="B3" s="409" t="s">
        <v>1596</v>
      </c>
      <c r="C3" s="409"/>
    </row>
    <row r="4" spans="1:7" ht="6" customHeight="1" x14ac:dyDescent="0.25">
      <c r="A4" s="301"/>
      <c r="B4" s="300"/>
      <c r="C4" s="300"/>
    </row>
    <row r="5" spans="1:7" x14ac:dyDescent="0.25">
      <c r="A5" s="299" t="s">
        <v>1595</v>
      </c>
      <c r="B5" s="299" t="s">
        <v>413</v>
      </c>
      <c r="C5" s="299" t="s">
        <v>1594</v>
      </c>
    </row>
    <row r="6" spans="1:7" x14ac:dyDescent="0.25">
      <c r="A6" s="290" t="s">
        <v>1593</v>
      </c>
      <c r="B6" s="290" t="s">
        <v>1592</v>
      </c>
      <c r="C6" s="290" t="s">
        <v>1591</v>
      </c>
      <c r="D6" s="96"/>
      <c r="E6" s="96"/>
      <c r="F6" s="96"/>
      <c r="G6" s="96"/>
    </row>
    <row r="7" spans="1:7" x14ac:dyDescent="0.25">
      <c r="A7" s="290" t="s">
        <v>1590</v>
      </c>
      <c r="B7" s="290" t="s">
        <v>1589</v>
      </c>
      <c r="C7" s="290" t="s">
        <v>1588</v>
      </c>
      <c r="D7" s="96"/>
      <c r="E7" s="96"/>
      <c r="F7" s="96"/>
      <c r="G7" s="96"/>
    </row>
    <row r="8" spans="1:7" x14ac:dyDescent="0.25">
      <c r="A8" s="290" t="s">
        <v>1587</v>
      </c>
      <c r="B8" s="290" t="s">
        <v>1586</v>
      </c>
      <c r="C8" s="290" t="s">
        <v>1585</v>
      </c>
      <c r="D8" s="96"/>
      <c r="E8" s="96"/>
      <c r="F8" s="96"/>
      <c r="G8" s="96"/>
    </row>
    <row r="9" spans="1:7" x14ac:dyDescent="0.25">
      <c r="A9" s="290" t="s">
        <v>1584</v>
      </c>
      <c r="B9" s="290" t="s">
        <v>1583</v>
      </c>
      <c r="C9" s="290" t="s">
        <v>1582</v>
      </c>
      <c r="D9" s="96"/>
      <c r="E9" s="96"/>
      <c r="F9" s="96"/>
      <c r="G9" s="96"/>
    </row>
    <row r="10" spans="1:7" x14ac:dyDescent="0.25">
      <c r="A10" s="290" t="s">
        <v>1581</v>
      </c>
      <c r="B10" s="290" t="s">
        <v>1580</v>
      </c>
      <c r="C10" s="290" t="s">
        <v>1579</v>
      </c>
      <c r="D10" s="96"/>
      <c r="E10" s="96"/>
      <c r="F10" s="96"/>
      <c r="G10" s="96"/>
    </row>
    <row r="11" spans="1:7" x14ac:dyDescent="0.25">
      <c r="A11" s="290" t="s">
        <v>1578</v>
      </c>
      <c r="B11" s="290" t="s">
        <v>1577</v>
      </c>
      <c r="C11" s="290" t="s">
        <v>1576</v>
      </c>
      <c r="D11" s="96"/>
      <c r="E11" s="96"/>
      <c r="F11" s="96"/>
      <c r="G11" s="96"/>
    </row>
    <row r="12" spans="1:7" x14ac:dyDescent="0.25">
      <c r="A12" s="290" t="s">
        <v>1575</v>
      </c>
      <c r="B12" s="290" t="s">
        <v>1574</v>
      </c>
      <c r="C12" s="290" t="s">
        <v>1078</v>
      </c>
      <c r="D12" s="96"/>
      <c r="E12" s="96"/>
      <c r="F12" s="96"/>
      <c r="G12" s="96"/>
    </row>
    <row r="13" spans="1:7" x14ac:dyDescent="0.25">
      <c r="A13" s="290" t="s">
        <v>1573</v>
      </c>
      <c r="B13" s="290" t="s">
        <v>1572</v>
      </c>
      <c r="C13" s="290" t="s">
        <v>1571</v>
      </c>
      <c r="D13" s="96"/>
      <c r="E13" s="96"/>
      <c r="F13" s="96"/>
      <c r="G13" s="96"/>
    </row>
    <row r="14" spans="1:7" x14ac:dyDescent="0.25">
      <c r="A14" s="290" t="s">
        <v>1570</v>
      </c>
      <c r="B14" s="290" t="s">
        <v>1569</v>
      </c>
      <c r="C14" s="290" t="s">
        <v>1568</v>
      </c>
      <c r="D14" s="96"/>
      <c r="E14" s="96"/>
      <c r="F14" s="96"/>
      <c r="G14" s="96"/>
    </row>
    <row r="15" spans="1:7" x14ac:dyDescent="0.25">
      <c r="A15" s="290" t="s">
        <v>1567</v>
      </c>
      <c r="B15" s="290" t="s">
        <v>44</v>
      </c>
      <c r="C15" s="293" t="s">
        <v>1566</v>
      </c>
      <c r="D15" s="96"/>
      <c r="E15" s="96"/>
      <c r="F15" s="96"/>
      <c r="G15" s="96"/>
    </row>
    <row r="16" spans="1:7" x14ac:dyDescent="0.25">
      <c r="A16" s="290" t="s">
        <v>1565</v>
      </c>
      <c r="B16" s="290" t="s">
        <v>1564</v>
      </c>
      <c r="C16" s="290" t="s">
        <v>1563</v>
      </c>
      <c r="D16" s="96"/>
      <c r="E16" s="96"/>
      <c r="F16" s="96"/>
      <c r="G16" s="96"/>
    </row>
    <row r="17" spans="1:7" x14ac:dyDescent="0.25">
      <c r="A17" s="290" t="s">
        <v>1562</v>
      </c>
      <c r="B17" s="290" t="s">
        <v>1561</v>
      </c>
      <c r="C17" s="290" t="s">
        <v>1560</v>
      </c>
      <c r="D17" s="96"/>
      <c r="E17" s="96"/>
      <c r="F17" s="96"/>
      <c r="G17" s="96"/>
    </row>
    <row r="18" spans="1:7" x14ac:dyDescent="0.25">
      <c r="A18" s="290" t="s">
        <v>1559</v>
      </c>
      <c r="B18" s="290" t="s">
        <v>1558</v>
      </c>
      <c r="C18" s="290" t="s">
        <v>1557</v>
      </c>
      <c r="D18" s="96"/>
      <c r="E18" s="96"/>
      <c r="F18" s="96"/>
      <c r="G18" s="96"/>
    </row>
    <row r="19" spans="1:7" x14ac:dyDescent="0.25">
      <c r="A19" s="290" t="s">
        <v>1556</v>
      </c>
      <c r="B19" s="290" t="s">
        <v>1555</v>
      </c>
      <c r="C19" s="290" t="s">
        <v>1554</v>
      </c>
      <c r="D19" s="96"/>
      <c r="E19" s="96"/>
      <c r="F19" s="96"/>
      <c r="G19" s="96"/>
    </row>
    <row r="20" spans="1:7" x14ac:dyDescent="0.25">
      <c r="A20" s="290" t="s">
        <v>1553</v>
      </c>
      <c r="B20" s="290" t="s">
        <v>1552</v>
      </c>
      <c r="C20" s="290" t="s">
        <v>1551</v>
      </c>
      <c r="D20" s="96"/>
      <c r="E20" s="96"/>
      <c r="F20" s="96"/>
      <c r="G20" s="96"/>
    </row>
    <row r="21" spans="1:7" x14ac:dyDescent="0.25">
      <c r="A21" s="290" t="s">
        <v>1550</v>
      </c>
      <c r="B21" s="290" t="s">
        <v>1549</v>
      </c>
      <c r="C21" s="290" t="s">
        <v>1548</v>
      </c>
      <c r="D21" s="96"/>
      <c r="E21" s="96"/>
      <c r="F21" s="96"/>
      <c r="G21" s="96"/>
    </row>
    <row r="22" spans="1:7" x14ac:dyDescent="0.25">
      <c r="A22" s="290" t="s">
        <v>1547</v>
      </c>
      <c r="B22" s="290" t="s">
        <v>1546</v>
      </c>
      <c r="C22" s="290" t="s">
        <v>1545</v>
      </c>
      <c r="D22" s="96"/>
      <c r="E22" s="96"/>
      <c r="F22" s="96"/>
      <c r="G22" s="96"/>
    </row>
    <row r="23" spans="1:7" x14ac:dyDescent="0.25">
      <c r="A23" s="290" t="s">
        <v>1544</v>
      </c>
      <c r="B23" s="290" t="s">
        <v>1543</v>
      </c>
      <c r="C23" s="290" t="s">
        <v>1542</v>
      </c>
      <c r="D23" s="96"/>
      <c r="E23" s="96"/>
      <c r="F23" s="96"/>
      <c r="G23" s="96"/>
    </row>
    <row r="24" spans="1:7" x14ac:dyDescent="0.25">
      <c r="A24" s="290" t="s">
        <v>1541</v>
      </c>
      <c r="B24" s="290" t="s">
        <v>1540</v>
      </c>
      <c r="C24" s="290" t="s">
        <v>1539</v>
      </c>
      <c r="D24" s="96"/>
      <c r="E24" s="96"/>
      <c r="F24" s="96"/>
      <c r="G24" s="96"/>
    </row>
    <row r="25" spans="1:7" x14ac:dyDescent="0.25">
      <c r="A25" s="290" t="s">
        <v>1538</v>
      </c>
      <c r="B25" s="290" t="s">
        <v>1537</v>
      </c>
      <c r="C25" s="296" t="s">
        <v>491</v>
      </c>
      <c r="D25" s="96"/>
      <c r="E25" s="96"/>
      <c r="F25" s="96"/>
      <c r="G25" s="96"/>
    </row>
    <row r="26" spans="1:7" x14ac:dyDescent="0.25">
      <c r="A26" s="290" t="s">
        <v>1536</v>
      </c>
      <c r="B26" s="290" t="s">
        <v>1535</v>
      </c>
      <c r="C26" s="296" t="s">
        <v>1534</v>
      </c>
      <c r="D26" s="96"/>
      <c r="E26" s="96"/>
      <c r="F26" s="96"/>
      <c r="G26" s="96"/>
    </row>
    <row r="27" spans="1:7" x14ac:dyDescent="0.25">
      <c r="A27" s="290" t="s">
        <v>1533</v>
      </c>
      <c r="B27" s="290" t="s">
        <v>1532</v>
      </c>
      <c r="C27" s="290" t="s">
        <v>1531</v>
      </c>
      <c r="D27" s="96"/>
      <c r="E27" s="96"/>
      <c r="F27" s="96"/>
      <c r="G27" s="96"/>
    </row>
    <row r="28" spans="1:7" x14ac:dyDescent="0.25">
      <c r="A28" s="290" t="s">
        <v>1530</v>
      </c>
      <c r="B28" s="290" t="s">
        <v>1529</v>
      </c>
      <c r="C28" s="290" t="s">
        <v>1528</v>
      </c>
      <c r="D28" s="96"/>
      <c r="E28" s="96"/>
      <c r="F28" s="96"/>
      <c r="G28" s="96"/>
    </row>
    <row r="29" spans="1:7" x14ac:dyDescent="0.25">
      <c r="A29" s="290" t="s">
        <v>1527</v>
      </c>
      <c r="B29" s="290" t="s">
        <v>1526</v>
      </c>
      <c r="C29" s="290" t="s">
        <v>1525</v>
      </c>
      <c r="D29" s="96"/>
      <c r="E29" s="96"/>
      <c r="F29" s="96"/>
      <c r="G29" s="96"/>
    </row>
    <row r="30" spans="1:7" x14ac:dyDescent="0.25">
      <c r="A30" s="290" t="s">
        <v>1524</v>
      </c>
      <c r="B30" s="290" t="s">
        <v>1523</v>
      </c>
      <c r="C30" s="290" t="s">
        <v>1522</v>
      </c>
      <c r="D30" s="96"/>
      <c r="E30" s="96"/>
      <c r="F30" s="96"/>
      <c r="G30" s="96"/>
    </row>
    <row r="31" spans="1:7" x14ac:dyDescent="0.25">
      <c r="A31" s="290" t="s">
        <v>1521</v>
      </c>
      <c r="B31" s="298" t="s">
        <v>1520</v>
      </c>
      <c r="C31" s="297" t="s">
        <v>625</v>
      </c>
      <c r="D31" s="96"/>
      <c r="E31" s="96"/>
      <c r="F31" s="96"/>
      <c r="G31" s="96"/>
    </row>
    <row r="32" spans="1:7" x14ac:dyDescent="0.25">
      <c r="A32" s="290" t="s">
        <v>1519</v>
      </c>
      <c r="B32" s="298" t="s">
        <v>1518</v>
      </c>
      <c r="C32" s="297" t="s">
        <v>1517</v>
      </c>
      <c r="D32" s="96"/>
      <c r="E32" s="96"/>
      <c r="F32" s="96"/>
      <c r="G32" s="96"/>
    </row>
    <row r="33" spans="1:7" x14ac:dyDescent="0.25">
      <c r="A33" s="290" t="s">
        <v>1516</v>
      </c>
      <c r="B33" s="298" t="s">
        <v>1515</v>
      </c>
      <c r="C33" s="297" t="s">
        <v>1514</v>
      </c>
      <c r="D33" s="96"/>
      <c r="E33" s="96"/>
      <c r="F33" s="96"/>
      <c r="G33" s="96"/>
    </row>
    <row r="34" spans="1:7" x14ac:dyDescent="0.25">
      <c r="A34" s="290" t="s">
        <v>1513</v>
      </c>
      <c r="B34" s="298" t="s">
        <v>1512</v>
      </c>
      <c r="C34" s="297" t="s">
        <v>1511</v>
      </c>
      <c r="D34" s="96"/>
      <c r="E34" s="96"/>
      <c r="F34" s="96"/>
      <c r="G34" s="96"/>
    </row>
    <row r="35" spans="1:7" ht="25.5" x14ac:dyDescent="0.25">
      <c r="A35" s="290" t="s">
        <v>1510</v>
      </c>
      <c r="B35" s="298" t="s">
        <v>1509</v>
      </c>
      <c r="C35" s="297" t="s">
        <v>1508</v>
      </c>
      <c r="D35" s="96"/>
      <c r="E35" s="96"/>
      <c r="F35" s="96"/>
      <c r="G35" s="96"/>
    </row>
    <row r="36" spans="1:7" x14ac:dyDescent="0.25">
      <c r="A36" s="290" t="s">
        <v>1507</v>
      </c>
      <c r="B36" s="298" t="s">
        <v>1506</v>
      </c>
      <c r="C36" s="297" t="s">
        <v>1505</v>
      </c>
      <c r="D36" s="96"/>
      <c r="E36" s="96"/>
      <c r="F36" s="96"/>
      <c r="G36" s="96"/>
    </row>
    <row r="37" spans="1:7" x14ac:dyDescent="0.25">
      <c r="A37" s="290" t="s">
        <v>1504</v>
      </c>
      <c r="B37" s="298" t="s">
        <v>1503</v>
      </c>
      <c r="C37" s="297" t="s">
        <v>1502</v>
      </c>
      <c r="D37" s="96"/>
      <c r="E37" s="96"/>
      <c r="F37" s="96"/>
      <c r="G37" s="96"/>
    </row>
    <row r="38" spans="1:7" x14ac:dyDescent="0.25">
      <c r="A38" s="290" t="s">
        <v>1501</v>
      </c>
      <c r="B38" s="298" t="s">
        <v>1500</v>
      </c>
      <c r="C38" s="297" t="s">
        <v>1499</v>
      </c>
      <c r="D38" s="96"/>
      <c r="E38" s="96"/>
      <c r="F38" s="96"/>
      <c r="G38" s="96"/>
    </row>
    <row r="39" spans="1:7" x14ac:dyDescent="0.25">
      <c r="A39" s="290" t="s">
        <v>1498</v>
      </c>
      <c r="B39" s="290" t="s">
        <v>1497</v>
      </c>
      <c r="C39" s="290" t="s">
        <v>1496</v>
      </c>
      <c r="D39" s="96"/>
      <c r="E39" s="96"/>
      <c r="F39" s="96"/>
      <c r="G39" s="96"/>
    </row>
    <row r="40" spans="1:7" x14ac:dyDescent="0.25">
      <c r="A40" s="290" t="s">
        <v>1495</v>
      </c>
      <c r="B40" s="290" t="s">
        <v>1494</v>
      </c>
      <c r="C40" s="290" t="s">
        <v>1493</v>
      </c>
      <c r="D40" s="96"/>
      <c r="E40" s="96"/>
      <c r="F40" s="96"/>
      <c r="G40" s="96"/>
    </row>
    <row r="41" spans="1:7" x14ac:dyDescent="0.25">
      <c r="A41" s="290" t="s">
        <v>1492</v>
      </c>
      <c r="B41" s="290" t="s">
        <v>1491</v>
      </c>
      <c r="C41" s="290" t="s">
        <v>1490</v>
      </c>
      <c r="D41" s="96"/>
      <c r="E41" s="96"/>
      <c r="F41" s="96"/>
      <c r="G41" s="96"/>
    </row>
    <row r="42" spans="1:7" x14ac:dyDescent="0.25">
      <c r="A42" s="290" t="s">
        <v>1489</v>
      </c>
      <c r="B42" s="290" t="s">
        <v>1488</v>
      </c>
      <c r="C42" s="290" t="s">
        <v>1402</v>
      </c>
      <c r="D42" s="96"/>
      <c r="E42" s="96"/>
      <c r="F42" s="96"/>
      <c r="G42" s="96"/>
    </row>
    <row r="43" spans="1:7" x14ac:dyDescent="0.25">
      <c r="A43" s="290" t="s">
        <v>1487</v>
      </c>
      <c r="B43" s="290" t="s">
        <v>1486</v>
      </c>
      <c r="C43" s="290" t="s">
        <v>1485</v>
      </c>
      <c r="D43" s="96"/>
      <c r="E43" s="96"/>
      <c r="F43" s="96"/>
      <c r="G43" s="96"/>
    </row>
    <row r="44" spans="1:7" x14ac:dyDescent="0.25">
      <c r="A44" s="290" t="s">
        <v>1484</v>
      </c>
      <c r="B44" s="290" t="s">
        <v>1483</v>
      </c>
      <c r="C44" s="290" t="s">
        <v>1482</v>
      </c>
      <c r="D44" s="96"/>
      <c r="E44" s="96"/>
      <c r="F44" s="96"/>
      <c r="G44" s="96"/>
    </row>
    <row r="45" spans="1:7" x14ac:dyDescent="0.25">
      <c r="A45" s="290" t="s">
        <v>1481</v>
      </c>
      <c r="B45" s="290" t="s">
        <v>1480</v>
      </c>
      <c r="C45" s="290" t="s">
        <v>1479</v>
      </c>
      <c r="D45" s="96"/>
      <c r="E45" s="96"/>
      <c r="F45" s="96"/>
      <c r="G45" s="96"/>
    </row>
    <row r="46" spans="1:7" x14ac:dyDescent="0.25">
      <c r="A46" s="290" t="s">
        <v>1478</v>
      </c>
      <c r="B46" s="290" t="s">
        <v>1477</v>
      </c>
      <c r="C46" s="290" t="s">
        <v>1476</v>
      </c>
      <c r="D46" s="96"/>
      <c r="E46" s="96"/>
      <c r="F46" s="96"/>
      <c r="G46" s="96"/>
    </row>
    <row r="47" spans="1:7" x14ac:dyDescent="0.25">
      <c r="A47" s="290" t="s">
        <v>1475</v>
      </c>
      <c r="B47" s="290" t="s">
        <v>1474</v>
      </c>
      <c r="C47" s="290" t="s">
        <v>1473</v>
      </c>
      <c r="D47" s="96"/>
      <c r="E47" s="96"/>
      <c r="F47" s="96"/>
      <c r="G47" s="96"/>
    </row>
    <row r="48" spans="1:7" x14ac:dyDescent="0.25">
      <c r="A48" s="290" t="s">
        <v>1472</v>
      </c>
      <c r="B48" s="290" t="s">
        <v>1471</v>
      </c>
      <c r="C48" s="290" t="s">
        <v>1470</v>
      </c>
      <c r="D48" s="96"/>
      <c r="E48" s="96"/>
      <c r="F48" s="96"/>
      <c r="G48" s="96"/>
    </row>
    <row r="49" spans="1:7" x14ac:dyDescent="0.25">
      <c r="A49" s="290" t="s">
        <v>1469</v>
      </c>
      <c r="B49" s="290" t="s">
        <v>1468</v>
      </c>
      <c r="C49" s="290" t="s">
        <v>1467</v>
      </c>
      <c r="D49" s="96"/>
      <c r="E49" s="96"/>
      <c r="F49" s="96"/>
      <c r="G49" s="96"/>
    </row>
    <row r="50" spans="1:7" x14ac:dyDescent="0.25">
      <c r="A50" s="290" t="s">
        <v>1466</v>
      </c>
      <c r="B50" s="290" t="s">
        <v>1465</v>
      </c>
      <c r="C50" s="290" t="s">
        <v>1464</v>
      </c>
      <c r="D50" s="96"/>
      <c r="E50" s="96"/>
      <c r="F50" s="96"/>
      <c r="G50" s="96"/>
    </row>
    <row r="51" spans="1:7" x14ac:dyDescent="0.25">
      <c r="A51" s="290" t="s">
        <v>1463</v>
      </c>
      <c r="B51" s="290" t="s">
        <v>1462</v>
      </c>
      <c r="C51" s="290" t="s">
        <v>1461</v>
      </c>
      <c r="D51" s="96"/>
      <c r="E51" s="96"/>
      <c r="F51" s="96"/>
      <c r="G51" s="96"/>
    </row>
    <row r="52" spans="1:7" x14ac:dyDescent="0.25">
      <c r="A52" s="290" t="s">
        <v>1460</v>
      </c>
      <c r="B52" s="290" t="s">
        <v>1459</v>
      </c>
      <c r="C52" s="290" t="s">
        <v>1458</v>
      </c>
      <c r="D52" s="96"/>
      <c r="E52" s="96"/>
      <c r="F52" s="96"/>
      <c r="G52" s="96"/>
    </row>
    <row r="53" spans="1:7" x14ac:dyDescent="0.25">
      <c r="A53" s="290" t="s">
        <v>1457</v>
      </c>
      <c r="B53" s="290" t="s">
        <v>1456</v>
      </c>
      <c r="C53" s="290" t="s">
        <v>1455</v>
      </c>
      <c r="D53" s="96"/>
      <c r="E53" s="96"/>
      <c r="F53" s="96"/>
      <c r="G53" s="96"/>
    </row>
    <row r="54" spans="1:7" x14ac:dyDescent="0.25">
      <c r="A54" s="290" t="s">
        <v>1454</v>
      </c>
      <c r="B54" s="290" t="s">
        <v>1453</v>
      </c>
      <c r="C54" s="290" t="s">
        <v>1452</v>
      </c>
      <c r="D54" s="96"/>
      <c r="E54" s="96"/>
      <c r="F54" s="96"/>
      <c r="G54" s="96"/>
    </row>
    <row r="55" spans="1:7" x14ac:dyDescent="0.25">
      <c r="A55" s="290" t="s">
        <v>1451</v>
      </c>
      <c r="B55" s="290" t="s">
        <v>1450</v>
      </c>
      <c r="C55" s="290" t="s">
        <v>1449</v>
      </c>
      <c r="D55" s="96"/>
      <c r="E55" s="96"/>
      <c r="F55" s="96"/>
      <c r="G55" s="96"/>
    </row>
    <row r="56" spans="1:7" x14ac:dyDescent="0.25">
      <c r="A56" s="290" t="s">
        <v>1448</v>
      </c>
      <c r="B56" s="290" t="s">
        <v>1447</v>
      </c>
      <c r="C56" s="290"/>
      <c r="D56" s="96"/>
      <c r="E56" s="96"/>
      <c r="F56" s="96"/>
      <c r="G56" s="96"/>
    </row>
    <row r="57" spans="1:7" x14ac:dyDescent="0.25">
      <c r="A57" s="290" t="s">
        <v>1446</v>
      </c>
      <c r="B57" s="290" t="s">
        <v>1445</v>
      </c>
      <c r="C57" s="290" t="s">
        <v>1444</v>
      </c>
      <c r="D57" s="96"/>
      <c r="E57" s="96"/>
      <c r="F57" s="96"/>
      <c r="G57" s="96"/>
    </row>
    <row r="58" spans="1:7" x14ac:dyDescent="0.25">
      <c r="A58" s="290" t="s">
        <v>1443</v>
      </c>
      <c r="B58" s="290" t="s">
        <v>1442</v>
      </c>
      <c r="C58" s="290" t="s">
        <v>1441</v>
      </c>
      <c r="D58" s="96"/>
      <c r="E58" s="96"/>
      <c r="F58" s="96"/>
      <c r="G58" s="96"/>
    </row>
    <row r="59" spans="1:7" x14ac:dyDescent="0.25">
      <c r="A59" s="290" t="s">
        <v>1440</v>
      </c>
      <c r="B59" s="290" t="s">
        <v>1439</v>
      </c>
      <c r="C59" s="290" t="s">
        <v>1438</v>
      </c>
      <c r="D59" s="96"/>
      <c r="E59" s="96"/>
      <c r="F59" s="96"/>
      <c r="G59" s="96"/>
    </row>
    <row r="60" spans="1:7" x14ac:dyDescent="0.25">
      <c r="A60" s="290" t="s">
        <v>1437</v>
      </c>
      <c r="B60" s="290" t="s">
        <v>1436</v>
      </c>
      <c r="C60" s="290" t="s">
        <v>568</v>
      </c>
      <c r="D60" s="96"/>
      <c r="E60" s="96"/>
      <c r="F60" s="96"/>
      <c r="G60" s="96"/>
    </row>
    <row r="61" spans="1:7" x14ac:dyDescent="0.25">
      <c r="A61" s="290" t="s">
        <v>1435</v>
      </c>
      <c r="B61" s="290" t="s">
        <v>1434</v>
      </c>
      <c r="C61" s="290" t="s">
        <v>1429</v>
      </c>
      <c r="D61" s="96"/>
      <c r="E61" s="96"/>
      <c r="F61" s="96"/>
      <c r="G61" s="96"/>
    </row>
    <row r="62" spans="1:7" x14ac:dyDescent="0.25">
      <c r="A62" s="290" t="s">
        <v>1433</v>
      </c>
      <c r="B62" s="290" t="s">
        <v>1432</v>
      </c>
      <c r="C62" s="290" t="s">
        <v>1429</v>
      </c>
      <c r="D62" s="96"/>
      <c r="E62" s="96"/>
      <c r="F62" s="96"/>
      <c r="G62" s="96"/>
    </row>
    <row r="63" spans="1:7" x14ac:dyDescent="0.25">
      <c r="A63" s="290" t="s">
        <v>1431</v>
      </c>
      <c r="B63" s="290" t="s">
        <v>1430</v>
      </c>
      <c r="C63" s="290" t="s">
        <v>1429</v>
      </c>
      <c r="D63" s="96"/>
      <c r="E63" s="96"/>
      <c r="F63" s="96"/>
      <c r="G63" s="96"/>
    </row>
    <row r="64" spans="1:7" x14ac:dyDescent="0.25">
      <c r="A64" s="290" t="s">
        <v>1428</v>
      </c>
      <c r="B64" s="290" t="s">
        <v>1427</v>
      </c>
      <c r="C64" s="290" t="s">
        <v>1426</v>
      </c>
      <c r="D64" s="96"/>
      <c r="E64" s="96"/>
      <c r="F64" s="96"/>
      <c r="G64" s="96"/>
    </row>
    <row r="65" spans="1:7" x14ac:dyDescent="0.25">
      <c r="A65" s="290" t="s">
        <v>1425</v>
      </c>
      <c r="B65" s="290" t="s">
        <v>1424</v>
      </c>
      <c r="C65" s="290" t="s">
        <v>1423</v>
      </c>
      <c r="D65" s="96"/>
      <c r="E65" s="96"/>
      <c r="F65" s="96"/>
      <c r="G65" s="96"/>
    </row>
    <row r="66" spans="1:7" x14ac:dyDescent="0.25">
      <c r="A66" s="290" t="s">
        <v>1422</v>
      </c>
      <c r="B66" s="290" t="s">
        <v>1421</v>
      </c>
      <c r="C66" s="290" t="s">
        <v>1420</v>
      </c>
      <c r="D66" s="96"/>
      <c r="E66" s="96"/>
      <c r="F66" s="96"/>
      <c r="G66" s="96"/>
    </row>
    <row r="67" spans="1:7" x14ac:dyDescent="0.25">
      <c r="A67" s="290" t="s">
        <v>1419</v>
      </c>
      <c r="B67" s="290" t="s">
        <v>1418</v>
      </c>
      <c r="C67" s="290" t="s">
        <v>1417</v>
      </c>
      <c r="D67" s="96"/>
      <c r="E67" s="96"/>
      <c r="F67" s="96"/>
      <c r="G67" s="96"/>
    </row>
    <row r="68" spans="1:7" x14ac:dyDescent="0.25">
      <c r="A68" s="290" t="s">
        <v>1416</v>
      </c>
      <c r="B68" s="290" t="s">
        <v>1415</v>
      </c>
      <c r="C68" s="290" t="s">
        <v>1414</v>
      </c>
      <c r="D68" s="96"/>
      <c r="E68" s="96"/>
      <c r="F68" s="96"/>
      <c r="G68" s="96"/>
    </row>
    <row r="69" spans="1:7" x14ac:dyDescent="0.25">
      <c r="A69" s="290" t="s">
        <v>1413</v>
      </c>
      <c r="B69" s="290" t="s">
        <v>1412</v>
      </c>
      <c r="C69" s="290" t="s">
        <v>1411</v>
      </c>
      <c r="D69" s="96"/>
      <c r="E69" s="96"/>
      <c r="F69" s="96"/>
      <c r="G69" s="96"/>
    </row>
    <row r="70" spans="1:7" x14ac:dyDescent="0.25">
      <c r="A70" s="290" t="s">
        <v>1410</v>
      </c>
      <c r="B70" s="290" t="s">
        <v>1409</v>
      </c>
      <c r="C70" s="290" t="s">
        <v>1408</v>
      </c>
      <c r="D70" s="96"/>
      <c r="E70" s="96"/>
      <c r="F70" s="96"/>
      <c r="G70" s="96"/>
    </row>
    <row r="71" spans="1:7" x14ac:dyDescent="0.25">
      <c r="A71" s="290" t="s">
        <v>1407</v>
      </c>
      <c r="B71" s="290" t="s">
        <v>1406</v>
      </c>
      <c r="C71" s="290" t="s">
        <v>1405</v>
      </c>
      <c r="D71" s="96"/>
      <c r="E71" s="96"/>
      <c r="F71" s="96"/>
      <c r="G71" s="96"/>
    </row>
    <row r="72" spans="1:7" x14ac:dyDescent="0.25">
      <c r="A72" s="290" t="s">
        <v>1404</v>
      </c>
      <c r="B72" s="290" t="s">
        <v>1403</v>
      </c>
      <c r="C72" s="290" t="s">
        <v>1402</v>
      </c>
      <c r="D72" s="96"/>
      <c r="E72" s="96"/>
      <c r="F72" s="96"/>
      <c r="G72" s="96"/>
    </row>
    <row r="73" spans="1:7" x14ac:dyDescent="0.25">
      <c r="A73" s="290" t="s">
        <v>1401</v>
      </c>
      <c r="B73" s="290" t="s">
        <v>1400</v>
      </c>
      <c r="C73" s="290" t="s">
        <v>1399</v>
      </c>
      <c r="D73" s="96"/>
      <c r="E73" s="96"/>
      <c r="F73" s="96"/>
      <c r="G73" s="96"/>
    </row>
    <row r="74" spans="1:7" x14ac:dyDescent="0.25">
      <c r="A74" s="290" t="s">
        <v>1398</v>
      </c>
      <c r="B74" s="290" t="s">
        <v>1397</v>
      </c>
      <c r="C74" s="290" t="s">
        <v>1396</v>
      </c>
      <c r="D74" s="96"/>
      <c r="E74" s="96"/>
      <c r="F74" s="96"/>
      <c r="G74" s="96"/>
    </row>
    <row r="75" spans="1:7" x14ac:dyDescent="0.25">
      <c r="A75" s="290" t="s">
        <v>1395</v>
      </c>
      <c r="B75" s="290" t="s">
        <v>1394</v>
      </c>
      <c r="C75" s="290" t="s">
        <v>491</v>
      </c>
      <c r="D75" s="96"/>
      <c r="E75" s="96"/>
      <c r="F75" s="96"/>
      <c r="G75" s="96"/>
    </row>
    <row r="76" spans="1:7" x14ac:dyDescent="0.25">
      <c r="A76" s="290" t="s">
        <v>1393</v>
      </c>
      <c r="B76" s="290" t="s">
        <v>1392</v>
      </c>
      <c r="C76" s="290" t="s">
        <v>1391</v>
      </c>
      <c r="D76" s="96"/>
      <c r="E76" s="96"/>
      <c r="F76" s="96"/>
      <c r="G76" s="96"/>
    </row>
    <row r="77" spans="1:7" x14ac:dyDescent="0.25">
      <c r="A77" s="290" t="s">
        <v>1390</v>
      </c>
      <c r="B77" s="290" t="s">
        <v>1389</v>
      </c>
      <c r="C77" s="290" t="s">
        <v>1388</v>
      </c>
      <c r="D77" s="96"/>
      <c r="E77" s="96"/>
      <c r="F77" s="96"/>
      <c r="G77" s="96"/>
    </row>
    <row r="78" spans="1:7" x14ac:dyDescent="0.25">
      <c r="A78" s="290" t="s">
        <v>1387</v>
      </c>
      <c r="B78" s="290" t="s">
        <v>1386</v>
      </c>
      <c r="C78" s="290" t="s">
        <v>1385</v>
      </c>
      <c r="D78" s="96"/>
      <c r="E78" s="96"/>
      <c r="F78" s="96"/>
      <c r="G78" s="96"/>
    </row>
    <row r="79" spans="1:7" x14ac:dyDescent="0.25">
      <c r="A79" s="290" t="s">
        <v>1384</v>
      </c>
      <c r="B79" s="290" t="s">
        <v>1383</v>
      </c>
      <c r="C79" s="290" t="s">
        <v>1382</v>
      </c>
      <c r="D79" s="96"/>
      <c r="E79" s="96"/>
      <c r="F79" s="96"/>
      <c r="G79" s="96"/>
    </row>
    <row r="80" spans="1:7" x14ac:dyDescent="0.25">
      <c r="A80" s="290" t="s">
        <v>1381</v>
      </c>
      <c r="B80" s="290" t="s">
        <v>1380</v>
      </c>
      <c r="C80" s="290" t="s">
        <v>1379</v>
      </c>
      <c r="D80" s="96"/>
      <c r="E80" s="96"/>
      <c r="F80" s="96"/>
      <c r="G80" s="96"/>
    </row>
    <row r="81" spans="1:7" x14ac:dyDescent="0.25">
      <c r="A81" s="290" t="s">
        <v>1378</v>
      </c>
      <c r="B81" s="290" t="s">
        <v>1377</v>
      </c>
      <c r="C81" s="290" t="s">
        <v>491</v>
      </c>
      <c r="D81" s="96"/>
      <c r="E81" s="96"/>
      <c r="F81" s="96"/>
      <c r="G81" s="96"/>
    </row>
    <row r="82" spans="1:7" x14ac:dyDescent="0.25">
      <c r="A82" s="290" t="s">
        <v>1376</v>
      </c>
      <c r="B82" s="290" t="s">
        <v>1375</v>
      </c>
      <c r="C82" s="290" t="s">
        <v>1374</v>
      </c>
      <c r="D82" s="96"/>
      <c r="E82" s="96"/>
      <c r="F82" s="96"/>
      <c r="G82" s="96"/>
    </row>
    <row r="83" spans="1:7" x14ac:dyDescent="0.25">
      <c r="A83" s="290" t="s">
        <v>1373</v>
      </c>
      <c r="B83" s="290" t="s">
        <v>1372</v>
      </c>
      <c r="C83" s="290" t="s">
        <v>1371</v>
      </c>
      <c r="D83" s="96"/>
      <c r="E83" s="96"/>
      <c r="F83" s="96"/>
      <c r="G83" s="96"/>
    </row>
    <row r="84" spans="1:7" x14ac:dyDescent="0.25">
      <c r="A84" s="290" t="s">
        <v>1370</v>
      </c>
      <c r="B84" s="290" t="s">
        <v>1369</v>
      </c>
      <c r="C84" s="290" t="s">
        <v>1368</v>
      </c>
      <c r="D84" s="96"/>
      <c r="E84" s="96"/>
      <c r="F84" s="96"/>
      <c r="G84" s="96"/>
    </row>
    <row r="85" spans="1:7" x14ac:dyDescent="0.25">
      <c r="A85" s="290" t="s">
        <v>1367</v>
      </c>
      <c r="B85" s="290" t="s">
        <v>1366</v>
      </c>
      <c r="C85" s="290" t="s">
        <v>1365</v>
      </c>
      <c r="D85" s="96"/>
      <c r="E85" s="96"/>
      <c r="F85" s="96"/>
      <c r="G85" s="96"/>
    </row>
    <row r="86" spans="1:7" x14ac:dyDescent="0.25">
      <c r="A86" s="290" t="s">
        <v>1364</v>
      </c>
      <c r="B86" s="290" t="s">
        <v>1363</v>
      </c>
      <c r="C86" s="290" t="s">
        <v>1362</v>
      </c>
      <c r="D86" s="96"/>
      <c r="E86" s="96"/>
      <c r="F86" s="96"/>
      <c r="G86" s="96"/>
    </row>
    <row r="87" spans="1:7" x14ac:dyDescent="0.25">
      <c r="A87" s="290" t="s">
        <v>1361</v>
      </c>
      <c r="B87" s="290" t="s">
        <v>1360</v>
      </c>
      <c r="C87" s="290" t="s">
        <v>1359</v>
      </c>
      <c r="D87" s="96"/>
      <c r="E87" s="96"/>
      <c r="F87" s="96"/>
      <c r="G87" s="96"/>
    </row>
    <row r="88" spans="1:7" x14ac:dyDescent="0.25">
      <c r="A88" s="290" t="s">
        <v>1358</v>
      </c>
      <c r="B88" s="290" t="s">
        <v>1357</v>
      </c>
      <c r="C88" s="290" t="s">
        <v>1356</v>
      </c>
      <c r="D88" s="96"/>
      <c r="E88" s="96"/>
      <c r="F88" s="96"/>
      <c r="G88" s="96"/>
    </row>
    <row r="89" spans="1:7" x14ac:dyDescent="0.25">
      <c r="A89" s="290" t="s">
        <v>1355</v>
      </c>
      <c r="B89" s="290" t="s">
        <v>1354</v>
      </c>
      <c r="C89" s="290" t="s">
        <v>1353</v>
      </c>
      <c r="D89" s="96"/>
      <c r="E89" s="96"/>
      <c r="F89" s="96"/>
      <c r="G89" s="96"/>
    </row>
    <row r="90" spans="1:7" x14ac:dyDescent="0.25">
      <c r="A90" s="290" t="s">
        <v>1352</v>
      </c>
      <c r="B90" s="290" t="s">
        <v>1351</v>
      </c>
      <c r="C90" s="290" t="s">
        <v>1350</v>
      </c>
      <c r="D90" s="96"/>
      <c r="E90" s="96"/>
      <c r="F90" s="96"/>
      <c r="G90" s="96"/>
    </row>
    <row r="91" spans="1:7" x14ac:dyDescent="0.25">
      <c r="A91" s="290" t="s">
        <v>1349</v>
      </c>
      <c r="B91" s="290" t="s">
        <v>1348</v>
      </c>
      <c r="C91" s="290" t="s">
        <v>1347</v>
      </c>
      <c r="D91" s="96"/>
      <c r="E91" s="96"/>
      <c r="F91" s="96"/>
      <c r="G91" s="96"/>
    </row>
    <row r="92" spans="1:7" x14ac:dyDescent="0.25">
      <c r="A92" s="290" t="s">
        <v>1346</v>
      </c>
      <c r="B92" s="290" t="s">
        <v>1345</v>
      </c>
      <c r="C92" s="290" t="s">
        <v>508</v>
      </c>
      <c r="D92" s="96"/>
      <c r="E92" s="96"/>
      <c r="F92" s="96"/>
      <c r="G92" s="96"/>
    </row>
    <row r="93" spans="1:7" x14ac:dyDescent="0.25">
      <c r="A93" s="290" t="s">
        <v>1344</v>
      </c>
      <c r="B93" s="290" t="s">
        <v>1343</v>
      </c>
      <c r="C93" s="290" t="s">
        <v>1342</v>
      </c>
      <c r="D93" s="96"/>
      <c r="E93" s="96"/>
      <c r="F93" s="96"/>
      <c r="G93" s="96"/>
    </row>
    <row r="94" spans="1:7" x14ac:dyDescent="0.25">
      <c r="A94" s="290" t="s">
        <v>1341</v>
      </c>
      <c r="B94" s="290" t="s">
        <v>1340</v>
      </c>
      <c r="C94" s="290" t="s">
        <v>1339</v>
      </c>
      <c r="D94" s="96"/>
      <c r="E94" s="96"/>
      <c r="F94" s="96"/>
      <c r="G94" s="96"/>
    </row>
    <row r="95" spans="1:7" x14ac:dyDescent="0.25">
      <c r="A95" s="290" t="s">
        <v>1338</v>
      </c>
      <c r="B95" s="290" t="s">
        <v>1337</v>
      </c>
      <c r="C95" s="290" t="s">
        <v>1336</v>
      </c>
      <c r="D95" s="96"/>
      <c r="E95" s="96"/>
      <c r="F95" s="96"/>
      <c r="G95" s="96"/>
    </row>
    <row r="96" spans="1:7" x14ac:dyDescent="0.25">
      <c r="A96" s="290" t="s">
        <v>1335</v>
      </c>
      <c r="B96" s="290" t="s">
        <v>1334</v>
      </c>
      <c r="C96" s="290" t="s">
        <v>1333</v>
      </c>
      <c r="D96" s="96"/>
      <c r="E96" s="96"/>
      <c r="F96" s="96"/>
      <c r="G96" s="96"/>
    </row>
    <row r="97" spans="1:7" x14ac:dyDescent="0.25">
      <c r="A97" s="290" t="s">
        <v>1332</v>
      </c>
      <c r="B97" s="290" t="s">
        <v>1331</v>
      </c>
      <c r="C97" s="290" t="s">
        <v>1330</v>
      </c>
      <c r="D97" s="96"/>
      <c r="E97" s="96"/>
      <c r="F97" s="96"/>
      <c r="G97" s="96"/>
    </row>
    <row r="98" spans="1:7" x14ac:dyDescent="0.25">
      <c r="A98" s="290" t="s">
        <v>1329</v>
      </c>
      <c r="B98" s="290" t="s">
        <v>1328</v>
      </c>
      <c r="C98" s="290" t="s">
        <v>1327</v>
      </c>
      <c r="D98" s="96"/>
      <c r="E98" s="96"/>
      <c r="F98" s="96"/>
      <c r="G98" s="96"/>
    </row>
    <row r="99" spans="1:7" x14ac:dyDescent="0.25">
      <c r="A99" s="290" t="s">
        <v>1326</v>
      </c>
      <c r="B99" s="290" t="s">
        <v>1325</v>
      </c>
      <c r="C99" s="290" t="s">
        <v>1324</v>
      </c>
      <c r="D99" s="96"/>
      <c r="E99" s="96"/>
      <c r="F99" s="96"/>
      <c r="G99" s="96"/>
    </row>
    <row r="100" spans="1:7" x14ac:dyDescent="0.25">
      <c r="A100" s="290" t="s">
        <v>1323</v>
      </c>
      <c r="B100" s="290" t="s">
        <v>1322</v>
      </c>
      <c r="C100" s="290" t="s">
        <v>1321</v>
      </c>
      <c r="D100" s="96"/>
      <c r="E100" s="96"/>
      <c r="F100" s="96"/>
      <c r="G100" s="96"/>
    </row>
    <row r="101" spans="1:7" x14ac:dyDescent="0.25">
      <c r="A101" s="290" t="s">
        <v>1320</v>
      </c>
      <c r="B101" s="290" t="s">
        <v>1319</v>
      </c>
      <c r="C101" s="290" t="s">
        <v>1318</v>
      </c>
      <c r="D101" s="96"/>
      <c r="E101" s="96"/>
      <c r="F101" s="96"/>
      <c r="G101" s="96"/>
    </row>
    <row r="102" spans="1:7" x14ac:dyDescent="0.25">
      <c r="A102" s="290" t="s">
        <v>1317</v>
      </c>
      <c r="B102" s="290" t="s">
        <v>1316</v>
      </c>
      <c r="C102" s="290" t="s">
        <v>1315</v>
      </c>
      <c r="D102" s="96"/>
      <c r="E102" s="96"/>
      <c r="F102" s="96"/>
      <c r="G102" s="96"/>
    </row>
    <row r="103" spans="1:7" x14ac:dyDescent="0.25">
      <c r="A103" s="290" t="s">
        <v>1314</v>
      </c>
      <c r="B103" s="290" t="s">
        <v>1313</v>
      </c>
      <c r="C103" s="290" t="s">
        <v>1312</v>
      </c>
      <c r="D103" s="96"/>
      <c r="E103" s="96"/>
      <c r="F103" s="96"/>
      <c r="G103" s="96"/>
    </row>
    <row r="104" spans="1:7" x14ac:dyDescent="0.25">
      <c r="A104" s="290" t="s">
        <v>1311</v>
      </c>
      <c r="B104" s="290" t="s">
        <v>1310</v>
      </c>
      <c r="C104" s="290" t="s">
        <v>1309</v>
      </c>
      <c r="D104" s="96"/>
      <c r="E104" s="96"/>
      <c r="F104" s="96"/>
      <c r="G104" s="96"/>
    </row>
    <row r="105" spans="1:7" x14ac:dyDescent="0.25">
      <c r="A105" s="290" t="s">
        <v>1308</v>
      </c>
      <c r="B105" s="290" t="s">
        <v>1307</v>
      </c>
      <c r="C105" s="290" t="s">
        <v>1306</v>
      </c>
      <c r="D105" s="96"/>
      <c r="E105" s="96"/>
      <c r="F105" s="96"/>
      <c r="G105" s="96"/>
    </row>
    <row r="106" spans="1:7" x14ac:dyDescent="0.25">
      <c r="A106" s="290" t="s">
        <v>1305</v>
      </c>
      <c r="B106" s="290" t="s">
        <v>1304</v>
      </c>
      <c r="C106" s="290" t="s">
        <v>1303</v>
      </c>
      <c r="D106" s="96"/>
      <c r="E106" s="96"/>
      <c r="F106" s="96"/>
      <c r="G106" s="96"/>
    </row>
    <row r="107" spans="1:7" x14ac:dyDescent="0.25">
      <c r="A107" s="290" t="s">
        <v>1302</v>
      </c>
      <c r="B107" s="290" t="s">
        <v>1301</v>
      </c>
      <c r="C107" s="290" t="s">
        <v>1300</v>
      </c>
      <c r="D107" s="96"/>
      <c r="E107" s="96"/>
      <c r="F107" s="96"/>
      <c r="G107" s="96"/>
    </row>
    <row r="108" spans="1:7" x14ac:dyDescent="0.25">
      <c r="A108" s="290" t="s">
        <v>1299</v>
      </c>
      <c r="B108" s="290" t="s">
        <v>1298</v>
      </c>
      <c r="C108" s="290" t="s">
        <v>1297</v>
      </c>
      <c r="D108" s="96"/>
      <c r="E108" s="96"/>
      <c r="F108" s="96"/>
      <c r="G108" s="96"/>
    </row>
    <row r="109" spans="1:7" x14ac:dyDescent="0.25">
      <c r="A109" s="290" t="s">
        <v>1296</v>
      </c>
      <c r="B109" s="290" t="s">
        <v>1295</v>
      </c>
      <c r="C109" s="290" t="s">
        <v>1294</v>
      </c>
      <c r="D109" s="96"/>
      <c r="E109" s="96"/>
      <c r="F109" s="96"/>
      <c r="G109" s="96"/>
    </row>
    <row r="110" spans="1:7" x14ac:dyDescent="0.25">
      <c r="A110" s="290" t="s">
        <v>1293</v>
      </c>
      <c r="B110" s="290" t="s">
        <v>1292</v>
      </c>
      <c r="C110" s="290" t="s">
        <v>1291</v>
      </c>
      <c r="D110" s="96"/>
      <c r="E110" s="96"/>
      <c r="F110" s="96"/>
      <c r="G110" s="96"/>
    </row>
    <row r="111" spans="1:7" x14ac:dyDescent="0.25">
      <c r="A111" s="290" t="s">
        <v>1290</v>
      </c>
      <c r="B111" s="290" t="s">
        <v>1289</v>
      </c>
      <c r="C111" s="290" t="s">
        <v>1288</v>
      </c>
      <c r="D111" s="96"/>
      <c r="E111" s="96"/>
      <c r="F111" s="96"/>
      <c r="G111" s="96"/>
    </row>
    <row r="112" spans="1:7" x14ac:dyDescent="0.25">
      <c r="A112" s="290" t="s">
        <v>1287</v>
      </c>
      <c r="B112" s="290" t="s">
        <v>1286</v>
      </c>
      <c r="C112" s="290"/>
      <c r="D112" s="96"/>
      <c r="E112" s="96"/>
      <c r="F112" s="96"/>
      <c r="G112" s="96"/>
    </row>
    <row r="113" spans="1:7" x14ac:dyDescent="0.25">
      <c r="A113" s="290" t="s">
        <v>1285</v>
      </c>
      <c r="B113" s="290" t="s">
        <v>1284</v>
      </c>
      <c r="C113" s="290" t="s">
        <v>1283</v>
      </c>
      <c r="D113" s="96"/>
      <c r="E113" s="96"/>
      <c r="F113" s="96"/>
      <c r="G113" s="96"/>
    </row>
    <row r="114" spans="1:7" x14ac:dyDescent="0.25">
      <c r="A114" s="290" t="s">
        <v>1282</v>
      </c>
      <c r="B114" s="290" t="s">
        <v>1281</v>
      </c>
      <c r="C114" s="290" t="s">
        <v>1280</v>
      </c>
      <c r="D114" s="96"/>
      <c r="E114" s="96"/>
      <c r="F114" s="96"/>
      <c r="G114" s="96"/>
    </row>
    <row r="115" spans="1:7" x14ac:dyDescent="0.25">
      <c r="A115" s="290" t="s">
        <v>1279</v>
      </c>
      <c r="B115" s="290" t="s">
        <v>1278</v>
      </c>
      <c r="C115" s="290" t="s">
        <v>1277</v>
      </c>
      <c r="D115" s="96"/>
      <c r="E115" s="96"/>
      <c r="F115" s="96"/>
      <c r="G115" s="96"/>
    </row>
    <row r="116" spans="1:7" x14ac:dyDescent="0.25">
      <c r="A116" s="290" t="s">
        <v>1276</v>
      </c>
      <c r="B116" s="290" t="s">
        <v>1275</v>
      </c>
      <c r="C116" s="290" t="s">
        <v>1274</v>
      </c>
      <c r="D116" s="96"/>
      <c r="E116" s="96"/>
      <c r="F116" s="96"/>
      <c r="G116" s="96"/>
    </row>
    <row r="117" spans="1:7" x14ac:dyDescent="0.25">
      <c r="A117" s="290" t="s">
        <v>1273</v>
      </c>
      <c r="B117" s="290" t="s">
        <v>1272</v>
      </c>
      <c r="C117" s="290" t="s">
        <v>1271</v>
      </c>
      <c r="D117" s="96"/>
      <c r="E117" s="96"/>
      <c r="F117" s="96"/>
      <c r="G117" s="96"/>
    </row>
    <row r="118" spans="1:7" x14ac:dyDescent="0.25">
      <c r="A118" s="290" t="s">
        <v>1270</v>
      </c>
      <c r="B118" s="290" t="s">
        <v>1269</v>
      </c>
      <c r="C118" s="290" t="s">
        <v>1268</v>
      </c>
      <c r="D118" s="96"/>
      <c r="E118" s="96"/>
      <c r="F118" s="96"/>
      <c r="G118" s="96"/>
    </row>
    <row r="119" spans="1:7" x14ac:dyDescent="0.25">
      <c r="A119" s="290" t="s">
        <v>1267</v>
      </c>
      <c r="B119" s="96" t="s">
        <v>1266</v>
      </c>
      <c r="C119" s="96" t="s">
        <v>1265</v>
      </c>
      <c r="D119" s="96"/>
      <c r="E119" s="96"/>
      <c r="F119" s="96"/>
      <c r="G119" s="96"/>
    </row>
    <row r="120" spans="1:7" x14ac:dyDescent="0.25">
      <c r="A120" s="290" t="s">
        <v>1264</v>
      </c>
      <c r="B120" s="290" t="s">
        <v>1263</v>
      </c>
      <c r="C120" s="290" t="s">
        <v>1262</v>
      </c>
      <c r="D120" s="96"/>
      <c r="E120" s="96"/>
      <c r="F120" s="96"/>
      <c r="G120" s="96"/>
    </row>
    <row r="121" spans="1:7" x14ac:dyDescent="0.25">
      <c r="A121" s="290" t="s">
        <v>1261</v>
      </c>
      <c r="B121" s="290" t="s">
        <v>1260</v>
      </c>
      <c r="C121" s="290" t="s">
        <v>1259</v>
      </c>
      <c r="D121" s="96"/>
      <c r="E121" s="96"/>
      <c r="F121" s="96"/>
      <c r="G121" s="96"/>
    </row>
    <row r="122" spans="1:7" x14ac:dyDescent="0.25">
      <c r="A122" s="290" t="s">
        <v>1258</v>
      </c>
      <c r="B122" s="290" t="s">
        <v>1257</v>
      </c>
      <c r="C122" s="290" t="s">
        <v>1256</v>
      </c>
      <c r="D122" s="96"/>
      <c r="E122" s="96"/>
      <c r="F122" s="96"/>
      <c r="G122" s="96"/>
    </row>
    <row r="123" spans="1:7" x14ac:dyDescent="0.25">
      <c r="A123" s="290" t="s">
        <v>1255</v>
      </c>
      <c r="B123" s="290" t="s">
        <v>1254</v>
      </c>
      <c r="C123" s="290" t="s">
        <v>1253</v>
      </c>
      <c r="D123" s="96"/>
      <c r="E123" s="96"/>
      <c r="F123" s="96"/>
      <c r="G123" s="96"/>
    </row>
    <row r="124" spans="1:7" x14ac:dyDescent="0.25">
      <c r="A124" s="290" t="s">
        <v>1252</v>
      </c>
      <c r="B124" s="290" t="s">
        <v>1251</v>
      </c>
      <c r="C124" s="290" t="s">
        <v>1250</v>
      </c>
      <c r="D124" s="96"/>
      <c r="E124" s="96"/>
      <c r="F124" s="96"/>
      <c r="G124" s="96"/>
    </row>
    <row r="125" spans="1:7" x14ac:dyDescent="0.25">
      <c r="A125" s="290" t="s">
        <v>1249</v>
      </c>
      <c r="B125" s="290" t="s">
        <v>1248</v>
      </c>
      <c r="C125" s="290" t="s">
        <v>1247</v>
      </c>
      <c r="D125" s="96"/>
      <c r="E125" s="96"/>
      <c r="F125" s="96"/>
      <c r="G125" s="96"/>
    </row>
    <row r="126" spans="1:7" x14ac:dyDescent="0.25">
      <c r="A126" s="290" t="s">
        <v>1246</v>
      </c>
      <c r="B126" s="290" t="s">
        <v>1245</v>
      </c>
      <c r="C126" s="290" t="s">
        <v>1244</v>
      </c>
      <c r="D126" s="96"/>
      <c r="E126" s="96"/>
      <c r="F126" s="96"/>
      <c r="G126" s="96"/>
    </row>
    <row r="127" spans="1:7" x14ac:dyDescent="0.25">
      <c r="A127" s="290" t="s">
        <v>1243</v>
      </c>
      <c r="B127" s="290" t="s">
        <v>1242</v>
      </c>
      <c r="C127" s="290" t="s">
        <v>600</v>
      </c>
      <c r="D127" s="96"/>
      <c r="E127" s="96"/>
      <c r="F127" s="96"/>
      <c r="G127" s="96"/>
    </row>
    <row r="128" spans="1:7" x14ac:dyDescent="0.25">
      <c r="A128" s="290" t="s">
        <v>1241</v>
      </c>
      <c r="B128" s="290" t="s">
        <v>1240</v>
      </c>
      <c r="C128" s="290" t="s">
        <v>1239</v>
      </c>
      <c r="D128" s="96"/>
      <c r="E128" s="96"/>
      <c r="F128" s="96"/>
      <c r="G128" s="96"/>
    </row>
    <row r="129" spans="1:7" x14ac:dyDescent="0.25">
      <c r="A129" s="290" t="s">
        <v>1238</v>
      </c>
      <c r="B129" s="290" t="s">
        <v>1237</v>
      </c>
      <c r="C129" s="290" t="s">
        <v>1236</v>
      </c>
      <c r="D129" s="96"/>
      <c r="E129" s="96"/>
      <c r="F129" s="96"/>
      <c r="G129" s="96"/>
    </row>
    <row r="130" spans="1:7" x14ac:dyDescent="0.25">
      <c r="A130" s="290" t="s">
        <v>1235</v>
      </c>
      <c r="B130" s="290" t="s">
        <v>1234</v>
      </c>
      <c r="C130" s="290" t="s">
        <v>1233</v>
      </c>
      <c r="D130" s="96"/>
      <c r="E130" s="96"/>
      <c r="F130" s="96"/>
      <c r="G130" s="96"/>
    </row>
    <row r="131" spans="1:7" x14ac:dyDescent="0.25">
      <c r="A131" s="290" t="s">
        <v>1232</v>
      </c>
      <c r="B131" s="290" t="s">
        <v>1231</v>
      </c>
      <c r="C131" s="290" t="s">
        <v>1230</v>
      </c>
      <c r="D131" s="96"/>
      <c r="E131" s="96"/>
      <c r="F131" s="96"/>
      <c r="G131" s="96"/>
    </row>
    <row r="132" spans="1:7" x14ac:dyDescent="0.25">
      <c r="A132" s="290" t="s">
        <v>1229</v>
      </c>
      <c r="B132" s="290" t="s">
        <v>1228</v>
      </c>
      <c r="C132" s="290" t="s">
        <v>1227</v>
      </c>
      <c r="D132" s="96"/>
      <c r="E132" s="96"/>
      <c r="F132" s="96"/>
      <c r="G132" s="96"/>
    </row>
    <row r="133" spans="1:7" x14ac:dyDescent="0.25">
      <c r="A133" s="290" t="s">
        <v>1226</v>
      </c>
      <c r="B133" s="290" t="s">
        <v>1225</v>
      </c>
      <c r="C133" s="290" t="s">
        <v>1224</v>
      </c>
      <c r="D133" s="96"/>
      <c r="E133" s="96"/>
      <c r="F133" s="96"/>
      <c r="G133" s="96"/>
    </row>
    <row r="134" spans="1:7" x14ac:dyDescent="0.25">
      <c r="A134" s="290" t="s">
        <v>1223</v>
      </c>
      <c r="B134" s="290" t="s">
        <v>1222</v>
      </c>
      <c r="C134" s="290" t="s">
        <v>1221</v>
      </c>
      <c r="D134" s="96"/>
      <c r="E134" s="96"/>
      <c r="F134" s="96"/>
      <c r="G134" s="96"/>
    </row>
    <row r="135" spans="1:7" x14ac:dyDescent="0.25">
      <c r="A135" s="290" t="s">
        <v>1220</v>
      </c>
      <c r="B135" s="290" t="s">
        <v>1219</v>
      </c>
      <c r="C135" s="290" t="s">
        <v>1218</v>
      </c>
      <c r="D135" s="96"/>
      <c r="E135" s="96"/>
      <c r="F135" s="96"/>
      <c r="G135" s="96"/>
    </row>
    <row r="136" spans="1:7" x14ac:dyDescent="0.25">
      <c r="A136" s="290" t="s">
        <v>1217</v>
      </c>
      <c r="B136" s="290" t="s">
        <v>1216</v>
      </c>
      <c r="C136" s="290" t="s">
        <v>1215</v>
      </c>
      <c r="D136" s="96"/>
      <c r="E136" s="96"/>
      <c r="F136" s="96"/>
      <c r="G136" s="96"/>
    </row>
    <row r="137" spans="1:7" x14ac:dyDescent="0.25">
      <c r="A137" s="290" t="s">
        <v>1214</v>
      </c>
      <c r="B137" s="290" t="s">
        <v>1213</v>
      </c>
      <c r="C137" s="290" t="s">
        <v>1212</v>
      </c>
      <c r="D137" s="96"/>
      <c r="E137" s="96"/>
      <c r="F137" s="96"/>
      <c r="G137" s="96"/>
    </row>
    <row r="138" spans="1:7" x14ac:dyDescent="0.25">
      <c r="A138" s="290" t="s">
        <v>1211</v>
      </c>
      <c r="B138" s="290" t="s">
        <v>1210</v>
      </c>
      <c r="C138" s="290" t="s">
        <v>1209</v>
      </c>
      <c r="D138" s="96"/>
      <c r="E138" s="96"/>
      <c r="F138" s="96"/>
      <c r="G138" s="96"/>
    </row>
    <row r="139" spans="1:7" x14ac:dyDescent="0.25">
      <c r="A139" s="290" t="s">
        <v>1208</v>
      </c>
      <c r="B139" s="290" t="s">
        <v>1207</v>
      </c>
      <c r="C139" s="290" t="s">
        <v>1206</v>
      </c>
      <c r="D139" s="96"/>
      <c r="E139" s="96"/>
      <c r="F139" s="96"/>
      <c r="G139" s="96"/>
    </row>
    <row r="140" spans="1:7" x14ac:dyDescent="0.25">
      <c r="A140" s="290" t="s">
        <v>1205</v>
      </c>
      <c r="B140" s="290" t="s">
        <v>1204</v>
      </c>
      <c r="C140" s="290" t="s">
        <v>1203</v>
      </c>
      <c r="D140" s="96"/>
      <c r="E140" s="96"/>
      <c r="F140" s="96"/>
      <c r="G140" s="96"/>
    </row>
    <row r="141" spans="1:7" x14ac:dyDescent="0.25">
      <c r="A141" s="290" t="s">
        <v>1202</v>
      </c>
      <c r="B141" s="290" t="s">
        <v>1201</v>
      </c>
      <c r="C141" s="290" t="s">
        <v>873</v>
      </c>
      <c r="D141" s="96"/>
      <c r="E141" s="96"/>
      <c r="F141" s="96"/>
      <c r="G141" s="96"/>
    </row>
    <row r="142" spans="1:7" x14ac:dyDescent="0.25">
      <c r="A142" s="290" t="s">
        <v>1200</v>
      </c>
      <c r="B142" s="290" t="s">
        <v>1199</v>
      </c>
      <c r="C142" s="290" t="s">
        <v>1198</v>
      </c>
      <c r="D142" s="96"/>
      <c r="E142" s="96"/>
      <c r="F142" s="96"/>
      <c r="G142" s="96"/>
    </row>
    <row r="143" spans="1:7" x14ac:dyDescent="0.25">
      <c r="A143" s="290" t="s">
        <v>1197</v>
      </c>
      <c r="B143" s="96" t="s">
        <v>1196</v>
      </c>
      <c r="C143" s="96" t="s">
        <v>1195</v>
      </c>
      <c r="D143" s="96"/>
      <c r="E143" s="96"/>
      <c r="F143" s="96"/>
      <c r="G143" s="96"/>
    </row>
    <row r="144" spans="1:7" x14ac:dyDescent="0.25">
      <c r="A144" s="290" t="s">
        <v>1194</v>
      </c>
      <c r="B144" s="290" t="s">
        <v>1193</v>
      </c>
      <c r="C144" s="290" t="s">
        <v>1192</v>
      </c>
      <c r="D144" s="96"/>
      <c r="E144" s="96"/>
      <c r="F144" s="96"/>
      <c r="G144" s="96"/>
    </row>
    <row r="145" spans="1:7" x14ac:dyDescent="0.25">
      <c r="A145" s="290" t="s">
        <v>1191</v>
      </c>
      <c r="B145" s="290" t="s">
        <v>1190</v>
      </c>
      <c r="C145" s="290" t="s">
        <v>1189</v>
      </c>
      <c r="D145" s="96"/>
      <c r="E145" s="96"/>
      <c r="F145" s="96"/>
      <c r="G145" s="96"/>
    </row>
    <row r="146" spans="1:7" x14ac:dyDescent="0.25">
      <c r="A146" s="290" t="s">
        <v>1188</v>
      </c>
      <c r="B146" s="290" t="s">
        <v>1187</v>
      </c>
      <c r="C146" s="290" t="s">
        <v>1186</v>
      </c>
      <c r="D146" s="96"/>
      <c r="E146" s="96"/>
      <c r="F146" s="96"/>
      <c r="G146" s="96"/>
    </row>
    <row r="147" spans="1:7" x14ac:dyDescent="0.25">
      <c r="A147" s="290" t="s">
        <v>1185</v>
      </c>
      <c r="B147" s="290" t="s">
        <v>1184</v>
      </c>
      <c r="C147" s="290" t="s">
        <v>1183</v>
      </c>
      <c r="D147" s="96"/>
      <c r="E147" s="96"/>
      <c r="F147" s="96"/>
      <c r="G147" s="96"/>
    </row>
    <row r="148" spans="1:7" x14ac:dyDescent="0.25">
      <c r="A148" s="290" t="s">
        <v>1182</v>
      </c>
      <c r="B148" s="290" t="s">
        <v>1181</v>
      </c>
      <c r="C148" s="290" t="s">
        <v>1180</v>
      </c>
      <c r="D148" s="96"/>
      <c r="E148" s="96"/>
      <c r="F148" s="96"/>
      <c r="G148" s="96"/>
    </row>
    <row r="149" spans="1:7" x14ac:dyDescent="0.25">
      <c r="A149" s="290" t="s">
        <v>1179</v>
      </c>
      <c r="B149" s="290" t="s">
        <v>1178</v>
      </c>
      <c r="C149" s="290" t="s">
        <v>1177</v>
      </c>
      <c r="D149" s="96"/>
      <c r="E149" s="96"/>
      <c r="F149" s="96"/>
      <c r="G149" s="96"/>
    </row>
    <row r="150" spans="1:7" x14ac:dyDescent="0.25">
      <c r="A150" s="290" t="s">
        <v>1176</v>
      </c>
      <c r="B150" s="290" t="s">
        <v>1175</v>
      </c>
      <c r="C150" s="290" t="s">
        <v>1174</v>
      </c>
      <c r="D150" s="96"/>
      <c r="E150" s="96"/>
      <c r="F150" s="96"/>
      <c r="G150" s="96"/>
    </row>
    <row r="151" spans="1:7" x14ac:dyDescent="0.25">
      <c r="A151" s="290" t="s">
        <v>1173</v>
      </c>
      <c r="B151" s="290" t="s">
        <v>1172</v>
      </c>
      <c r="C151" s="290" t="s">
        <v>1171</v>
      </c>
      <c r="D151" s="96"/>
      <c r="E151" s="96"/>
      <c r="F151" s="96"/>
      <c r="G151" s="96"/>
    </row>
    <row r="152" spans="1:7" x14ac:dyDescent="0.25">
      <c r="A152" s="290" t="s">
        <v>1170</v>
      </c>
      <c r="B152" s="290" t="s">
        <v>1169</v>
      </c>
      <c r="C152" s="290" t="s">
        <v>1168</v>
      </c>
      <c r="D152" s="96"/>
      <c r="E152" s="96"/>
      <c r="F152" s="96"/>
      <c r="G152" s="96"/>
    </row>
    <row r="153" spans="1:7" x14ac:dyDescent="0.25">
      <c r="A153" s="290" t="s">
        <v>1167</v>
      </c>
      <c r="B153" s="290" t="s">
        <v>1166</v>
      </c>
      <c r="C153" s="290" t="s">
        <v>1165</v>
      </c>
      <c r="D153" s="96"/>
      <c r="E153" s="96"/>
      <c r="F153" s="96"/>
      <c r="G153" s="96"/>
    </row>
    <row r="154" spans="1:7" x14ac:dyDescent="0.25">
      <c r="A154" s="290" t="s">
        <v>1164</v>
      </c>
      <c r="B154" s="290" t="s">
        <v>1163</v>
      </c>
      <c r="C154" s="290" t="s">
        <v>1162</v>
      </c>
      <c r="D154" s="96"/>
      <c r="E154" s="96"/>
      <c r="F154" s="96"/>
      <c r="G154" s="96"/>
    </row>
    <row r="155" spans="1:7" x14ac:dyDescent="0.25">
      <c r="A155" s="290" t="s">
        <v>1161</v>
      </c>
      <c r="B155" s="290" t="s">
        <v>1160</v>
      </c>
      <c r="C155" s="290" t="s">
        <v>491</v>
      </c>
      <c r="D155" s="96"/>
      <c r="E155" s="96"/>
      <c r="F155" s="96"/>
      <c r="G155" s="96"/>
    </row>
    <row r="156" spans="1:7" x14ac:dyDescent="0.25">
      <c r="A156" s="290" t="s">
        <v>1159</v>
      </c>
      <c r="B156" s="290" t="s">
        <v>1158</v>
      </c>
      <c r="C156" s="290" t="s">
        <v>1157</v>
      </c>
      <c r="D156" s="96"/>
      <c r="E156" s="96"/>
      <c r="F156" s="96"/>
      <c r="G156" s="96"/>
    </row>
    <row r="157" spans="1:7" x14ac:dyDescent="0.25">
      <c r="A157" s="290" t="s">
        <v>1156</v>
      </c>
      <c r="B157" s="290" t="s">
        <v>1155</v>
      </c>
      <c r="C157" s="290" t="s">
        <v>1154</v>
      </c>
      <c r="D157" s="96"/>
      <c r="E157" s="96"/>
      <c r="F157" s="96"/>
      <c r="G157" s="96"/>
    </row>
    <row r="158" spans="1:7" x14ac:dyDescent="0.25">
      <c r="A158" s="290" t="s">
        <v>1153</v>
      </c>
      <c r="B158" s="290" t="s">
        <v>1152</v>
      </c>
      <c r="C158" s="290" t="s">
        <v>1151</v>
      </c>
      <c r="D158" s="96"/>
      <c r="E158" s="96"/>
      <c r="F158" s="96"/>
      <c r="G158" s="96"/>
    </row>
    <row r="159" spans="1:7" x14ac:dyDescent="0.25">
      <c r="A159" s="290" t="s">
        <v>1150</v>
      </c>
      <c r="B159" s="290" t="s">
        <v>1149</v>
      </c>
      <c r="C159" s="290" t="s">
        <v>1148</v>
      </c>
      <c r="D159" s="96"/>
      <c r="E159" s="96"/>
      <c r="F159" s="96"/>
      <c r="G159" s="96"/>
    </row>
    <row r="160" spans="1:7" x14ac:dyDescent="0.25">
      <c r="A160" s="290" t="s">
        <v>1147</v>
      </c>
      <c r="B160" s="290" t="s">
        <v>1146</v>
      </c>
      <c r="C160" s="290" t="s">
        <v>1145</v>
      </c>
      <c r="D160" s="96"/>
      <c r="E160" s="96"/>
      <c r="F160" s="96"/>
      <c r="G160" s="96"/>
    </row>
    <row r="161" spans="1:7" x14ac:dyDescent="0.25">
      <c r="A161" s="290" t="s">
        <v>1144</v>
      </c>
      <c r="B161" s="290" t="s">
        <v>1143</v>
      </c>
      <c r="C161" s="290" t="s">
        <v>1142</v>
      </c>
      <c r="D161" s="96"/>
      <c r="E161" s="96"/>
      <c r="F161" s="96"/>
      <c r="G161" s="96"/>
    </row>
    <row r="162" spans="1:7" x14ac:dyDescent="0.25">
      <c r="A162" s="290" t="s">
        <v>1141</v>
      </c>
      <c r="B162" s="290" t="s">
        <v>1140</v>
      </c>
      <c r="C162" s="290" t="s">
        <v>1139</v>
      </c>
      <c r="D162" s="96"/>
      <c r="E162" s="96"/>
      <c r="F162" s="96"/>
      <c r="G162" s="96"/>
    </row>
    <row r="163" spans="1:7" x14ac:dyDescent="0.25">
      <c r="A163" s="290" t="s">
        <v>1138</v>
      </c>
      <c r="B163" s="290" t="s">
        <v>1137</v>
      </c>
      <c r="C163" s="290" t="s">
        <v>1136</v>
      </c>
      <c r="D163" s="96"/>
      <c r="E163" s="96"/>
      <c r="F163" s="96"/>
      <c r="G163" s="96"/>
    </row>
    <row r="164" spans="1:7" x14ac:dyDescent="0.25">
      <c r="A164" s="290" t="s">
        <v>1135</v>
      </c>
      <c r="B164" s="290" t="s">
        <v>1134</v>
      </c>
      <c r="C164" s="290" t="s">
        <v>1133</v>
      </c>
      <c r="D164" s="96"/>
      <c r="E164" s="96"/>
      <c r="F164" s="96"/>
      <c r="G164" s="96"/>
    </row>
    <row r="165" spans="1:7" x14ac:dyDescent="0.25">
      <c r="A165" s="290" t="s">
        <v>1132</v>
      </c>
      <c r="B165" s="290" t="s">
        <v>1131</v>
      </c>
      <c r="C165" s="290" t="s">
        <v>1130</v>
      </c>
      <c r="D165" s="96"/>
      <c r="E165" s="96"/>
      <c r="F165" s="96"/>
      <c r="G165" s="96"/>
    </row>
    <row r="166" spans="1:7" x14ac:dyDescent="0.25">
      <c r="A166" s="290" t="s">
        <v>1129</v>
      </c>
      <c r="B166" s="290" t="s">
        <v>1128</v>
      </c>
      <c r="C166" s="290" t="s">
        <v>1127</v>
      </c>
      <c r="D166" s="96"/>
      <c r="E166" s="96"/>
      <c r="F166" s="96"/>
      <c r="G166" s="96"/>
    </row>
    <row r="167" spans="1:7" x14ac:dyDescent="0.25">
      <c r="A167" s="290" t="s">
        <v>1126</v>
      </c>
      <c r="B167" s="290" t="s">
        <v>1125</v>
      </c>
      <c r="C167" s="290" t="s">
        <v>1124</v>
      </c>
      <c r="D167" s="96"/>
      <c r="E167" s="96"/>
      <c r="F167" s="96"/>
      <c r="G167" s="96"/>
    </row>
    <row r="168" spans="1:7" x14ac:dyDescent="0.25">
      <c r="A168" s="290" t="s">
        <v>1123</v>
      </c>
      <c r="B168" s="290" t="s">
        <v>1122</v>
      </c>
      <c r="C168" s="290" t="s">
        <v>1121</v>
      </c>
      <c r="D168" s="96"/>
      <c r="E168" s="96"/>
      <c r="F168" s="96"/>
      <c r="G168" s="96"/>
    </row>
    <row r="169" spans="1:7" x14ac:dyDescent="0.25">
      <c r="A169" s="290" t="s">
        <v>1120</v>
      </c>
      <c r="B169" s="290" t="s">
        <v>1119</v>
      </c>
      <c r="C169" s="290" t="s">
        <v>491</v>
      </c>
      <c r="D169" s="96"/>
      <c r="E169" s="96"/>
      <c r="F169" s="96"/>
      <c r="G169" s="96"/>
    </row>
    <row r="170" spans="1:7" x14ac:dyDescent="0.25">
      <c r="A170" s="290" t="s">
        <v>1118</v>
      </c>
      <c r="B170" s="290" t="s">
        <v>1117</v>
      </c>
      <c r="C170" s="290" t="s">
        <v>1116</v>
      </c>
      <c r="D170" s="96"/>
      <c r="E170" s="96"/>
      <c r="F170" s="96"/>
      <c r="G170" s="96"/>
    </row>
    <row r="171" spans="1:7" x14ac:dyDescent="0.25">
      <c r="A171" s="290" t="s">
        <v>1115</v>
      </c>
      <c r="B171" s="290" t="s">
        <v>1114</v>
      </c>
      <c r="C171" s="290" t="s">
        <v>1113</v>
      </c>
      <c r="D171" s="96"/>
      <c r="E171" s="96"/>
      <c r="F171" s="96"/>
      <c r="G171" s="96"/>
    </row>
    <row r="172" spans="1:7" x14ac:dyDescent="0.25">
      <c r="A172" s="290" t="s">
        <v>1112</v>
      </c>
      <c r="B172" s="290" t="s">
        <v>1111</v>
      </c>
      <c r="C172" s="290" t="s">
        <v>1110</v>
      </c>
      <c r="D172" s="96"/>
      <c r="E172" s="96"/>
      <c r="F172" s="96"/>
      <c r="G172" s="96"/>
    </row>
    <row r="173" spans="1:7" x14ac:dyDescent="0.25">
      <c r="A173" s="290" t="s">
        <v>1109</v>
      </c>
      <c r="B173" s="290" t="s">
        <v>1108</v>
      </c>
      <c r="C173" s="290" t="s">
        <v>1107</v>
      </c>
      <c r="D173" s="96"/>
      <c r="E173" s="96"/>
      <c r="F173" s="96"/>
      <c r="G173" s="96"/>
    </row>
    <row r="174" spans="1:7" x14ac:dyDescent="0.25">
      <c r="A174" s="290" t="s">
        <v>1106</v>
      </c>
      <c r="B174" s="290" t="s">
        <v>1105</v>
      </c>
      <c r="C174" s="290" t="s">
        <v>1104</v>
      </c>
      <c r="D174" s="96"/>
      <c r="E174" s="96"/>
      <c r="F174" s="96"/>
      <c r="G174" s="96"/>
    </row>
    <row r="175" spans="1:7" x14ac:dyDescent="0.25">
      <c r="A175" s="290" t="s">
        <v>1103</v>
      </c>
      <c r="B175" s="290" t="s">
        <v>1102</v>
      </c>
      <c r="C175" s="290" t="s">
        <v>1101</v>
      </c>
      <c r="D175" s="96"/>
      <c r="E175" s="96"/>
      <c r="F175" s="96"/>
      <c r="G175" s="96"/>
    </row>
    <row r="176" spans="1:7" x14ac:dyDescent="0.25">
      <c r="A176" s="290" t="s">
        <v>1100</v>
      </c>
      <c r="B176" s="290" t="s">
        <v>1099</v>
      </c>
      <c r="C176" s="290" t="s">
        <v>1098</v>
      </c>
      <c r="D176" s="96"/>
      <c r="E176" s="96"/>
      <c r="F176" s="96"/>
      <c r="G176" s="96"/>
    </row>
    <row r="177" spans="1:8" x14ac:dyDescent="0.25">
      <c r="A177" s="290" t="s">
        <v>1097</v>
      </c>
      <c r="B177" s="290" t="s">
        <v>1096</v>
      </c>
      <c r="C177" s="290" t="s">
        <v>1095</v>
      </c>
      <c r="D177" s="96"/>
      <c r="E177" s="96"/>
      <c r="F177" s="96"/>
      <c r="G177" s="96"/>
    </row>
    <row r="178" spans="1:8" x14ac:dyDescent="0.25">
      <c r="A178" s="291"/>
      <c r="B178" s="290" t="s">
        <v>1094</v>
      </c>
      <c r="C178" s="290" t="s">
        <v>1093</v>
      </c>
      <c r="D178" s="96"/>
      <c r="E178" s="96"/>
      <c r="F178" s="96"/>
      <c r="G178" s="96"/>
    </row>
    <row r="179" spans="1:8" x14ac:dyDescent="0.25">
      <c r="A179" s="290" t="s">
        <v>1092</v>
      </c>
      <c r="B179" s="290" t="s">
        <v>1091</v>
      </c>
      <c r="C179" s="290" t="s">
        <v>1090</v>
      </c>
      <c r="D179" s="96"/>
      <c r="E179" s="96"/>
      <c r="F179" s="96"/>
      <c r="G179" s="96"/>
    </row>
    <row r="180" spans="1:8" x14ac:dyDescent="0.25">
      <c r="A180" s="290" t="s">
        <v>1089</v>
      </c>
      <c r="B180" s="290" t="s">
        <v>1088</v>
      </c>
      <c r="C180" s="290" t="s">
        <v>1087</v>
      </c>
      <c r="D180" s="96"/>
      <c r="E180" s="96"/>
      <c r="F180" s="96"/>
      <c r="G180" s="96"/>
    </row>
    <row r="181" spans="1:8" x14ac:dyDescent="0.25">
      <c r="A181" s="290" t="s">
        <v>1086</v>
      </c>
      <c r="B181" s="290" t="s">
        <v>1085</v>
      </c>
      <c r="C181" s="290" t="s">
        <v>1084</v>
      </c>
      <c r="D181" s="96"/>
      <c r="E181" s="96"/>
      <c r="F181" s="96"/>
      <c r="G181" s="96"/>
    </row>
    <row r="182" spans="1:8" x14ac:dyDescent="0.25">
      <c r="A182" s="290" t="s">
        <v>1083</v>
      </c>
      <c r="B182" s="290" t="s">
        <v>1082</v>
      </c>
      <c r="C182" s="290" t="s">
        <v>1081</v>
      </c>
      <c r="D182" s="96"/>
      <c r="E182" s="96"/>
      <c r="F182" s="96"/>
      <c r="G182" s="96"/>
    </row>
    <row r="183" spans="1:8" x14ac:dyDescent="0.25">
      <c r="A183" s="290" t="s">
        <v>1080</v>
      </c>
      <c r="B183" s="290" t="s">
        <v>1079</v>
      </c>
      <c r="C183" s="290" t="s">
        <v>1078</v>
      </c>
      <c r="D183" s="96"/>
      <c r="E183" s="96"/>
      <c r="F183" s="96"/>
      <c r="G183" s="96"/>
    </row>
    <row r="184" spans="1:8" x14ac:dyDescent="0.25">
      <c r="A184" s="290" t="s">
        <v>1077</v>
      </c>
      <c r="B184" s="290" t="s">
        <v>1076</v>
      </c>
      <c r="C184" s="290" t="s">
        <v>1075</v>
      </c>
      <c r="D184" s="96"/>
      <c r="E184" s="96"/>
      <c r="F184" s="96"/>
      <c r="G184" s="96"/>
    </row>
    <row r="185" spans="1:8" x14ac:dyDescent="0.25">
      <c r="A185" s="290" t="s">
        <v>1074</v>
      </c>
      <c r="B185" s="290" t="s">
        <v>1073</v>
      </c>
      <c r="C185" s="290" t="s">
        <v>1072</v>
      </c>
      <c r="D185" s="96"/>
      <c r="E185" s="96"/>
      <c r="F185" s="96"/>
      <c r="G185" s="96"/>
    </row>
    <row r="186" spans="1:8" x14ac:dyDescent="0.25">
      <c r="A186" s="290" t="s">
        <v>1071</v>
      </c>
      <c r="B186" s="290" t="s">
        <v>1070</v>
      </c>
      <c r="C186" s="290" t="s">
        <v>1069</v>
      </c>
      <c r="D186" s="96"/>
      <c r="E186" s="96"/>
      <c r="F186" s="96"/>
      <c r="G186" s="96"/>
    </row>
    <row r="187" spans="1:8" x14ac:dyDescent="0.25">
      <c r="A187" s="290" t="s">
        <v>1068</v>
      </c>
      <c r="B187" s="290" t="s">
        <v>1067</v>
      </c>
      <c r="C187" s="290" t="s">
        <v>1066</v>
      </c>
      <c r="D187" s="96"/>
      <c r="E187" s="96"/>
      <c r="F187" s="96"/>
      <c r="G187" s="96"/>
    </row>
    <row r="188" spans="1:8" x14ac:dyDescent="0.25">
      <c r="A188" s="290" t="s">
        <v>1065</v>
      </c>
      <c r="B188" s="290" t="s">
        <v>1064</v>
      </c>
      <c r="C188" s="290" t="s">
        <v>672</v>
      </c>
      <c r="D188" s="96"/>
      <c r="E188" s="96"/>
      <c r="F188" s="96"/>
      <c r="G188" s="96"/>
    </row>
    <row r="189" spans="1:8" x14ac:dyDescent="0.25">
      <c r="A189" s="290" t="s">
        <v>1063</v>
      </c>
      <c r="B189" s="290" t="s">
        <v>1062</v>
      </c>
      <c r="C189" s="290" t="s">
        <v>1061</v>
      </c>
      <c r="D189" s="96"/>
      <c r="E189" s="96"/>
      <c r="F189" s="96"/>
      <c r="G189" s="96"/>
    </row>
    <row r="190" spans="1:8" x14ac:dyDescent="0.25">
      <c r="A190" s="290" t="s">
        <v>1060</v>
      </c>
      <c r="B190" s="290" t="s">
        <v>1059</v>
      </c>
      <c r="C190" s="290" t="s">
        <v>1058</v>
      </c>
      <c r="D190" s="96"/>
      <c r="E190" s="96"/>
      <c r="F190" s="96"/>
      <c r="G190" s="96"/>
    </row>
    <row r="191" spans="1:8" x14ac:dyDescent="0.25">
      <c r="A191" s="290" t="s">
        <v>1057</v>
      </c>
      <c r="B191" s="290" t="s">
        <v>1056</v>
      </c>
      <c r="C191" s="290" t="s">
        <v>1055</v>
      </c>
      <c r="D191" s="96"/>
      <c r="E191" s="96"/>
      <c r="F191" s="96"/>
      <c r="G191" s="96"/>
    </row>
    <row r="192" spans="1:8" x14ac:dyDescent="0.25">
      <c r="A192" s="290" t="s">
        <v>1054</v>
      </c>
      <c r="B192" s="290" t="s">
        <v>1053</v>
      </c>
      <c r="C192" s="290" t="s">
        <v>1052</v>
      </c>
      <c r="D192" s="96"/>
      <c r="E192" s="96"/>
      <c r="F192" s="96"/>
      <c r="G192" s="96"/>
      <c r="H192" s="96"/>
    </row>
    <row r="193" spans="1:8" x14ac:dyDescent="0.25">
      <c r="A193" s="290" t="s">
        <v>1051</v>
      </c>
      <c r="B193" s="291" t="s">
        <v>1050</v>
      </c>
      <c r="C193" s="296" t="s">
        <v>1047</v>
      </c>
      <c r="D193" s="96"/>
      <c r="E193" s="96"/>
      <c r="F193" s="96"/>
      <c r="G193" s="96"/>
      <c r="H193" s="96"/>
    </row>
    <row r="194" spans="1:8" x14ac:dyDescent="0.25">
      <c r="A194" s="290" t="s">
        <v>1049</v>
      </c>
      <c r="B194" s="290" t="s">
        <v>1048</v>
      </c>
      <c r="C194" s="290" t="s">
        <v>1047</v>
      </c>
      <c r="D194" s="96"/>
      <c r="E194" s="96"/>
      <c r="F194" s="96"/>
      <c r="G194" s="96"/>
      <c r="H194" s="96"/>
    </row>
    <row r="195" spans="1:8" x14ac:dyDescent="0.25">
      <c r="A195" s="290" t="s">
        <v>1046</v>
      </c>
      <c r="B195" s="290" t="s">
        <v>1045</v>
      </c>
      <c r="C195" s="290" t="s">
        <v>1044</v>
      </c>
      <c r="D195" s="96"/>
      <c r="E195" s="96"/>
      <c r="F195" s="96"/>
      <c r="G195" s="96"/>
      <c r="H195" s="96"/>
    </row>
    <row r="196" spans="1:8" x14ac:dyDescent="0.25">
      <c r="A196" s="290" t="s">
        <v>1043</v>
      </c>
      <c r="B196" s="290" t="s">
        <v>1042</v>
      </c>
      <c r="C196" s="290" t="s">
        <v>1041</v>
      </c>
      <c r="D196" s="96"/>
      <c r="E196" s="96"/>
      <c r="F196" s="96"/>
      <c r="G196" s="96"/>
      <c r="H196" s="96"/>
    </row>
    <row r="197" spans="1:8" x14ac:dyDescent="0.25">
      <c r="A197" s="290" t="s">
        <v>1040</v>
      </c>
      <c r="B197" s="290" t="s">
        <v>1039</v>
      </c>
      <c r="C197" s="290" t="s">
        <v>1038</v>
      </c>
      <c r="D197" s="96"/>
      <c r="E197" s="96"/>
      <c r="F197" s="96"/>
      <c r="G197" s="96"/>
      <c r="H197" s="96"/>
    </row>
    <row r="198" spans="1:8" x14ac:dyDescent="0.25">
      <c r="A198" s="290" t="s">
        <v>1037</v>
      </c>
      <c r="B198" s="290" t="s">
        <v>1036</v>
      </c>
      <c r="C198" s="290" t="s">
        <v>1035</v>
      </c>
      <c r="D198" s="96"/>
      <c r="E198" s="96"/>
      <c r="F198" s="96"/>
      <c r="G198" s="96"/>
      <c r="H198" s="96"/>
    </row>
    <row r="199" spans="1:8" x14ac:dyDescent="0.25">
      <c r="A199" s="290" t="s">
        <v>1034</v>
      </c>
      <c r="B199" s="290" t="s">
        <v>1033</v>
      </c>
      <c r="C199" s="290" t="s">
        <v>1032</v>
      </c>
      <c r="D199" s="96"/>
      <c r="E199" s="96"/>
      <c r="F199" s="96"/>
      <c r="G199" s="96"/>
      <c r="H199" s="96"/>
    </row>
    <row r="200" spans="1:8" x14ac:dyDescent="0.25">
      <c r="A200" s="290" t="s">
        <v>1031</v>
      </c>
      <c r="B200" s="290" t="s">
        <v>1030</v>
      </c>
      <c r="C200" s="290" t="s">
        <v>1029</v>
      </c>
      <c r="D200" s="96"/>
      <c r="E200" s="96"/>
      <c r="F200" s="96"/>
      <c r="G200" s="96"/>
      <c r="H200" s="96"/>
    </row>
    <row r="201" spans="1:8" x14ac:dyDescent="0.25">
      <c r="A201" s="290" t="s">
        <v>1028</v>
      </c>
      <c r="B201" s="290" t="s">
        <v>1027</v>
      </c>
      <c r="C201" s="290" t="s">
        <v>491</v>
      </c>
      <c r="D201" s="96"/>
      <c r="E201" s="96"/>
      <c r="F201" s="96"/>
      <c r="G201" s="96"/>
      <c r="H201" s="96"/>
    </row>
    <row r="202" spans="1:8" x14ac:dyDescent="0.25">
      <c r="A202" s="290" t="s">
        <v>1026</v>
      </c>
      <c r="B202" s="290" t="s">
        <v>1025</v>
      </c>
      <c r="C202" s="290" t="s">
        <v>1024</v>
      </c>
      <c r="D202" s="96"/>
      <c r="E202" s="96"/>
      <c r="F202" s="96"/>
      <c r="G202" s="96"/>
      <c r="H202" s="96"/>
    </row>
    <row r="203" spans="1:8" x14ac:dyDescent="0.25">
      <c r="A203" s="290" t="s">
        <v>1023</v>
      </c>
      <c r="B203" s="290" t="s">
        <v>1022</v>
      </c>
      <c r="C203" s="290" t="s">
        <v>1021</v>
      </c>
      <c r="D203" s="96"/>
      <c r="E203" s="96"/>
      <c r="F203" s="96"/>
      <c r="G203" s="96"/>
      <c r="H203" s="96"/>
    </row>
    <row r="204" spans="1:8" x14ac:dyDescent="0.25">
      <c r="A204" s="290" t="s">
        <v>1020</v>
      </c>
      <c r="B204" s="290" t="s">
        <v>1019</v>
      </c>
      <c r="C204" s="290" t="s">
        <v>1018</v>
      </c>
      <c r="D204" s="96"/>
      <c r="E204" s="96"/>
      <c r="F204" s="96"/>
      <c r="G204" s="96"/>
      <c r="H204" s="96"/>
    </row>
    <row r="205" spans="1:8" x14ac:dyDescent="0.25">
      <c r="A205" s="290" t="s">
        <v>1017</v>
      </c>
      <c r="B205" s="290" t="s">
        <v>1016</v>
      </c>
      <c r="C205" s="290" t="s">
        <v>1015</v>
      </c>
      <c r="D205" s="96"/>
      <c r="E205" s="96"/>
      <c r="F205" s="96"/>
      <c r="G205" s="96"/>
      <c r="H205" s="96"/>
    </row>
    <row r="206" spans="1:8" x14ac:dyDescent="0.25">
      <c r="A206" s="290" t="s">
        <v>1014</v>
      </c>
      <c r="B206" s="290" t="s">
        <v>1013</v>
      </c>
      <c r="C206" s="290" t="s">
        <v>1012</v>
      </c>
      <c r="D206" s="96"/>
      <c r="E206" s="96"/>
      <c r="F206" s="96"/>
      <c r="G206" s="96"/>
      <c r="H206" s="96"/>
    </row>
    <row r="207" spans="1:8" x14ac:dyDescent="0.25">
      <c r="A207" s="291"/>
      <c r="B207" s="290" t="s">
        <v>1011</v>
      </c>
      <c r="C207" s="290" t="s">
        <v>1010</v>
      </c>
      <c r="D207" s="96"/>
      <c r="E207" s="96"/>
      <c r="F207" s="96"/>
      <c r="G207" s="96"/>
      <c r="H207" s="96"/>
    </row>
    <row r="208" spans="1:8" x14ac:dyDescent="0.25">
      <c r="A208" s="291"/>
      <c r="B208" s="290" t="s">
        <v>1009</v>
      </c>
      <c r="C208" s="290" t="s">
        <v>1008</v>
      </c>
      <c r="D208" s="96"/>
      <c r="E208" s="96"/>
      <c r="F208" s="96"/>
      <c r="G208" s="96"/>
      <c r="H208" s="96"/>
    </row>
    <row r="209" spans="1:8" x14ac:dyDescent="0.25">
      <c r="A209" s="290" t="s">
        <v>1007</v>
      </c>
      <c r="B209" s="290" t="s">
        <v>1006</v>
      </c>
      <c r="C209" s="290" t="s">
        <v>1005</v>
      </c>
      <c r="D209" s="96"/>
      <c r="E209" s="96"/>
      <c r="F209" s="96"/>
      <c r="G209" s="96"/>
      <c r="H209" s="96"/>
    </row>
    <row r="210" spans="1:8" x14ac:dyDescent="0.25">
      <c r="A210" s="290" t="s">
        <v>1004</v>
      </c>
      <c r="B210" s="290" t="s">
        <v>1003</v>
      </c>
      <c r="C210" s="290" t="s">
        <v>1002</v>
      </c>
      <c r="D210" s="96"/>
      <c r="E210" s="96"/>
      <c r="F210" s="96"/>
      <c r="G210" s="96"/>
      <c r="H210" s="96"/>
    </row>
    <row r="211" spans="1:8" x14ac:dyDescent="0.25">
      <c r="A211" s="290" t="s">
        <v>1001</v>
      </c>
      <c r="B211" s="290" t="s">
        <v>1000</v>
      </c>
      <c r="C211" s="290" t="s">
        <v>999</v>
      </c>
      <c r="D211" s="96"/>
      <c r="E211" s="96"/>
      <c r="F211" s="96"/>
      <c r="G211" s="96"/>
      <c r="H211" s="96"/>
    </row>
    <row r="212" spans="1:8" x14ac:dyDescent="0.25">
      <c r="A212" s="290" t="s">
        <v>998</v>
      </c>
      <c r="B212" s="290" t="s">
        <v>997</v>
      </c>
      <c r="C212" s="290" t="s">
        <v>996</v>
      </c>
      <c r="D212" s="96"/>
      <c r="E212" s="96"/>
      <c r="F212" s="96"/>
      <c r="G212" s="96"/>
      <c r="H212" s="96"/>
    </row>
    <row r="213" spans="1:8" x14ac:dyDescent="0.25">
      <c r="A213" s="290" t="s">
        <v>995</v>
      </c>
      <c r="B213" s="290" t="s">
        <v>994</v>
      </c>
      <c r="C213" s="290" t="s">
        <v>993</v>
      </c>
      <c r="D213" s="96"/>
      <c r="E213" s="96"/>
      <c r="F213" s="96"/>
      <c r="G213" s="96"/>
      <c r="H213" s="96"/>
    </row>
    <row r="214" spans="1:8" x14ac:dyDescent="0.25">
      <c r="A214" s="290" t="s">
        <v>992</v>
      </c>
      <c r="B214" s="290" t="s">
        <v>991</v>
      </c>
      <c r="C214" s="290" t="s">
        <v>990</v>
      </c>
      <c r="D214" s="96"/>
      <c r="E214" s="96"/>
      <c r="F214" s="96"/>
      <c r="G214" s="96"/>
      <c r="H214" s="96"/>
    </row>
    <row r="215" spans="1:8" x14ac:dyDescent="0.25">
      <c r="A215" s="290" t="s">
        <v>989</v>
      </c>
      <c r="B215" s="290" t="s">
        <v>988</v>
      </c>
      <c r="C215" s="290" t="s">
        <v>987</v>
      </c>
      <c r="D215" s="96"/>
      <c r="E215" s="96"/>
      <c r="F215" s="96"/>
      <c r="G215" s="96"/>
      <c r="H215" s="96"/>
    </row>
    <row r="216" spans="1:8" x14ac:dyDescent="0.25">
      <c r="A216" s="290" t="s">
        <v>986</v>
      </c>
      <c r="B216" s="290" t="s">
        <v>985</v>
      </c>
      <c r="C216" s="290" t="s">
        <v>984</v>
      </c>
      <c r="D216" s="96"/>
      <c r="E216" s="96"/>
      <c r="F216" s="96"/>
      <c r="G216" s="96"/>
      <c r="H216" s="96"/>
    </row>
    <row r="217" spans="1:8" x14ac:dyDescent="0.25">
      <c r="A217" s="290" t="s">
        <v>983</v>
      </c>
      <c r="B217" s="290" t="s">
        <v>982</v>
      </c>
      <c r="C217" s="290" t="s">
        <v>981</v>
      </c>
      <c r="D217" s="96"/>
      <c r="E217" s="96"/>
      <c r="F217" s="96"/>
      <c r="G217" s="96"/>
      <c r="H217" s="96"/>
    </row>
    <row r="218" spans="1:8" x14ac:dyDescent="0.25">
      <c r="A218" s="290" t="s">
        <v>980</v>
      </c>
      <c r="B218" s="290" t="s">
        <v>979</v>
      </c>
      <c r="C218" s="290" t="s">
        <v>978</v>
      </c>
      <c r="D218" s="96"/>
      <c r="E218" s="96"/>
      <c r="F218" s="96"/>
      <c r="G218" s="96"/>
      <c r="H218" s="96"/>
    </row>
    <row r="219" spans="1:8" x14ac:dyDescent="0.25">
      <c r="A219" s="290" t="s">
        <v>977</v>
      </c>
      <c r="B219" s="290" t="s">
        <v>976</v>
      </c>
      <c r="C219" s="290" t="s">
        <v>975</v>
      </c>
      <c r="D219" s="96"/>
      <c r="E219" s="96"/>
      <c r="F219" s="96"/>
      <c r="G219" s="96"/>
      <c r="H219" s="96"/>
    </row>
    <row r="220" spans="1:8" x14ac:dyDescent="0.25">
      <c r="A220" s="290" t="s">
        <v>974</v>
      </c>
      <c r="B220" s="290" t="s">
        <v>973</v>
      </c>
      <c r="C220" s="290" t="s">
        <v>972</v>
      </c>
      <c r="D220" s="96"/>
      <c r="E220" s="96"/>
      <c r="F220" s="96"/>
      <c r="G220" s="96"/>
      <c r="H220" s="96"/>
    </row>
    <row r="221" spans="1:8" x14ac:dyDescent="0.25">
      <c r="A221" s="290" t="s">
        <v>971</v>
      </c>
      <c r="B221" s="290" t="s">
        <v>970</v>
      </c>
      <c r="C221" s="290" t="s">
        <v>969</v>
      </c>
      <c r="D221" s="96"/>
      <c r="E221" s="96"/>
      <c r="F221" s="96"/>
      <c r="G221" s="96"/>
      <c r="H221" s="96"/>
    </row>
    <row r="222" spans="1:8" x14ac:dyDescent="0.25">
      <c r="A222" s="290" t="s">
        <v>968</v>
      </c>
      <c r="B222" s="290" t="s">
        <v>967</v>
      </c>
      <c r="C222" s="290" t="s">
        <v>966</v>
      </c>
      <c r="D222" s="96"/>
      <c r="E222" s="96"/>
      <c r="F222" s="96"/>
      <c r="G222" s="96"/>
      <c r="H222" s="96"/>
    </row>
    <row r="223" spans="1:8" x14ac:dyDescent="0.25">
      <c r="A223" s="290" t="s">
        <v>965</v>
      </c>
      <c r="B223" s="290" t="s">
        <v>964</v>
      </c>
      <c r="C223" s="290" t="s">
        <v>963</v>
      </c>
      <c r="D223" s="96"/>
      <c r="E223" s="96"/>
      <c r="F223" s="96"/>
      <c r="G223" s="96"/>
      <c r="H223" s="96"/>
    </row>
    <row r="224" spans="1:8" x14ac:dyDescent="0.25">
      <c r="A224" s="290" t="s">
        <v>962</v>
      </c>
      <c r="B224" s="290" t="s">
        <v>961</v>
      </c>
      <c r="C224" s="290" t="s">
        <v>960</v>
      </c>
      <c r="D224" s="96"/>
      <c r="E224" s="96"/>
      <c r="F224" s="96"/>
      <c r="G224" s="96"/>
      <c r="H224" s="96"/>
    </row>
    <row r="225" spans="1:8" x14ac:dyDescent="0.25">
      <c r="A225" s="290" t="s">
        <v>959</v>
      </c>
      <c r="B225" s="290" t="s">
        <v>958</v>
      </c>
      <c r="C225" s="290" t="s">
        <v>957</v>
      </c>
      <c r="D225" s="96"/>
      <c r="E225" s="96"/>
      <c r="F225" s="96"/>
      <c r="G225" s="96"/>
      <c r="H225" s="96"/>
    </row>
    <row r="226" spans="1:8" x14ac:dyDescent="0.25">
      <c r="A226" s="290" t="s">
        <v>956</v>
      </c>
      <c r="B226" s="290" t="s">
        <v>955</v>
      </c>
      <c r="C226" s="290" t="s">
        <v>954</v>
      </c>
      <c r="D226" s="96"/>
      <c r="E226" s="96"/>
      <c r="F226" s="96"/>
      <c r="G226" s="96"/>
      <c r="H226" s="96"/>
    </row>
    <row r="227" spans="1:8" x14ac:dyDescent="0.25">
      <c r="A227" s="291"/>
      <c r="B227" s="290" t="s">
        <v>953</v>
      </c>
      <c r="C227" s="290" t="s">
        <v>952</v>
      </c>
      <c r="D227" s="96"/>
      <c r="E227" s="96"/>
      <c r="F227" s="96"/>
      <c r="G227" s="96"/>
      <c r="H227" s="96"/>
    </row>
    <row r="228" spans="1:8" x14ac:dyDescent="0.25">
      <c r="A228" s="290" t="s">
        <v>951</v>
      </c>
      <c r="B228" s="290" t="s">
        <v>950</v>
      </c>
      <c r="C228" s="290" t="s">
        <v>949</v>
      </c>
      <c r="D228" s="96"/>
      <c r="E228" s="96"/>
      <c r="F228" s="96"/>
      <c r="G228" s="96"/>
      <c r="H228" s="96"/>
    </row>
    <row r="229" spans="1:8" x14ac:dyDescent="0.25">
      <c r="A229" s="290" t="s">
        <v>948</v>
      </c>
      <c r="B229" s="290" t="s">
        <v>947</v>
      </c>
      <c r="C229" s="290" t="s">
        <v>946</v>
      </c>
      <c r="D229" s="96"/>
      <c r="E229" s="96"/>
      <c r="F229" s="96"/>
      <c r="G229" s="96"/>
      <c r="H229" s="96"/>
    </row>
    <row r="230" spans="1:8" x14ac:dyDescent="0.25">
      <c r="A230" s="290" t="s">
        <v>945</v>
      </c>
      <c r="B230" s="290" t="s">
        <v>944</v>
      </c>
      <c r="C230" s="290" t="s">
        <v>943</v>
      </c>
      <c r="D230" s="96"/>
      <c r="E230" s="96"/>
      <c r="F230" s="96"/>
      <c r="G230" s="96"/>
      <c r="H230" s="96"/>
    </row>
    <row r="231" spans="1:8" x14ac:dyDescent="0.25">
      <c r="A231" s="290" t="s">
        <v>942</v>
      </c>
      <c r="B231" s="290" t="s">
        <v>941</v>
      </c>
      <c r="C231" s="290" t="s">
        <v>940</v>
      </c>
      <c r="D231" s="96"/>
      <c r="E231" s="96"/>
      <c r="F231" s="96"/>
      <c r="G231" s="96"/>
      <c r="H231" s="96"/>
    </row>
    <row r="232" spans="1:8" x14ac:dyDescent="0.25">
      <c r="A232" s="290" t="s">
        <v>939</v>
      </c>
      <c r="B232" s="290" t="s">
        <v>938</v>
      </c>
      <c r="C232" s="290" t="s">
        <v>937</v>
      </c>
      <c r="D232" s="96"/>
      <c r="E232" s="96"/>
      <c r="F232" s="96"/>
      <c r="G232" s="96"/>
      <c r="H232" s="96"/>
    </row>
    <row r="233" spans="1:8" x14ac:dyDescent="0.25">
      <c r="A233" s="290" t="s">
        <v>936</v>
      </c>
      <c r="B233" s="96" t="s">
        <v>935</v>
      </c>
      <c r="C233" s="290" t="s">
        <v>934</v>
      </c>
      <c r="D233" s="96"/>
      <c r="E233" s="96"/>
      <c r="F233" s="96"/>
      <c r="G233" s="96"/>
      <c r="H233" s="96"/>
    </row>
    <row r="234" spans="1:8" x14ac:dyDescent="0.25">
      <c r="A234" s="290" t="s">
        <v>933</v>
      </c>
      <c r="B234" s="96" t="s">
        <v>932</v>
      </c>
      <c r="C234" s="290" t="s">
        <v>931</v>
      </c>
      <c r="D234" s="96"/>
      <c r="E234" s="96"/>
      <c r="F234" s="96"/>
      <c r="G234" s="96"/>
      <c r="H234" s="96"/>
    </row>
    <row r="235" spans="1:8" x14ac:dyDescent="0.25">
      <c r="A235" s="290" t="s">
        <v>930</v>
      </c>
      <c r="B235" s="290" t="s">
        <v>929</v>
      </c>
      <c r="C235" s="290" t="s">
        <v>928</v>
      </c>
      <c r="D235" s="96"/>
      <c r="E235" s="96"/>
      <c r="F235" s="96"/>
      <c r="G235" s="96"/>
      <c r="H235" s="96"/>
    </row>
    <row r="236" spans="1:8" x14ac:dyDescent="0.25">
      <c r="A236" s="290" t="s">
        <v>927</v>
      </c>
      <c r="B236" s="290" t="s">
        <v>926</v>
      </c>
      <c r="C236" s="290" t="s">
        <v>925</v>
      </c>
      <c r="D236" s="96"/>
      <c r="E236" s="96"/>
      <c r="F236" s="96"/>
      <c r="G236" s="96"/>
      <c r="H236" s="96"/>
    </row>
    <row r="237" spans="1:8" x14ac:dyDescent="0.25">
      <c r="A237" s="290" t="s">
        <v>924</v>
      </c>
      <c r="B237" s="96" t="s">
        <v>923</v>
      </c>
      <c r="C237" s="295" t="s">
        <v>920</v>
      </c>
      <c r="D237" s="96"/>
      <c r="E237" s="96"/>
      <c r="F237" s="96"/>
      <c r="G237" s="96"/>
      <c r="H237" s="96"/>
    </row>
    <row r="238" spans="1:8" x14ac:dyDescent="0.25">
      <c r="A238" s="290" t="s">
        <v>922</v>
      </c>
      <c r="B238" s="290" t="s">
        <v>921</v>
      </c>
      <c r="C238" s="290" t="s">
        <v>920</v>
      </c>
      <c r="D238" s="96"/>
      <c r="E238" s="96"/>
      <c r="F238" s="96"/>
      <c r="G238" s="96"/>
      <c r="H238" s="96"/>
    </row>
    <row r="239" spans="1:8" x14ac:dyDescent="0.25">
      <c r="A239" s="290" t="s">
        <v>919</v>
      </c>
      <c r="B239" s="290" t="s">
        <v>918</v>
      </c>
      <c r="C239" s="290" t="s">
        <v>917</v>
      </c>
      <c r="D239" s="96"/>
      <c r="E239" s="96"/>
      <c r="F239" s="96"/>
      <c r="G239" s="96"/>
      <c r="H239" s="96"/>
    </row>
    <row r="240" spans="1:8" x14ac:dyDescent="0.25">
      <c r="A240" s="290" t="s">
        <v>916</v>
      </c>
      <c r="B240" s="290" t="s">
        <v>915</v>
      </c>
      <c r="C240" s="290" t="s">
        <v>914</v>
      </c>
      <c r="D240" s="96"/>
      <c r="E240" s="96"/>
      <c r="F240" s="96"/>
      <c r="G240" s="96"/>
      <c r="H240" s="96"/>
    </row>
    <row r="241" spans="1:8" x14ac:dyDescent="0.25">
      <c r="A241" s="291"/>
      <c r="B241" s="290" t="s">
        <v>913</v>
      </c>
      <c r="C241" s="290" t="s">
        <v>912</v>
      </c>
      <c r="D241" s="96"/>
      <c r="E241" s="96"/>
      <c r="F241" s="96"/>
      <c r="G241" s="96"/>
      <c r="H241" s="96"/>
    </row>
    <row r="242" spans="1:8" x14ac:dyDescent="0.25">
      <c r="A242" s="290" t="s">
        <v>911</v>
      </c>
      <c r="B242" s="290" t="s">
        <v>910</v>
      </c>
      <c r="C242" s="290" t="s">
        <v>909</v>
      </c>
      <c r="D242" s="96"/>
      <c r="E242" s="96"/>
      <c r="F242" s="96"/>
      <c r="G242" s="96"/>
      <c r="H242" s="96"/>
    </row>
    <row r="243" spans="1:8" x14ac:dyDescent="0.25">
      <c r="A243" s="290" t="s">
        <v>908</v>
      </c>
      <c r="B243" s="290" t="s">
        <v>907</v>
      </c>
      <c r="C243" s="290" t="s">
        <v>906</v>
      </c>
      <c r="D243" s="96"/>
      <c r="E243" s="96"/>
      <c r="F243" s="96"/>
      <c r="G243" s="96"/>
      <c r="H243" s="96"/>
    </row>
    <row r="244" spans="1:8" x14ac:dyDescent="0.25">
      <c r="A244" s="290" t="s">
        <v>905</v>
      </c>
      <c r="B244" s="290" t="s">
        <v>904</v>
      </c>
      <c r="C244" s="290" t="s">
        <v>903</v>
      </c>
      <c r="D244" s="96"/>
      <c r="E244" s="96"/>
      <c r="F244" s="96"/>
      <c r="G244" s="96"/>
      <c r="H244" s="96"/>
    </row>
    <row r="245" spans="1:8" x14ac:dyDescent="0.25">
      <c r="A245" s="290" t="s">
        <v>902</v>
      </c>
      <c r="B245" s="290" t="s">
        <v>901</v>
      </c>
      <c r="C245" s="290" t="s">
        <v>900</v>
      </c>
      <c r="D245" s="96"/>
      <c r="E245" s="96"/>
      <c r="F245" s="96"/>
      <c r="G245" s="96"/>
      <c r="H245" s="96"/>
    </row>
    <row r="246" spans="1:8" x14ac:dyDescent="0.25">
      <c r="A246" s="290" t="s">
        <v>899</v>
      </c>
      <c r="B246" s="290" t="s">
        <v>898</v>
      </c>
      <c r="C246" s="290" t="s">
        <v>897</v>
      </c>
      <c r="D246" s="96"/>
      <c r="E246" s="96"/>
      <c r="F246" s="96"/>
      <c r="G246" s="96"/>
      <c r="H246" s="96"/>
    </row>
    <row r="247" spans="1:8" x14ac:dyDescent="0.25">
      <c r="A247" s="290" t="s">
        <v>896</v>
      </c>
      <c r="B247" s="290" t="s">
        <v>895</v>
      </c>
      <c r="C247" s="290" t="s">
        <v>894</v>
      </c>
      <c r="D247" s="96"/>
      <c r="E247" s="96"/>
      <c r="F247" s="96"/>
      <c r="G247" s="96"/>
      <c r="H247" s="96"/>
    </row>
    <row r="248" spans="1:8" x14ac:dyDescent="0.25">
      <c r="A248" s="290" t="s">
        <v>893</v>
      </c>
      <c r="B248" s="290" t="s">
        <v>892</v>
      </c>
      <c r="C248" s="290" t="s">
        <v>891</v>
      </c>
      <c r="D248" s="96"/>
      <c r="E248" s="96"/>
      <c r="F248" s="96"/>
      <c r="G248" s="96"/>
      <c r="H248" s="96"/>
    </row>
    <row r="249" spans="1:8" x14ac:dyDescent="0.25">
      <c r="A249" s="290" t="s">
        <v>890</v>
      </c>
      <c r="B249" s="290" t="s">
        <v>889</v>
      </c>
      <c r="C249" s="290" t="s">
        <v>888</v>
      </c>
      <c r="D249" s="96"/>
      <c r="E249" s="96"/>
      <c r="F249" s="96"/>
      <c r="G249" s="96"/>
      <c r="H249" s="96"/>
    </row>
    <row r="250" spans="1:8" x14ac:dyDescent="0.25">
      <c r="A250" s="290" t="s">
        <v>887</v>
      </c>
      <c r="B250" s="290" t="s">
        <v>886</v>
      </c>
      <c r="C250" s="290" t="s">
        <v>885</v>
      </c>
      <c r="D250" s="96"/>
      <c r="E250" s="96"/>
      <c r="F250" s="96"/>
      <c r="G250" s="96"/>
      <c r="H250" s="96"/>
    </row>
    <row r="251" spans="1:8" x14ac:dyDescent="0.25">
      <c r="A251" s="290" t="s">
        <v>884</v>
      </c>
      <c r="B251" s="290" t="s">
        <v>883</v>
      </c>
      <c r="C251" s="290" t="s">
        <v>882</v>
      </c>
      <c r="D251" s="96"/>
      <c r="E251" s="96"/>
      <c r="F251" s="96"/>
      <c r="G251" s="96"/>
      <c r="H251" s="96"/>
    </row>
    <row r="252" spans="1:8" x14ac:dyDescent="0.25">
      <c r="A252" s="290" t="s">
        <v>881</v>
      </c>
      <c r="B252" s="290" t="s">
        <v>880</v>
      </c>
      <c r="C252" s="290" t="s">
        <v>879</v>
      </c>
      <c r="D252" s="96"/>
      <c r="E252" s="96"/>
      <c r="F252" s="96"/>
      <c r="G252" s="96"/>
      <c r="H252" s="96"/>
    </row>
    <row r="253" spans="1:8" x14ac:dyDescent="0.25">
      <c r="A253" s="290" t="s">
        <v>878</v>
      </c>
      <c r="B253" s="290" t="s">
        <v>877</v>
      </c>
      <c r="C253" s="290" t="s">
        <v>876</v>
      </c>
      <c r="D253" s="96"/>
      <c r="E253" s="96"/>
      <c r="F253" s="96"/>
      <c r="G253" s="96"/>
      <c r="H253" s="96"/>
    </row>
    <row r="254" spans="1:8" x14ac:dyDescent="0.25">
      <c r="A254" s="290" t="s">
        <v>875</v>
      </c>
      <c r="B254" s="290" t="s">
        <v>874</v>
      </c>
      <c r="C254" s="290" t="s">
        <v>873</v>
      </c>
      <c r="D254" s="96"/>
      <c r="E254" s="96"/>
      <c r="F254" s="96"/>
      <c r="G254" s="96"/>
      <c r="H254" s="96"/>
    </row>
    <row r="255" spans="1:8" x14ac:dyDescent="0.25">
      <c r="A255" s="290" t="s">
        <v>872</v>
      </c>
      <c r="B255" s="290" t="s">
        <v>871</v>
      </c>
      <c r="C255" s="290" t="s">
        <v>870</v>
      </c>
      <c r="D255" s="96"/>
      <c r="E255" s="96"/>
      <c r="F255" s="96"/>
      <c r="G255" s="96"/>
      <c r="H255" s="96"/>
    </row>
    <row r="256" spans="1:8" x14ac:dyDescent="0.25">
      <c r="A256" s="290" t="s">
        <v>869</v>
      </c>
      <c r="B256" s="290" t="s">
        <v>868</v>
      </c>
      <c r="C256" s="290" t="s">
        <v>867</v>
      </c>
      <c r="D256" s="96"/>
      <c r="E256" s="96"/>
      <c r="F256" s="96"/>
      <c r="G256" s="96"/>
      <c r="H256" s="96"/>
    </row>
    <row r="257" spans="1:8" x14ac:dyDescent="0.25">
      <c r="A257" s="290" t="s">
        <v>866</v>
      </c>
      <c r="B257" s="290" t="s">
        <v>865</v>
      </c>
      <c r="C257" s="290" t="s">
        <v>864</v>
      </c>
      <c r="D257" s="96"/>
      <c r="E257" s="96"/>
      <c r="F257" s="96"/>
      <c r="G257" s="96"/>
      <c r="H257" s="96"/>
    </row>
    <row r="258" spans="1:8" x14ac:dyDescent="0.25">
      <c r="A258" s="290" t="s">
        <v>863</v>
      </c>
      <c r="B258" s="290" t="s">
        <v>862</v>
      </c>
      <c r="C258" s="290" t="s">
        <v>861</v>
      </c>
      <c r="D258" s="96"/>
      <c r="E258" s="96"/>
      <c r="F258" s="96"/>
      <c r="G258" s="96"/>
      <c r="H258" s="96"/>
    </row>
    <row r="259" spans="1:8" x14ac:dyDescent="0.25">
      <c r="A259" s="290" t="s">
        <v>860</v>
      </c>
      <c r="B259" s="290" t="s">
        <v>859</v>
      </c>
      <c r="C259" s="290" t="s">
        <v>858</v>
      </c>
      <c r="D259" s="96"/>
      <c r="E259" s="96"/>
      <c r="F259" s="96"/>
      <c r="G259" s="96"/>
      <c r="H259" s="96"/>
    </row>
    <row r="260" spans="1:8" x14ac:dyDescent="0.25">
      <c r="A260" s="290" t="s">
        <v>857</v>
      </c>
      <c r="B260" s="290" t="s">
        <v>856</v>
      </c>
      <c r="C260" s="290" t="s">
        <v>855</v>
      </c>
      <c r="D260" s="96"/>
      <c r="E260" s="96"/>
      <c r="F260" s="96"/>
      <c r="G260" s="96"/>
      <c r="H260" s="96"/>
    </row>
    <row r="261" spans="1:8" x14ac:dyDescent="0.25">
      <c r="A261" s="290" t="s">
        <v>854</v>
      </c>
      <c r="B261" s="290" t="s">
        <v>853</v>
      </c>
      <c r="C261" s="290" t="s">
        <v>852</v>
      </c>
      <c r="D261" s="96"/>
      <c r="E261" s="96"/>
      <c r="F261" s="96"/>
      <c r="G261" s="96"/>
      <c r="H261" s="96"/>
    </row>
    <row r="262" spans="1:8" x14ac:dyDescent="0.25">
      <c r="A262" s="290" t="s">
        <v>851</v>
      </c>
      <c r="B262" s="290" t="s">
        <v>850</v>
      </c>
      <c r="C262" s="290" t="s">
        <v>849</v>
      </c>
      <c r="D262" s="96"/>
      <c r="E262" s="96"/>
      <c r="F262" s="96"/>
      <c r="G262" s="96"/>
      <c r="H262" s="96"/>
    </row>
    <row r="263" spans="1:8" x14ac:dyDescent="0.25">
      <c r="A263" s="290" t="s">
        <v>848</v>
      </c>
      <c r="B263" s="290" t="s">
        <v>847</v>
      </c>
      <c r="C263" s="290" t="s">
        <v>846</v>
      </c>
      <c r="D263" s="96"/>
      <c r="E263" s="96"/>
      <c r="F263" s="96"/>
      <c r="G263" s="96"/>
      <c r="H263" s="96"/>
    </row>
    <row r="264" spans="1:8" x14ac:dyDescent="0.25">
      <c r="A264" s="290" t="s">
        <v>845</v>
      </c>
      <c r="B264" s="290" t="s">
        <v>844</v>
      </c>
      <c r="C264" s="290" t="s">
        <v>843</v>
      </c>
      <c r="D264" s="96"/>
      <c r="E264" s="96"/>
      <c r="F264" s="96"/>
      <c r="G264" s="96"/>
      <c r="H264" s="96"/>
    </row>
    <row r="265" spans="1:8" x14ac:dyDescent="0.25">
      <c r="A265" s="290" t="s">
        <v>842</v>
      </c>
      <c r="B265" s="290" t="s">
        <v>841</v>
      </c>
      <c r="C265" s="184" t="s">
        <v>840</v>
      </c>
      <c r="D265" s="96"/>
      <c r="E265" s="96"/>
      <c r="F265" s="96"/>
      <c r="G265" s="96"/>
      <c r="H265" s="96"/>
    </row>
    <row r="266" spans="1:8" x14ac:dyDescent="0.25">
      <c r="A266" s="290" t="s">
        <v>839</v>
      </c>
      <c r="B266" t="s">
        <v>838</v>
      </c>
      <c r="C266" s="184" t="s">
        <v>837</v>
      </c>
      <c r="D266" s="96"/>
      <c r="E266" s="96"/>
      <c r="F266" s="96"/>
      <c r="G266" s="96"/>
      <c r="H266" s="96"/>
    </row>
    <row r="267" spans="1:8" x14ac:dyDescent="0.25">
      <c r="A267" s="290" t="s">
        <v>836</v>
      </c>
      <c r="B267" s="290" t="s">
        <v>835</v>
      </c>
      <c r="C267" s="290" t="s">
        <v>834</v>
      </c>
      <c r="D267" s="96"/>
      <c r="E267" s="96"/>
      <c r="F267" s="96"/>
      <c r="G267" s="96"/>
      <c r="H267" s="96"/>
    </row>
    <row r="268" spans="1:8" x14ac:dyDescent="0.25">
      <c r="A268" s="290" t="s">
        <v>833</v>
      </c>
      <c r="B268" s="290" t="s">
        <v>832</v>
      </c>
      <c r="C268" s="290" t="s">
        <v>831</v>
      </c>
      <c r="D268" s="96"/>
      <c r="E268" s="96"/>
      <c r="F268" s="96"/>
      <c r="G268" s="96"/>
      <c r="H268" s="96"/>
    </row>
    <row r="269" spans="1:8" x14ac:dyDescent="0.25">
      <c r="A269" s="290" t="s">
        <v>830</v>
      </c>
      <c r="B269" s="290" t="s">
        <v>829</v>
      </c>
      <c r="C269" s="290" t="s">
        <v>828</v>
      </c>
      <c r="D269" s="96"/>
      <c r="E269" s="96"/>
      <c r="F269" s="96"/>
      <c r="G269" s="96"/>
      <c r="H269" s="96"/>
    </row>
    <row r="270" spans="1:8" x14ac:dyDescent="0.25">
      <c r="A270" s="290" t="s">
        <v>827</v>
      </c>
      <c r="B270" s="290" t="s">
        <v>826</v>
      </c>
      <c r="C270" s="290" t="s">
        <v>818</v>
      </c>
      <c r="D270" s="96"/>
      <c r="E270" s="96"/>
      <c r="F270" s="96"/>
      <c r="G270" s="96"/>
      <c r="H270" s="96"/>
    </row>
    <row r="271" spans="1:8" x14ac:dyDescent="0.25">
      <c r="A271" s="290" t="s">
        <v>825</v>
      </c>
      <c r="B271" s="290" t="s">
        <v>824</v>
      </c>
      <c r="C271" s="290" t="s">
        <v>823</v>
      </c>
      <c r="D271" s="96"/>
      <c r="E271" s="96"/>
      <c r="F271" s="96"/>
      <c r="G271" s="96"/>
      <c r="H271" s="96"/>
    </row>
    <row r="272" spans="1:8" x14ac:dyDescent="0.25">
      <c r="A272" s="290" t="s">
        <v>822</v>
      </c>
      <c r="B272" s="290" t="s">
        <v>821</v>
      </c>
      <c r="C272" s="290"/>
      <c r="D272" s="96"/>
      <c r="E272" s="96"/>
      <c r="F272" s="96"/>
      <c r="G272" s="96"/>
      <c r="H272" s="96"/>
    </row>
    <row r="273" spans="1:8" x14ac:dyDescent="0.25">
      <c r="A273" s="290" t="s">
        <v>820</v>
      </c>
      <c r="B273" s="290" t="s">
        <v>819</v>
      </c>
      <c r="C273" s="290" t="s">
        <v>818</v>
      </c>
      <c r="D273" s="96"/>
      <c r="E273" s="96"/>
      <c r="F273" s="96"/>
      <c r="G273" s="96"/>
      <c r="H273" s="96"/>
    </row>
    <row r="274" spans="1:8" x14ac:dyDescent="0.25">
      <c r="A274" s="290" t="s">
        <v>817</v>
      </c>
      <c r="B274" s="290" t="s">
        <v>816</v>
      </c>
      <c r="C274" s="290" t="s">
        <v>491</v>
      </c>
      <c r="D274" s="96"/>
      <c r="E274" s="96"/>
      <c r="F274" s="96"/>
      <c r="G274" s="96"/>
      <c r="H274" s="96"/>
    </row>
    <row r="275" spans="1:8" x14ac:dyDescent="0.25">
      <c r="A275" s="290" t="s">
        <v>815</v>
      </c>
      <c r="B275" s="290" t="s">
        <v>814</v>
      </c>
      <c r="C275" s="290" t="s">
        <v>813</v>
      </c>
      <c r="D275" s="96"/>
      <c r="E275" s="96"/>
      <c r="F275" s="96"/>
      <c r="G275" s="96"/>
      <c r="H275" s="96"/>
    </row>
    <row r="276" spans="1:8" x14ac:dyDescent="0.25">
      <c r="A276" s="290" t="s">
        <v>812</v>
      </c>
      <c r="B276" s="290" t="s">
        <v>811</v>
      </c>
      <c r="C276" s="290" t="s">
        <v>810</v>
      </c>
      <c r="D276" s="96"/>
      <c r="E276" s="96"/>
      <c r="F276" s="96"/>
      <c r="G276" s="96"/>
      <c r="H276" s="96"/>
    </row>
    <row r="277" spans="1:8" x14ac:dyDescent="0.25">
      <c r="A277" s="290" t="s">
        <v>809</v>
      </c>
      <c r="B277" s="290" t="s">
        <v>808</v>
      </c>
      <c r="C277" s="290" t="s">
        <v>807</v>
      </c>
      <c r="D277" s="96"/>
      <c r="E277" s="96"/>
      <c r="F277" s="96"/>
      <c r="G277" s="96"/>
      <c r="H277" s="96"/>
    </row>
    <row r="278" spans="1:8" x14ac:dyDescent="0.25">
      <c r="A278" s="290" t="s">
        <v>806</v>
      </c>
      <c r="B278" s="290" t="s">
        <v>805</v>
      </c>
      <c r="C278" s="290" t="s">
        <v>804</v>
      </c>
      <c r="D278" s="96"/>
      <c r="E278" s="96"/>
      <c r="F278" s="96"/>
      <c r="G278" s="96"/>
      <c r="H278" s="96"/>
    </row>
    <row r="279" spans="1:8" x14ac:dyDescent="0.25">
      <c r="A279" s="290" t="s">
        <v>803</v>
      </c>
      <c r="B279" s="290" t="s">
        <v>802</v>
      </c>
      <c r="C279" s="290" t="s">
        <v>801</v>
      </c>
      <c r="D279" s="96"/>
      <c r="E279" s="96"/>
      <c r="F279" s="96"/>
      <c r="G279" s="96"/>
      <c r="H279" s="96"/>
    </row>
    <row r="280" spans="1:8" x14ac:dyDescent="0.25">
      <c r="A280" s="290" t="s">
        <v>800</v>
      </c>
      <c r="B280" s="290" t="s">
        <v>799</v>
      </c>
      <c r="C280" s="290" t="s">
        <v>798</v>
      </c>
      <c r="D280" s="96"/>
      <c r="E280" s="96"/>
      <c r="F280" s="96"/>
      <c r="G280" s="96"/>
      <c r="H280" s="96"/>
    </row>
    <row r="281" spans="1:8" x14ac:dyDescent="0.25">
      <c r="A281" s="290" t="s">
        <v>797</v>
      </c>
      <c r="B281" s="290" t="s">
        <v>796</v>
      </c>
      <c r="C281" s="290" t="s">
        <v>795</v>
      </c>
      <c r="D281" s="96"/>
      <c r="E281" s="96"/>
      <c r="F281" s="96"/>
      <c r="G281" s="96"/>
      <c r="H281" s="96"/>
    </row>
    <row r="282" spans="1:8" x14ac:dyDescent="0.25">
      <c r="A282" s="290" t="s">
        <v>794</v>
      </c>
      <c r="B282" s="290" t="s">
        <v>793</v>
      </c>
      <c r="C282" s="290" t="s">
        <v>792</v>
      </c>
      <c r="D282" s="96"/>
      <c r="E282" s="96"/>
      <c r="F282" s="96"/>
      <c r="G282" s="96"/>
      <c r="H282" s="96"/>
    </row>
    <row r="283" spans="1:8" x14ac:dyDescent="0.25">
      <c r="A283" s="290" t="s">
        <v>791</v>
      </c>
      <c r="B283" s="290" t="s">
        <v>790</v>
      </c>
      <c r="C283" s="290" t="s">
        <v>789</v>
      </c>
      <c r="D283" s="96"/>
      <c r="E283" s="96"/>
      <c r="F283" s="96"/>
      <c r="G283" s="96"/>
      <c r="H283" s="96"/>
    </row>
    <row r="284" spans="1:8" x14ac:dyDescent="0.25">
      <c r="A284" s="290" t="s">
        <v>788</v>
      </c>
      <c r="B284" s="290" t="s">
        <v>787</v>
      </c>
      <c r="C284" s="290" t="s">
        <v>786</v>
      </c>
      <c r="D284" s="96"/>
      <c r="E284" s="96"/>
      <c r="F284" s="96"/>
      <c r="G284" s="96"/>
      <c r="H284" s="96"/>
    </row>
    <row r="285" spans="1:8" x14ac:dyDescent="0.25">
      <c r="A285" s="290" t="s">
        <v>785</v>
      </c>
      <c r="B285" s="290" t="s">
        <v>784</v>
      </c>
      <c r="C285" s="290" t="s">
        <v>783</v>
      </c>
      <c r="D285" s="96"/>
      <c r="E285" s="96"/>
      <c r="F285" s="96"/>
      <c r="G285" s="96"/>
      <c r="H285" s="96"/>
    </row>
    <row r="286" spans="1:8" x14ac:dyDescent="0.25">
      <c r="A286" s="290" t="s">
        <v>782</v>
      </c>
      <c r="B286" s="290" t="s">
        <v>781</v>
      </c>
      <c r="C286" s="290" t="s">
        <v>780</v>
      </c>
      <c r="D286" s="96"/>
      <c r="E286" s="96"/>
      <c r="F286" s="96"/>
      <c r="G286" s="96"/>
      <c r="H286" s="96"/>
    </row>
    <row r="287" spans="1:8" x14ac:dyDescent="0.25">
      <c r="A287" s="290" t="s">
        <v>779</v>
      </c>
      <c r="B287" s="290" t="s">
        <v>778</v>
      </c>
      <c r="C287" s="290" t="s">
        <v>777</v>
      </c>
      <c r="D287" s="96"/>
      <c r="E287" s="96"/>
      <c r="F287" s="96"/>
      <c r="G287" s="96"/>
      <c r="H287" s="96"/>
    </row>
    <row r="288" spans="1:8" x14ac:dyDescent="0.25">
      <c r="A288" s="290" t="s">
        <v>776</v>
      </c>
      <c r="B288" s="294" t="s">
        <v>775</v>
      </c>
      <c r="C288" s="290" t="s">
        <v>774</v>
      </c>
      <c r="D288" s="96"/>
      <c r="E288" s="96"/>
      <c r="F288" s="96"/>
      <c r="G288" s="96"/>
      <c r="H288" s="96"/>
    </row>
    <row r="289" spans="1:8" x14ac:dyDescent="0.25">
      <c r="A289" s="290" t="s">
        <v>773</v>
      </c>
      <c r="B289" s="294" t="s">
        <v>772</v>
      </c>
      <c r="C289" s="290" t="s">
        <v>771</v>
      </c>
      <c r="D289" s="96"/>
      <c r="E289" s="96"/>
      <c r="F289" s="96"/>
      <c r="G289" s="96"/>
      <c r="H289" s="96"/>
    </row>
    <row r="290" spans="1:8" x14ac:dyDescent="0.25">
      <c r="A290" s="290" t="s">
        <v>770</v>
      </c>
      <c r="B290" s="294" t="s">
        <v>769</v>
      </c>
      <c r="C290" s="290" t="s">
        <v>768</v>
      </c>
      <c r="D290" s="96"/>
      <c r="E290" s="96"/>
      <c r="F290" s="96"/>
      <c r="G290" s="96"/>
      <c r="H290" s="96"/>
    </row>
    <row r="291" spans="1:8" x14ac:dyDescent="0.25">
      <c r="A291" s="290" t="s">
        <v>767</v>
      </c>
      <c r="B291" s="290" t="s">
        <v>766</v>
      </c>
      <c r="C291" s="290" t="s">
        <v>765</v>
      </c>
      <c r="D291" s="96"/>
      <c r="E291" s="96"/>
      <c r="F291" s="96"/>
      <c r="G291" s="96"/>
      <c r="H291" s="96"/>
    </row>
    <row r="292" spans="1:8" x14ac:dyDescent="0.25">
      <c r="A292" s="290" t="s">
        <v>764</v>
      </c>
      <c r="B292" s="290" t="s">
        <v>763</v>
      </c>
      <c r="C292" s="290" t="s">
        <v>762</v>
      </c>
      <c r="D292" s="96"/>
      <c r="E292" s="96"/>
      <c r="F292" s="96"/>
      <c r="G292" s="96"/>
      <c r="H292" s="96"/>
    </row>
    <row r="293" spans="1:8" x14ac:dyDescent="0.25">
      <c r="A293" s="290" t="s">
        <v>761</v>
      </c>
      <c r="B293" s="290" t="s">
        <v>760</v>
      </c>
      <c r="C293" s="290" t="s">
        <v>759</v>
      </c>
      <c r="D293" s="96"/>
      <c r="E293" s="96"/>
      <c r="F293" s="96"/>
      <c r="G293" s="96"/>
      <c r="H293" s="96"/>
    </row>
    <row r="294" spans="1:8" x14ac:dyDescent="0.25">
      <c r="A294" s="290" t="s">
        <v>758</v>
      </c>
      <c r="B294" s="290" t="s">
        <v>757</v>
      </c>
      <c r="C294" s="290" t="s">
        <v>756</v>
      </c>
      <c r="D294" s="96"/>
      <c r="E294" s="96"/>
      <c r="F294" s="96"/>
      <c r="G294" s="96"/>
      <c r="H294" s="96"/>
    </row>
    <row r="295" spans="1:8" x14ac:dyDescent="0.25">
      <c r="A295" s="290" t="s">
        <v>755</v>
      </c>
      <c r="B295" s="290" t="s">
        <v>754</v>
      </c>
      <c r="C295" s="290" t="s">
        <v>753</v>
      </c>
      <c r="D295" s="96"/>
      <c r="E295" s="96"/>
      <c r="F295" s="96"/>
      <c r="G295" s="96"/>
      <c r="H295" s="96"/>
    </row>
    <row r="296" spans="1:8" x14ac:dyDescent="0.25">
      <c r="A296" s="290" t="s">
        <v>752</v>
      </c>
      <c r="B296" s="290" t="s">
        <v>751</v>
      </c>
      <c r="C296" s="290" t="s">
        <v>750</v>
      </c>
      <c r="D296" s="96"/>
      <c r="E296" s="96"/>
      <c r="F296" s="96"/>
      <c r="G296" s="96"/>
      <c r="H296" s="96"/>
    </row>
    <row r="297" spans="1:8" x14ac:dyDescent="0.25">
      <c r="A297" s="291"/>
      <c r="B297" s="290" t="s">
        <v>749</v>
      </c>
      <c r="C297" s="290" t="s">
        <v>748</v>
      </c>
      <c r="D297" s="96"/>
      <c r="E297" s="96"/>
      <c r="F297" s="96"/>
      <c r="G297" s="96"/>
      <c r="H297" s="96"/>
    </row>
    <row r="298" spans="1:8" x14ac:dyDescent="0.25">
      <c r="A298" s="290" t="s">
        <v>747</v>
      </c>
      <c r="B298" s="290" t="s">
        <v>746</v>
      </c>
      <c r="C298" s="290" t="s">
        <v>745</v>
      </c>
      <c r="D298" s="96"/>
      <c r="E298" s="96"/>
      <c r="F298" s="96"/>
      <c r="G298" s="96"/>
      <c r="H298" s="96"/>
    </row>
    <row r="299" spans="1:8" x14ac:dyDescent="0.25">
      <c r="A299" s="290" t="s">
        <v>744</v>
      </c>
      <c r="B299" s="290" t="s">
        <v>743</v>
      </c>
      <c r="C299" s="290" t="s">
        <v>742</v>
      </c>
      <c r="D299" s="96"/>
      <c r="E299" s="96"/>
      <c r="F299" s="96"/>
      <c r="G299" s="96"/>
      <c r="H299" s="96"/>
    </row>
    <row r="300" spans="1:8" x14ac:dyDescent="0.25">
      <c r="A300" s="290" t="s">
        <v>741</v>
      </c>
      <c r="B300" s="96" t="s">
        <v>740</v>
      </c>
      <c r="C300" s="290" t="s">
        <v>739</v>
      </c>
      <c r="D300" s="96"/>
      <c r="E300" s="96"/>
      <c r="F300" s="96"/>
      <c r="G300" s="96"/>
      <c r="H300" s="96"/>
    </row>
    <row r="301" spans="1:8" x14ac:dyDescent="0.25">
      <c r="A301" s="290" t="s">
        <v>738</v>
      </c>
      <c r="B301" s="96" t="s">
        <v>737</v>
      </c>
      <c r="C301" s="290" t="s">
        <v>736</v>
      </c>
      <c r="D301" s="96"/>
      <c r="E301" s="96"/>
      <c r="F301" s="96"/>
      <c r="G301" s="96"/>
      <c r="H301" s="96"/>
    </row>
    <row r="302" spans="1:8" x14ac:dyDescent="0.25">
      <c r="A302" s="290" t="s">
        <v>735</v>
      </c>
      <c r="B302" s="96" t="s">
        <v>734</v>
      </c>
      <c r="C302" s="290" t="s">
        <v>733</v>
      </c>
      <c r="D302" s="96"/>
      <c r="E302" s="96"/>
      <c r="F302" s="96"/>
      <c r="G302" s="96"/>
      <c r="H302" s="96"/>
    </row>
    <row r="303" spans="1:8" x14ac:dyDescent="0.25">
      <c r="A303" s="290" t="s">
        <v>732</v>
      </c>
      <c r="B303" s="96" t="s">
        <v>731</v>
      </c>
      <c r="C303" s="290" t="s">
        <v>730</v>
      </c>
      <c r="D303" s="96"/>
      <c r="E303" s="96"/>
      <c r="F303" s="96"/>
      <c r="G303" s="96"/>
      <c r="H303" s="96"/>
    </row>
    <row r="304" spans="1:8" x14ac:dyDescent="0.25">
      <c r="A304" s="290" t="s">
        <v>729</v>
      </c>
      <c r="B304" s="290" t="s">
        <v>728</v>
      </c>
      <c r="C304" s="290" t="s">
        <v>727</v>
      </c>
      <c r="D304" s="96"/>
      <c r="E304" s="96"/>
      <c r="F304" s="96"/>
      <c r="G304" s="96"/>
      <c r="H304" s="96"/>
    </row>
    <row r="305" spans="1:8" x14ac:dyDescent="0.25">
      <c r="A305" s="290" t="s">
        <v>726</v>
      </c>
      <c r="B305" s="184" t="s">
        <v>725</v>
      </c>
      <c r="C305" s="290" t="s">
        <v>724</v>
      </c>
      <c r="D305" s="96"/>
      <c r="E305" s="96"/>
      <c r="F305" s="96"/>
      <c r="G305" s="96"/>
      <c r="H305" s="96"/>
    </row>
    <row r="306" spans="1:8" x14ac:dyDescent="0.25">
      <c r="A306" s="290" t="s">
        <v>723</v>
      </c>
      <c r="B306" s="290" t="s">
        <v>722</v>
      </c>
      <c r="C306" s="290" t="s">
        <v>721</v>
      </c>
      <c r="D306" s="96"/>
      <c r="E306" s="96"/>
      <c r="F306" s="96"/>
      <c r="G306" s="96"/>
      <c r="H306" s="96"/>
    </row>
    <row r="307" spans="1:8" x14ac:dyDescent="0.25">
      <c r="A307" s="290" t="s">
        <v>720</v>
      </c>
      <c r="B307" s="290" t="s">
        <v>719</v>
      </c>
      <c r="C307" s="290" t="s">
        <v>718</v>
      </c>
      <c r="D307" s="96"/>
      <c r="E307" s="96"/>
      <c r="F307" s="96"/>
      <c r="G307" s="96"/>
      <c r="H307" s="96"/>
    </row>
    <row r="308" spans="1:8" x14ac:dyDescent="0.25">
      <c r="A308" s="290" t="s">
        <v>717</v>
      </c>
      <c r="B308" s="290" t="s">
        <v>716</v>
      </c>
      <c r="C308" s="290" t="s">
        <v>715</v>
      </c>
      <c r="D308" s="96"/>
      <c r="E308" s="96"/>
      <c r="F308" s="96"/>
      <c r="G308" s="96"/>
      <c r="H308" s="96"/>
    </row>
    <row r="309" spans="1:8" x14ac:dyDescent="0.25">
      <c r="A309" s="290" t="s">
        <v>714</v>
      </c>
      <c r="B309" s="290" t="s">
        <v>713</v>
      </c>
      <c r="C309" s="290" t="s">
        <v>491</v>
      </c>
      <c r="D309" s="96"/>
      <c r="E309" s="96"/>
      <c r="F309" s="96"/>
      <c r="G309" s="96"/>
      <c r="H309" s="96"/>
    </row>
    <row r="310" spans="1:8" x14ac:dyDescent="0.25">
      <c r="A310" s="290" t="s">
        <v>712</v>
      </c>
      <c r="B310" s="290" t="s">
        <v>711</v>
      </c>
      <c r="C310" s="290" t="s">
        <v>710</v>
      </c>
      <c r="D310" s="96"/>
      <c r="E310" s="96"/>
      <c r="F310" s="96"/>
      <c r="G310" s="96"/>
      <c r="H310" s="96"/>
    </row>
    <row r="311" spans="1:8" x14ac:dyDescent="0.25">
      <c r="A311" s="290" t="s">
        <v>709</v>
      </c>
      <c r="B311" s="290" t="s">
        <v>708</v>
      </c>
      <c r="C311" s="290" t="s">
        <v>707</v>
      </c>
      <c r="D311" s="96"/>
      <c r="E311" s="96"/>
      <c r="F311" s="96"/>
      <c r="G311" s="96"/>
      <c r="H311" s="96"/>
    </row>
    <row r="312" spans="1:8" x14ac:dyDescent="0.25">
      <c r="A312" s="290" t="s">
        <v>706</v>
      </c>
      <c r="B312" s="290" t="s">
        <v>705</v>
      </c>
      <c r="C312" s="290" t="s">
        <v>704</v>
      </c>
      <c r="D312" s="96"/>
      <c r="E312" s="96"/>
      <c r="F312" s="96"/>
      <c r="G312" s="96"/>
      <c r="H312" s="96"/>
    </row>
    <row r="313" spans="1:8" x14ac:dyDescent="0.25">
      <c r="A313" s="290" t="s">
        <v>703</v>
      </c>
      <c r="B313" s="290" t="s">
        <v>702</v>
      </c>
      <c r="C313" s="290" t="s">
        <v>701</v>
      </c>
      <c r="D313" s="96"/>
      <c r="E313" s="96"/>
      <c r="F313" s="96"/>
      <c r="G313" s="96"/>
      <c r="H313" s="96"/>
    </row>
    <row r="314" spans="1:8" x14ac:dyDescent="0.25">
      <c r="A314" s="290" t="s">
        <v>700</v>
      </c>
      <c r="B314" s="290" t="s">
        <v>699</v>
      </c>
      <c r="C314" s="290" t="s">
        <v>698</v>
      </c>
      <c r="D314" s="96"/>
      <c r="E314" s="96"/>
      <c r="F314" s="96"/>
      <c r="G314" s="96"/>
      <c r="H314" s="96"/>
    </row>
    <row r="315" spans="1:8" x14ac:dyDescent="0.25">
      <c r="A315" s="290" t="s">
        <v>697</v>
      </c>
      <c r="B315" s="290" t="s">
        <v>696</v>
      </c>
      <c r="C315" s="290" t="s">
        <v>695</v>
      </c>
      <c r="D315" s="96"/>
      <c r="E315" s="96"/>
      <c r="F315" s="96"/>
      <c r="G315" s="96"/>
      <c r="H315" s="96"/>
    </row>
    <row r="316" spans="1:8" x14ac:dyDescent="0.25">
      <c r="A316" s="290" t="s">
        <v>694</v>
      </c>
      <c r="B316" s="290" t="s">
        <v>693</v>
      </c>
      <c r="C316" s="290" t="s">
        <v>692</v>
      </c>
      <c r="D316" s="96"/>
      <c r="E316" s="96"/>
      <c r="F316" s="96"/>
      <c r="G316" s="96"/>
      <c r="H316" s="96"/>
    </row>
    <row r="317" spans="1:8" x14ac:dyDescent="0.25">
      <c r="A317" s="290" t="s">
        <v>691</v>
      </c>
      <c r="B317" s="96" t="s">
        <v>690</v>
      </c>
      <c r="C317" s="290" t="s">
        <v>689</v>
      </c>
      <c r="D317" s="96"/>
      <c r="E317" s="96"/>
      <c r="F317" s="96"/>
      <c r="G317" s="96"/>
      <c r="H317" s="96"/>
    </row>
    <row r="318" spans="1:8" x14ac:dyDescent="0.25">
      <c r="A318" s="290" t="s">
        <v>688</v>
      </c>
      <c r="B318" s="96" t="s">
        <v>687</v>
      </c>
      <c r="C318" s="290" t="s">
        <v>686</v>
      </c>
      <c r="D318" s="96"/>
      <c r="E318" s="96"/>
      <c r="F318" s="96"/>
      <c r="G318" s="96"/>
      <c r="H318" s="96"/>
    </row>
    <row r="319" spans="1:8" x14ac:dyDescent="0.25">
      <c r="A319" s="290" t="s">
        <v>685</v>
      </c>
      <c r="B319" s="96" t="s">
        <v>684</v>
      </c>
      <c r="C319" s="290" t="s">
        <v>683</v>
      </c>
      <c r="D319" s="96"/>
      <c r="E319" s="96"/>
      <c r="F319" s="96"/>
      <c r="G319" s="96"/>
      <c r="H319" s="96"/>
    </row>
    <row r="320" spans="1:8" x14ac:dyDescent="0.25">
      <c r="A320" s="290" t="s">
        <v>682</v>
      </c>
      <c r="B320" s="290" t="s">
        <v>681</v>
      </c>
      <c r="C320" s="290" t="s">
        <v>680</v>
      </c>
      <c r="D320" s="96"/>
      <c r="E320" s="96"/>
      <c r="F320" s="96"/>
      <c r="G320" s="96"/>
      <c r="H320" s="96"/>
    </row>
    <row r="321" spans="1:8" x14ac:dyDescent="0.25">
      <c r="A321" s="290" t="s">
        <v>679</v>
      </c>
      <c r="B321" s="290" t="s">
        <v>678</v>
      </c>
      <c r="C321" s="290" t="s">
        <v>677</v>
      </c>
      <c r="D321" s="96"/>
      <c r="E321" s="96"/>
      <c r="F321" s="96"/>
      <c r="G321" s="96"/>
      <c r="H321" s="96"/>
    </row>
    <row r="322" spans="1:8" x14ac:dyDescent="0.25">
      <c r="A322" s="290" t="s">
        <v>676</v>
      </c>
      <c r="B322" s="290" t="s">
        <v>675</v>
      </c>
      <c r="C322" s="290" t="s">
        <v>622</v>
      </c>
      <c r="D322" s="96"/>
      <c r="E322" s="96"/>
      <c r="F322" s="96"/>
      <c r="G322" s="96"/>
      <c r="H322" s="96"/>
    </row>
    <row r="323" spans="1:8" x14ac:dyDescent="0.25">
      <c r="A323" s="290" t="s">
        <v>674</v>
      </c>
      <c r="B323" s="290" t="s">
        <v>673</v>
      </c>
      <c r="C323" s="290" t="s">
        <v>672</v>
      </c>
      <c r="D323" s="96"/>
      <c r="E323" s="96"/>
      <c r="F323" s="96"/>
      <c r="G323" s="96"/>
      <c r="H323" s="96"/>
    </row>
    <row r="324" spans="1:8" x14ac:dyDescent="0.25">
      <c r="A324" s="290" t="s">
        <v>671</v>
      </c>
      <c r="B324" s="290" t="s">
        <v>670</v>
      </c>
      <c r="C324" s="290" t="s">
        <v>669</v>
      </c>
      <c r="D324" s="96"/>
      <c r="E324" s="96"/>
      <c r="F324" s="96"/>
      <c r="G324" s="96"/>
      <c r="H324" s="96"/>
    </row>
    <row r="325" spans="1:8" x14ac:dyDescent="0.25">
      <c r="A325" s="290" t="s">
        <v>668</v>
      </c>
      <c r="B325" s="290" t="s">
        <v>667</v>
      </c>
      <c r="C325" s="290" t="s">
        <v>666</v>
      </c>
      <c r="D325" s="96"/>
      <c r="E325" s="96"/>
      <c r="F325" s="96"/>
      <c r="G325" s="96"/>
      <c r="H325" s="96"/>
    </row>
    <row r="326" spans="1:8" x14ac:dyDescent="0.25">
      <c r="A326" s="290" t="s">
        <v>665</v>
      </c>
      <c r="B326" s="290" t="s">
        <v>664</v>
      </c>
      <c r="C326" s="290" t="s">
        <v>663</v>
      </c>
      <c r="D326" s="96"/>
      <c r="E326" s="96"/>
      <c r="F326" s="96"/>
      <c r="G326" s="96"/>
      <c r="H326" s="96"/>
    </row>
    <row r="327" spans="1:8" x14ac:dyDescent="0.25">
      <c r="A327" s="290" t="s">
        <v>662</v>
      </c>
      <c r="B327" s="290" t="s">
        <v>661</v>
      </c>
      <c r="C327" s="290" t="s">
        <v>660</v>
      </c>
      <c r="D327" s="96"/>
      <c r="E327" s="96"/>
      <c r="F327" s="96"/>
      <c r="G327" s="96"/>
      <c r="H327" s="96"/>
    </row>
    <row r="328" spans="1:8" x14ac:dyDescent="0.25">
      <c r="A328" s="290" t="s">
        <v>659</v>
      </c>
      <c r="B328" s="291" t="s">
        <v>658</v>
      </c>
      <c r="C328" s="293" t="s">
        <v>657</v>
      </c>
      <c r="D328" s="96"/>
      <c r="E328" s="96"/>
      <c r="F328" s="96"/>
      <c r="G328" s="96"/>
      <c r="H328" s="96"/>
    </row>
    <row r="329" spans="1:8" x14ac:dyDescent="0.25">
      <c r="A329" s="290" t="s">
        <v>656</v>
      </c>
      <c r="B329" s="291" t="s">
        <v>655</v>
      </c>
      <c r="C329" s="293" t="s">
        <v>654</v>
      </c>
      <c r="D329" s="96"/>
      <c r="E329" s="96"/>
      <c r="F329" s="96"/>
      <c r="G329" s="96"/>
      <c r="H329" s="96"/>
    </row>
    <row r="330" spans="1:8" x14ac:dyDescent="0.25">
      <c r="A330" s="290" t="s">
        <v>653</v>
      </c>
      <c r="B330" s="291" t="s">
        <v>652</v>
      </c>
      <c r="C330" s="293" t="s">
        <v>651</v>
      </c>
      <c r="D330" s="96"/>
      <c r="E330" s="96"/>
      <c r="F330" s="96"/>
      <c r="G330" s="96"/>
      <c r="H330" s="96"/>
    </row>
    <row r="331" spans="1:8" x14ac:dyDescent="0.25">
      <c r="A331" s="290" t="s">
        <v>650</v>
      </c>
      <c r="B331" s="291" t="s">
        <v>649</v>
      </c>
      <c r="C331" s="293" t="s">
        <v>648</v>
      </c>
      <c r="D331" s="96"/>
      <c r="E331" s="96"/>
      <c r="F331" s="96"/>
      <c r="G331" s="96"/>
      <c r="H331" s="96"/>
    </row>
    <row r="332" spans="1:8" x14ac:dyDescent="0.25">
      <c r="A332" s="290" t="s">
        <v>647</v>
      </c>
      <c r="B332" s="290" t="s">
        <v>646</v>
      </c>
      <c r="C332" s="290" t="s">
        <v>645</v>
      </c>
      <c r="D332" s="96"/>
      <c r="E332" s="96"/>
      <c r="F332" s="96"/>
      <c r="G332" s="96"/>
      <c r="H332" s="96"/>
    </row>
    <row r="333" spans="1:8" x14ac:dyDescent="0.25">
      <c r="A333" s="290" t="s">
        <v>644</v>
      </c>
      <c r="B333" s="290" t="s">
        <v>643</v>
      </c>
      <c r="C333" s="290" t="s">
        <v>642</v>
      </c>
      <c r="D333" s="96"/>
      <c r="E333" s="96"/>
      <c r="F333" s="96"/>
      <c r="G333" s="96"/>
      <c r="H333" s="96"/>
    </row>
    <row r="334" spans="1:8" x14ac:dyDescent="0.25">
      <c r="A334" s="290" t="s">
        <v>641</v>
      </c>
      <c r="B334" s="290" t="s">
        <v>640</v>
      </c>
      <c r="C334" s="290" t="s">
        <v>639</v>
      </c>
      <c r="D334" s="96"/>
      <c r="E334" s="96"/>
      <c r="F334" s="96"/>
      <c r="G334" s="96"/>
      <c r="H334" s="96"/>
    </row>
    <row r="335" spans="1:8" x14ac:dyDescent="0.25">
      <c r="A335" s="290" t="s">
        <v>638</v>
      </c>
      <c r="B335" s="290" t="s">
        <v>637</v>
      </c>
      <c r="C335" s="292" t="s">
        <v>636</v>
      </c>
      <c r="D335" s="96"/>
      <c r="E335" s="96"/>
      <c r="F335" s="96"/>
      <c r="G335" s="96"/>
      <c r="H335" s="96"/>
    </row>
    <row r="336" spans="1:8" x14ac:dyDescent="0.25">
      <c r="A336" s="290" t="s">
        <v>635</v>
      </c>
      <c r="B336" s="290" t="s">
        <v>634</v>
      </c>
      <c r="C336" s="292" t="s">
        <v>633</v>
      </c>
      <c r="D336" s="96"/>
      <c r="E336" s="96"/>
      <c r="F336" s="96"/>
      <c r="G336" s="96"/>
      <c r="H336" s="96"/>
    </row>
    <row r="337" spans="1:8" x14ac:dyDescent="0.25">
      <c r="A337" s="290" t="s">
        <v>632</v>
      </c>
      <c r="B337" s="290" t="s">
        <v>631</v>
      </c>
      <c r="C337" s="292" t="s">
        <v>630</v>
      </c>
      <c r="D337" s="96"/>
      <c r="E337" s="96"/>
      <c r="F337" s="96"/>
      <c r="G337" s="96"/>
      <c r="H337" s="96"/>
    </row>
    <row r="338" spans="1:8" x14ac:dyDescent="0.25">
      <c r="A338" s="290" t="s">
        <v>629</v>
      </c>
      <c r="B338" s="290" t="s">
        <v>628</v>
      </c>
      <c r="C338" s="290" t="s">
        <v>627</v>
      </c>
      <c r="D338" s="96"/>
      <c r="E338" s="96"/>
      <c r="F338" s="96"/>
      <c r="G338" s="96"/>
      <c r="H338" s="96"/>
    </row>
    <row r="339" spans="1:8" x14ac:dyDescent="0.25">
      <c r="A339" s="291"/>
      <c r="B339" s="290" t="s">
        <v>626</v>
      </c>
      <c r="C339" s="290" t="s">
        <v>625</v>
      </c>
      <c r="D339" s="96"/>
      <c r="E339" s="96"/>
      <c r="F339" s="96"/>
      <c r="G339" s="96"/>
      <c r="H339" s="96"/>
    </row>
    <row r="340" spans="1:8" x14ac:dyDescent="0.25">
      <c r="A340" s="290" t="s">
        <v>624</v>
      </c>
      <c r="B340" s="290" t="s">
        <v>623</v>
      </c>
      <c r="C340" s="290" t="s">
        <v>622</v>
      </c>
    </row>
    <row r="341" spans="1:8" x14ac:dyDescent="0.25">
      <c r="A341" s="290" t="s">
        <v>621</v>
      </c>
      <c r="B341" s="290" t="s">
        <v>620</v>
      </c>
      <c r="C341" s="290" t="s">
        <v>619</v>
      </c>
    </row>
    <row r="342" spans="1:8" x14ac:dyDescent="0.25">
      <c r="A342" s="290" t="s">
        <v>618</v>
      </c>
      <c r="B342" s="290" t="s">
        <v>617</v>
      </c>
      <c r="C342" s="290" t="s">
        <v>614</v>
      </c>
    </row>
    <row r="343" spans="1:8" x14ac:dyDescent="0.25">
      <c r="A343" s="290" t="s">
        <v>616</v>
      </c>
      <c r="B343" s="290" t="s">
        <v>615</v>
      </c>
      <c r="C343" s="290" t="s">
        <v>614</v>
      </c>
    </row>
    <row r="344" spans="1:8" x14ac:dyDescent="0.25">
      <c r="A344" s="290" t="s">
        <v>613</v>
      </c>
      <c r="B344" s="290" t="s">
        <v>612</v>
      </c>
      <c r="C344" s="290" t="s">
        <v>611</v>
      </c>
    </row>
    <row r="345" spans="1:8" x14ac:dyDescent="0.25">
      <c r="A345" s="290" t="s">
        <v>610</v>
      </c>
      <c r="B345" s="290" t="s">
        <v>609</v>
      </c>
      <c r="C345" s="290" t="s">
        <v>608</v>
      </c>
    </row>
    <row r="346" spans="1:8" x14ac:dyDescent="0.25">
      <c r="A346" s="291"/>
      <c r="B346" s="290" t="s">
        <v>607</v>
      </c>
      <c r="C346" s="290" t="s">
        <v>606</v>
      </c>
    </row>
    <row r="347" spans="1:8" x14ac:dyDescent="0.25">
      <c r="A347" s="291"/>
      <c r="B347" s="290" t="s">
        <v>605</v>
      </c>
      <c r="C347" s="290" t="s">
        <v>604</v>
      </c>
    </row>
    <row r="348" spans="1:8" x14ac:dyDescent="0.25">
      <c r="A348" s="291"/>
      <c r="B348" s="290" t="s">
        <v>603</v>
      </c>
      <c r="C348" s="290" t="s">
        <v>602</v>
      </c>
    </row>
    <row r="349" spans="1:8" x14ac:dyDescent="0.25">
      <c r="A349" s="291"/>
      <c r="B349" s="290" t="s">
        <v>601</v>
      </c>
      <c r="C349" s="290" t="s">
        <v>600</v>
      </c>
    </row>
    <row r="350" spans="1:8" x14ac:dyDescent="0.25">
      <c r="A350" s="291"/>
      <c r="B350" s="290" t="s">
        <v>599</v>
      </c>
      <c r="C350" s="290" t="s">
        <v>598</v>
      </c>
    </row>
    <row r="351" spans="1:8" x14ac:dyDescent="0.25">
      <c r="A351" s="291"/>
      <c r="B351" s="290" t="s">
        <v>597</v>
      </c>
      <c r="C351" s="290" t="s">
        <v>596</v>
      </c>
    </row>
    <row r="352" spans="1:8" x14ac:dyDescent="0.25">
      <c r="A352" s="291"/>
      <c r="B352" s="290" t="s">
        <v>595</v>
      </c>
      <c r="C352" s="290" t="s">
        <v>594</v>
      </c>
    </row>
    <row r="353" spans="1:3" x14ac:dyDescent="0.25">
      <c r="A353" s="291"/>
      <c r="B353" s="290" t="s">
        <v>593</v>
      </c>
      <c r="C353" s="290" t="s">
        <v>592</v>
      </c>
    </row>
    <row r="354" spans="1:3" x14ac:dyDescent="0.25">
      <c r="A354" s="291"/>
      <c r="B354" s="290" t="s">
        <v>591</v>
      </c>
      <c r="C354" s="290" t="s">
        <v>590</v>
      </c>
    </row>
    <row r="355" spans="1:3" x14ac:dyDescent="0.25">
      <c r="A355" s="291"/>
      <c r="B355" s="290" t="s">
        <v>589</v>
      </c>
      <c r="C355" s="290" t="s">
        <v>588</v>
      </c>
    </row>
    <row r="356" spans="1:3" x14ac:dyDescent="0.25">
      <c r="A356" s="291"/>
      <c r="B356" s="290" t="s">
        <v>587</v>
      </c>
      <c r="C356" s="290" t="s">
        <v>586</v>
      </c>
    </row>
    <row r="357" spans="1:3" x14ac:dyDescent="0.25">
      <c r="A357" s="291"/>
      <c r="B357" s="290" t="s">
        <v>585</v>
      </c>
      <c r="C357" s="290" t="s">
        <v>584</v>
      </c>
    </row>
    <row r="358" spans="1:3" x14ac:dyDescent="0.25">
      <c r="A358" s="291"/>
      <c r="B358" s="290" t="s">
        <v>583</v>
      </c>
      <c r="C358" s="290" t="s">
        <v>582</v>
      </c>
    </row>
    <row r="359" spans="1:3" x14ac:dyDescent="0.25">
      <c r="A359" s="291"/>
      <c r="B359" s="290" t="s">
        <v>581</v>
      </c>
      <c r="C359" s="290" t="s">
        <v>580</v>
      </c>
    </row>
    <row r="360" spans="1:3" x14ac:dyDescent="0.25">
      <c r="A360" s="291"/>
      <c r="B360" s="290" t="s">
        <v>579</v>
      </c>
      <c r="C360" s="290" t="s">
        <v>578</v>
      </c>
    </row>
    <row r="361" spans="1:3" x14ac:dyDescent="0.25">
      <c r="A361" s="291"/>
      <c r="B361" s="290" t="s">
        <v>577</v>
      </c>
      <c r="C361" s="290" t="s">
        <v>576</v>
      </c>
    </row>
    <row r="362" spans="1:3" x14ac:dyDescent="0.25">
      <c r="A362" s="291"/>
      <c r="B362" s="290" t="s">
        <v>575</v>
      </c>
      <c r="C362" s="290" t="s">
        <v>574</v>
      </c>
    </row>
    <row r="363" spans="1:3" x14ac:dyDescent="0.25">
      <c r="A363" s="291"/>
      <c r="B363" s="290" t="s">
        <v>573</v>
      </c>
      <c r="C363" s="290" t="s">
        <v>572</v>
      </c>
    </row>
    <row r="364" spans="1:3" x14ac:dyDescent="0.25">
      <c r="A364" s="291"/>
      <c r="B364" s="290" t="s">
        <v>571</v>
      </c>
      <c r="C364" s="290" t="s">
        <v>570</v>
      </c>
    </row>
    <row r="365" spans="1:3" x14ac:dyDescent="0.25">
      <c r="A365" s="291"/>
      <c r="B365" s="290" t="s">
        <v>569</v>
      </c>
      <c r="C365" s="290" t="s">
        <v>568</v>
      </c>
    </row>
    <row r="366" spans="1:3" x14ac:dyDescent="0.25">
      <c r="A366" s="291"/>
      <c r="B366" s="290" t="s">
        <v>567</v>
      </c>
      <c r="C366" s="290" t="s">
        <v>566</v>
      </c>
    </row>
    <row r="367" spans="1:3" x14ac:dyDescent="0.25">
      <c r="A367" s="291"/>
      <c r="B367" s="290" t="s">
        <v>565</v>
      </c>
      <c r="C367" s="290" t="s">
        <v>564</v>
      </c>
    </row>
    <row r="368" spans="1:3" x14ac:dyDescent="0.25">
      <c r="A368" s="291"/>
      <c r="B368" s="290" t="s">
        <v>563</v>
      </c>
      <c r="C368" s="290" t="s">
        <v>562</v>
      </c>
    </row>
    <row r="369" spans="1:3" x14ac:dyDescent="0.25">
      <c r="A369" s="291"/>
      <c r="B369" s="290" t="s">
        <v>561</v>
      </c>
      <c r="C369" s="290" t="s">
        <v>560</v>
      </c>
    </row>
    <row r="370" spans="1:3" x14ac:dyDescent="0.25">
      <c r="A370" s="291"/>
      <c r="B370" s="290" t="s">
        <v>559</v>
      </c>
      <c r="C370" s="290" t="s">
        <v>558</v>
      </c>
    </row>
    <row r="371" spans="1:3" x14ac:dyDescent="0.25">
      <c r="A371" s="291"/>
      <c r="B371" s="290" t="s">
        <v>557</v>
      </c>
      <c r="C371" s="290" t="s">
        <v>556</v>
      </c>
    </row>
    <row r="372" spans="1:3" x14ac:dyDescent="0.25">
      <c r="A372" s="291"/>
      <c r="B372" s="290" t="s">
        <v>555</v>
      </c>
      <c r="C372" s="290" t="s">
        <v>554</v>
      </c>
    </row>
    <row r="373" spans="1:3" x14ac:dyDescent="0.25">
      <c r="A373" s="291"/>
      <c r="B373" s="290" t="s">
        <v>553</v>
      </c>
      <c r="C373" s="290" t="s">
        <v>552</v>
      </c>
    </row>
    <row r="374" spans="1:3" x14ac:dyDescent="0.25">
      <c r="A374" s="291"/>
      <c r="B374" s="290" t="s">
        <v>551</v>
      </c>
      <c r="C374" s="290" t="s">
        <v>550</v>
      </c>
    </row>
    <row r="375" spans="1:3" x14ac:dyDescent="0.25">
      <c r="A375" s="291"/>
      <c r="B375" s="290" t="s">
        <v>549</v>
      </c>
      <c r="C375" s="290" t="s">
        <v>548</v>
      </c>
    </row>
    <row r="376" spans="1:3" x14ac:dyDescent="0.25">
      <c r="A376" s="291"/>
      <c r="B376" s="290" t="s">
        <v>547</v>
      </c>
      <c r="C376" s="290" t="s">
        <v>546</v>
      </c>
    </row>
    <row r="377" spans="1:3" x14ac:dyDescent="0.25">
      <c r="A377" s="291"/>
      <c r="B377" s="290" t="s">
        <v>545</v>
      </c>
      <c r="C377" s="290" t="s">
        <v>544</v>
      </c>
    </row>
    <row r="378" spans="1:3" x14ac:dyDescent="0.25">
      <c r="A378" s="291"/>
      <c r="B378" s="290" t="s">
        <v>543</v>
      </c>
      <c r="C378" s="290" t="s">
        <v>542</v>
      </c>
    </row>
    <row r="379" spans="1:3" x14ac:dyDescent="0.25">
      <c r="A379" s="291"/>
      <c r="B379" s="290" t="s">
        <v>541</v>
      </c>
      <c r="C379" s="290" t="s">
        <v>540</v>
      </c>
    </row>
    <row r="380" spans="1:3" x14ac:dyDescent="0.25">
      <c r="A380" s="291"/>
      <c r="B380" s="290" t="s">
        <v>539</v>
      </c>
      <c r="C380" s="290" t="s">
        <v>538</v>
      </c>
    </row>
    <row r="381" spans="1:3" x14ac:dyDescent="0.25">
      <c r="A381" s="291"/>
      <c r="B381" s="290" t="s">
        <v>537</v>
      </c>
      <c r="C381" s="290" t="s">
        <v>536</v>
      </c>
    </row>
    <row r="382" spans="1:3" x14ac:dyDescent="0.25">
      <c r="A382" s="291"/>
      <c r="B382" s="290" t="s">
        <v>535</v>
      </c>
      <c r="C382" s="290" t="s">
        <v>534</v>
      </c>
    </row>
    <row r="383" spans="1:3" x14ac:dyDescent="0.25">
      <c r="A383" s="291"/>
      <c r="B383" s="290" t="s">
        <v>533</v>
      </c>
      <c r="C383" s="290" t="s">
        <v>532</v>
      </c>
    </row>
    <row r="384" spans="1:3" x14ac:dyDescent="0.25">
      <c r="A384" s="291"/>
      <c r="B384" s="290" t="s">
        <v>531</v>
      </c>
      <c r="C384" s="290" t="s">
        <v>530</v>
      </c>
    </row>
    <row r="385" spans="1:3" x14ac:dyDescent="0.25">
      <c r="A385" s="291"/>
      <c r="B385" s="290" t="s">
        <v>529</v>
      </c>
      <c r="C385" s="290" t="s">
        <v>528</v>
      </c>
    </row>
    <row r="386" spans="1:3" x14ac:dyDescent="0.25">
      <c r="A386" s="291"/>
      <c r="B386" s="290" t="s">
        <v>527</v>
      </c>
      <c r="C386" s="290" t="s">
        <v>526</v>
      </c>
    </row>
    <row r="387" spans="1:3" x14ac:dyDescent="0.25">
      <c r="A387" s="291"/>
      <c r="B387" s="290" t="s">
        <v>525</v>
      </c>
      <c r="C387" s="290" t="s">
        <v>524</v>
      </c>
    </row>
    <row r="388" spans="1:3" x14ac:dyDescent="0.25">
      <c r="A388" s="291"/>
      <c r="B388" s="290" t="s">
        <v>523</v>
      </c>
      <c r="C388" s="290" t="s">
        <v>522</v>
      </c>
    </row>
    <row r="389" spans="1:3" x14ac:dyDescent="0.25">
      <c r="A389" s="291"/>
      <c r="B389" s="290" t="s">
        <v>521</v>
      </c>
      <c r="C389" s="290" t="s">
        <v>520</v>
      </c>
    </row>
    <row r="390" spans="1:3" x14ac:dyDescent="0.25">
      <c r="A390" s="291"/>
      <c r="B390" s="290" t="s">
        <v>519</v>
      </c>
      <c r="C390" s="290" t="s">
        <v>518</v>
      </c>
    </row>
    <row r="391" spans="1:3" x14ac:dyDescent="0.25">
      <c r="A391" s="291"/>
      <c r="B391" s="290" t="s">
        <v>517</v>
      </c>
      <c r="C391" s="290" t="s">
        <v>516</v>
      </c>
    </row>
    <row r="392" spans="1:3" x14ac:dyDescent="0.25">
      <c r="A392" s="291"/>
      <c r="B392" s="290" t="s">
        <v>515</v>
      </c>
      <c r="C392" s="290" t="s">
        <v>514</v>
      </c>
    </row>
    <row r="393" spans="1:3" x14ac:dyDescent="0.25">
      <c r="A393" s="291"/>
      <c r="B393" s="290" t="s">
        <v>513</v>
      </c>
      <c r="C393" s="290" t="s">
        <v>512</v>
      </c>
    </row>
    <row r="394" spans="1:3" x14ac:dyDescent="0.25">
      <c r="A394" s="291"/>
      <c r="B394" s="290" t="s">
        <v>511</v>
      </c>
      <c r="C394" s="290" t="s">
        <v>510</v>
      </c>
    </row>
    <row r="395" spans="1:3" x14ac:dyDescent="0.25">
      <c r="A395" s="291"/>
      <c r="B395" s="290" t="s">
        <v>509</v>
      </c>
      <c r="C395" s="290" t="s">
        <v>508</v>
      </c>
    </row>
    <row r="396" spans="1:3" x14ac:dyDescent="0.25">
      <c r="A396" s="291"/>
      <c r="B396" s="290" t="s">
        <v>507</v>
      </c>
      <c r="C396" s="290" t="s">
        <v>506</v>
      </c>
    </row>
    <row r="397" spans="1:3" x14ac:dyDescent="0.25">
      <c r="A397" s="291"/>
      <c r="B397" s="290" t="s">
        <v>505</v>
      </c>
      <c r="C397" s="290" t="s">
        <v>504</v>
      </c>
    </row>
    <row r="398" spans="1:3" x14ac:dyDescent="0.25">
      <c r="A398" s="291"/>
      <c r="B398" s="290" t="s">
        <v>503</v>
      </c>
      <c r="C398" s="290" t="s">
        <v>502</v>
      </c>
    </row>
    <row r="399" spans="1:3" x14ac:dyDescent="0.25">
      <c r="A399" s="291"/>
      <c r="B399" s="290" t="s">
        <v>501</v>
      </c>
      <c r="C399" s="290" t="s">
        <v>500</v>
      </c>
    </row>
    <row r="400" spans="1:3" x14ac:dyDescent="0.25">
      <c r="A400" s="291"/>
      <c r="B400" s="290" t="s">
        <v>499</v>
      </c>
      <c r="C400" s="290" t="s">
        <v>498</v>
      </c>
    </row>
    <row r="401" spans="1:3" x14ac:dyDescent="0.25">
      <c r="A401" s="291"/>
      <c r="B401" s="290" t="s">
        <v>497</v>
      </c>
      <c r="C401" s="290" t="s">
        <v>496</v>
      </c>
    </row>
    <row r="402" spans="1:3" x14ac:dyDescent="0.25">
      <c r="A402" s="291"/>
      <c r="B402" s="290" t="s">
        <v>495</v>
      </c>
      <c r="C402" s="290" t="s">
        <v>491</v>
      </c>
    </row>
    <row r="403" spans="1:3" x14ac:dyDescent="0.25">
      <c r="A403" s="291"/>
      <c r="B403" s="290" t="s">
        <v>494</v>
      </c>
      <c r="C403" s="290" t="s">
        <v>493</v>
      </c>
    </row>
    <row r="404" spans="1:3" x14ac:dyDescent="0.25">
      <c r="A404" s="291"/>
      <c r="B404" s="290" t="s">
        <v>492</v>
      </c>
      <c r="C404" s="290" t="s">
        <v>491</v>
      </c>
    </row>
    <row r="405" spans="1:3" x14ac:dyDescent="0.25">
      <c r="A405" s="291"/>
      <c r="B405" s="290" t="s">
        <v>490</v>
      </c>
      <c r="C405" s="290" t="s">
        <v>489</v>
      </c>
    </row>
    <row r="406" spans="1:3" x14ac:dyDescent="0.25">
      <c r="A406" s="291"/>
      <c r="B406" s="290"/>
      <c r="C406" s="290"/>
    </row>
    <row r="407" spans="1:3" x14ac:dyDescent="0.25">
      <c r="A407" s="291"/>
      <c r="B407" s="290"/>
      <c r="C407" s="290"/>
    </row>
    <row r="408" spans="1:3" x14ac:dyDescent="0.25">
      <c r="A408" s="291"/>
      <c r="B408" s="290"/>
      <c r="C408" s="290"/>
    </row>
    <row r="409" spans="1:3" x14ac:dyDescent="0.25">
      <c r="A409" s="291"/>
      <c r="B409" s="290"/>
      <c r="C409" s="290"/>
    </row>
    <row r="410" spans="1:3" x14ac:dyDescent="0.25">
      <c r="A410" s="291"/>
      <c r="B410" s="290"/>
      <c r="C410" s="290"/>
    </row>
    <row r="411" spans="1:3" x14ac:dyDescent="0.25">
      <c r="A411" s="291"/>
      <c r="B411" s="290"/>
      <c r="C411" s="290"/>
    </row>
    <row r="412" spans="1:3" x14ac:dyDescent="0.25">
      <c r="A412" s="291"/>
      <c r="B412" s="290"/>
      <c r="C412" s="290"/>
    </row>
    <row r="413" spans="1:3" x14ac:dyDescent="0.25">
      <c r="A413" s="291"/>
      <c r="B413" s="290"/>
      <c r="C413" s="290"/>
    </row>
    <row r="414" spans="1:3" x14ac:dyDescent="0.25">
      <c r="A414" s="291"/>
      <c r="B414" s="290"/>
      <c r="C414" s="290"/>
    </row>
    <row r="415" spans="1:3" x14ac:dyDescent="0.25">
      <c r="A415" s="291"/>
      <c r="B415" s="290"/>
      <c r="C415" s="290"/>
    </row>
    <row r="416" spans="1:3" x14ac:dyDescent="0.25">
      <c r="A416" s="291"/>
      <c r="B416" s="290"/>
      <c r="C416" s="290"/>
    </row>
    <row r="417" spans="1:3" x14ac:dyDescent="0.25">
      <c r="A417" s="291"/>
      <c r="B417" s="290"/>
      <c r="C417" s="290"/>
    </row>
    <row r="418" spans="1:3" x14ac:dyDescent="0.25">
      <c r="A418" s="291"/>
      <c r="B418" s="290"/>
      <c r="C418" s="290"/>
    </row>
    <row r="419" spans="1:3" x14ac:dyDescent="0.25">
      <c r="A419" s="291"/>
      <c r="B419" s="290"/>
      <c r="C419" s="290"/>
    </row>
    <row r="420" spans="1:3" x14ac:dyDescent="0.25">
      <c r="A420" s="291"/>
      <c r="B420" s="290"/>
      <c r="C420" s="290"/>
    </row>
    <row r="421" spans="1:3" x14ac:dyDescent="0.25">
      <c r="A421" s="291"/>
      <c r="B421" s="290"/>
      <c r="C421" s="290"/>
    </row>
    <row r="422" spans="1:3" x14ac:dyDescent="0.25">
      <c r="A422" s="291"/>
      <c r="B422" s="290"/>
      <c r="C422" s="290"/>
    </row>
    <row r="423" spans="1:3" x14ac:dyDescent="0.25">
      <c r="A423" s="291"/>
      <c r="B423" s="290"/>
      <c r="C423" s="290"/>
    </row>
    <row r="424" spans="1:3" x14ac:dyDescent="0.25">
      <c r="A424" s="291"/>
      <c r="B424" s="290"/>
      <c r="C424" s="290"/>
    </row>
    <row r="425" spans="1:3" x14ac:dyDescent="0.25">
      <c r="A425" s="291"/>
      <c r="B425" s="290"/>
      <c r="C425" s="290"/>
    </row>
    <row r="426" spans="1:3" x14ac:dyDescent="0.25">
      <c r="A426" s="291"/>
      <c r="B426" s="290"/>
      <c r="C426" s="290"/>
    </row>
    <row r="427" spans="1:3" x14ac:dyDescent="0.25">
      <c r="A427" s="291"/>
      <c r="B427" s="290"/>
      <c r="C427" s="290"/>
    </row>
    <row r="428" spans="1:3" x14ac:dyDescent="0.25">
      <c r="A428" s="291"/>
      <c r="B428" s="290"/>
      <c r="C428" s="290"/>
    </row>
    <row r="429" spans="1:3" x14ac:dyDescent="0.25">
      <c r="A429" s="291"/>
      <c r="B429" s="290"/>
      <c r="C429" s="290"/>
    </row>
    <row r="430" spans="1:3" x14ac:dyDescent="0.25">
      <c r="A430" s="291"/>
      <c r="B430" s="290"/>
      <c r="C430" s="290"/>
    </row>
    <row r="431" spans="1:3" x14ac:dyDescent="0.25">
      <c r="A431" s="291"/>
      <c r="B431" s="290"/>
      <c r="C431" s="290"/>
    </row>
    <row r="432" spans="1:3" x14ac:dyDescent="0.25">
      <c r="A432" s="291"/>
      <c r="B432" s="290"/>
      <c r="C432" s="290"/>
    </row>
    <row r="433" spans="1:3" x14ac:dyDescent="0.25">
      <c r="A433" s="291"/>
      <c r="B433" s="290"/>
      <c r="C433" s="290"/>
    </row>
    <row r="434" spans="1:3" x14ac:dyDescent="0.25">
      <c r="A434" s="291"/>
      <c r="B434" s="290"/>
      <c r="C434" s="290"/>
    </row>
    <row r="435" spans="1:3" x14ac:dyDescent="0.25">
      <c r="A435" s="291"/>
      <c r="B435" s="290"/>
      <c r="C435" s="290"/>
    </row>
    <row r="436" spans="1:3" x14ac:dyDescent="0.25">
      <c r="A436" s="291"/>
      <c r="B436" s="290"/>
      <c r="C436" s="290"/>
    </row>
    <row r="437" spans="1:3" x14ac:dyDescent="0.25">
      <c r="A437" s="291"/>
      <c r="B437" s="290"/>
      <c r="C437" s="290"/>
    </row>
    <row r="438" spans="1:3" x14ac:dyDescent="0.25">
      <c r="A438" s="291"/>
      <c r="B438" s="290"/>
      <c r="C438" s="290"/>
    </row>
    <row r="439" spans="1:3" x14ac:dyDescent="0.25">
      <c r="A439" s="291"/>
      <c r="B439" s="290"/>
      <c r="C439" s="290"/>
    </row>
    <row r="440" spans="1:3" x14ac:dyDescent="0.25">
      <c r="A440" s="291"/>
      <c r="B440" s="290"/>
      <c r="C440" s="290"/>
    </row>
    <row r="441" spans="1:3" x14ac:dyDescent="0.25">
      <c r="A441" s="291"/>
      <c r="B441" s="290"/>
      <c r="C441" s="290"/>
    </row>
    <row r="442" spans="1:3" x14ac:dyDescent="0.25">
      <c r="A442" s="291"/>
      <c r="B442" s="290"/>
      <c r="C442" s="290"/>
    </row>
    <row r="443" spans="1:3" x14ac:dyDescent="0.25">
      <c r="A443" s="291"/>
      <c r="B443" s="290"/>
      <c r="C443" s="290"/>
    </row>
    <row r="444" spans="1:3" x14ac:dyDescent="0.25">
      <c r="A444" s="291"/>
      <c r="B444" s="290"/>
      <c r="C444" s="290"/>
    </row>
    <row r="445" spans="1:3" x14ac:dyDescent="0.25">
      <c r="A445" s="291"/>
      <c r="B445" s="290"/>
      <c r="C445" s="290"/>
    </row>
    <row r="446" spans="1:3" x14ac:dyDescent="0.25">
      <c r="A446" s="291"/>
      <c r="B446" s="290"/>
      <c r="C446" s="290"/>
    </row>
    <row r="447" spans="1:3" x14ac:dyDescent="0.25">
      <c r="A447" s="291"/>
      <c r="B447" s="290"/>
      <c r="C447" s="290"/>
    </row>
    <row r="448" spans="1:3" x14ac:dyDescent="0.25">
      <c r="A448" s="291"/>
      <c r="B448" s="290"/>
      <c r="C448" s="290"/>
    </row>
    <row r="449" spans="1:3" x14ac:dyDescent="0.25">
      <c r="A449" s="291"/>
      <c r="B449" s="290"/>
      <c r="C449" s="290"/>
    </row>
    <row r="450" spans="1:3" x14ac:dyDescent="0.25">
      <c r="A450" s="291"/>
      <c r="B450" s="290"/>
      <c r="C450" s="290"/>
    </row>
    <row r="451" spans="1:3" x14ac:dyDescent="0.25">
      <c r="A451" s="291"/>
      <c r="B451" s="290"/>
      <c r="C451" s="290"/>
    </row>
    <row r="452" spans="1:3" x14ac:dyDescent="0.25">
      <c r="A452" s="291"/>
      <c r="B452" s="290"/>
      <c r="C452" s="290"/>
    </row>
    <row r="453" spans="1:3" x14ac:dyDescent="0.25">
      <c r="A453" s="291"/>
      <c r="B453" s="290"/>
      <c r="C453" s="290"/>
    </row>
    <row r="454" spans="1:3" x14ac:dyDescent="0.25">
      <c r="A454" s="291"/>
      <c r="B454" s="290"/>
      <c r="C454" s="290"/>
    </row>
    <row r="455" spans="1:3" x14ac:dyDescent="0.25">
      <c r="A455" s="291"/>
      <c r="B455" s="290"/>
      <c r="C455" s="290"/>
    </row>
    <row r="456" spans="1:3" x14ac:dyDescent="0.25">
      <c r="A456" s="291"/>
      <c r="B456" s="290"/>
      <c r="C456" s="290"/>
    </row>
    <row r="457" spans="1:3" x14ac:dyDescent="0.25">
      <c r="A457" s="291"/>
      <c r="B457" s="290"/>
      <c r="C457" s="290"/>
    </row>
    <row r="458" spans="1:3" x14ac:dyDescent="0.25">
      <c r="A458" s="291"/>
      <c r="B458" s="290"/>
      <c r="C458" s="290"/>
    </row>
    <row r="459" spans="1:3" x14ac:dyDescent="0.25">
      <c r="A459" s="291"/>
      <c r="B459" s="290"/>
      <c r="C459" s="290"/>
    </row>
    <row r="460" spans="1:3" x14ac:dyDescent="0.25">
      <c r="A460" s="291"/>
      <c r="B460" s="290"/>
      <c r="C460" s="290"/>
    </row>
    <row r="461" spans="1:3" x14ac:dyDescent="0.25">
      <c r="A461" s="291"/>
      <c r="B461" s="290"/>
      <c r="C461" s="290"/>
    </row>
    <row r="462" spans="1:3" x14ac:dyDescent="0.25">
      <c r="A462" s="291"/>
      <c r="B462" s="290"/>
      <c r="C462" s="290"/>
    </row>
    <row r="463" spans="1:3" x14ac:dyDescent="0.25">
      <c r="A463" s="291"/>
      <c r="B463" s="290"/>
      <c r="C463" s="290"/>
    </row>
    <row r="464" spans="1:3" x14ac:dyDescent="0.25">
      <c r="A464" s="291"/>
      <c r="B464" s="290"/>
      <c r="C464" s="290"/>
    </row>
    <row r="465" spans="1:3" x14ac:dyDescent="0.25">
      <c r="A465" s="291"/>
      <c r="B465" s="290"/>
      <c r="C465" s="290"/>
    </row>
    <row r="466" spans="1:3" x14ac:dyDescent="0.25">
      <c r="A466" s="291"/>
      <c r="B466" s="290"/>
      <c r="C466" s="290"/>
    </row>
    <row r="467" spans="1:3" x14ac:dyDescent="0.25">
      <c r="A467" s="291"/>
      <c r="B467" s="290"/>
      <c r="C467" s="290"/>
    </row>
    <row r="468" spans="1:3" x14ac:dyDescent="0.25">
      <c r="A468" s="291"/>
      <c r="B468" s="290"/>
      <c r="C468" s="290"/>
    </row>
    <row r="469" spans="1:3" x14ac:dyDescent="0.25">
      <c r="A469" s="291"/>
      <c r="B469" s="290"/>
      <c r="C469" s="290"/>
    </row>
    <row r="470" spans="1:3" x14ac:dyDescent="0.25">
      <c r="A470" s="291"/>
      <c r="B470" s="290"/>
      <c r="C470" s="290"/>
    </row>
    <row r="471" spans="1:3" x14ac:dyDescent="0.25">
      <c r="A471" s="291"/>
      <c r="B471" s="290"/>
      <c r="C471" s="290"/>
    </row>
    <row r="472" spans="1:3" x14ac:dyDescent="0.25">
      <c r="A472" s="291"/>
      <c r="B472" s="290"/>
      <c r="C472" s="290"/>
    </row>
  </sheetData>
  <mergeCells count="2">
    <mergeCell ref="A2:C2"/>
    <mergeCell ref="B3:C3"/>
  </mergeCells>
  <hyperlinks>
    <hyperlink ref="B288" r:id="rId1" display="http://www.retecsa.com.ni/" xr:uid="{00000000-0004-0000-0B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32</vt:i4>
      </vt:variant>
    </vt:vector>
  </HeadingPairs>
  <TitlesOfParts>
    <vt:vector size="44" baseType="lpstr">
      <vt:lpstr>NI-R01-MCIT-T-01</vt:lpstr>
      <vt:lpstr>General</vt:lpstr>
      <vt:lpstr>kU(E)</vt:lpstr>
      <vt:lpstr>Calibración</vt:lpstr>
      <vt:lpstr>Datos Etiqueta</vt:lpstr>
      <vt:lpstr>DA °C (3 ptos)</vt:lpstr>
      <vt:lpstr>DA Unidad-K (5 ptos)</vt:lpstr>
      <vt:lpstr>DA Unidad-ºF to ºC (5 ptos)</vt:lpstr>
      <vt:lpstr>DA unidad ºC toºF</vt:lpstr>
      <vt:lpstr>CMC</vt:lpstr>
      <vt:lpstr>BD Patron</vt:lpstr>
      <vt:lpstr>BD Clientes</vt:lpstr>
      <vt:lpstr>CertCode</vt:lpstr>
      <vt:lpstr>CertDate</vt:lpstr>
      <vt:lpstr>CertHR</vt:lpstr>
      <vt:lpstr>CertHRIncerti</vt:lpstr>
      <vt:lpstr>CertNum</vt:lpstr>
      <vt:lpstr>CertPres</vt:lpstr>
      <vt:lpstr>CertPresIncert</vt:lpstr>
      <vt:lpstr>CertTempC</vt:lpstr>
      <vt:lpstr>CertTempFin</vt:lpstr>
      <vt:lpstr>CertTempIncerti</vt:lpstr>
      <vt:lpstr>CertTempIni</vt:lpstr>
      <vt:lpstr>ClientAdr</vt:lpstr>
      <vt:lpstr>ClientName</vt:lpstr>
      <vt:lpstr>ClientPlace</vt:lpstr>
      <vt:lpstr>coef_unidad</vt:lpstr>
      <vt:lpstr>decim</vt:lpstr>
      <vt:lpstr>DivEscalaPatr</vt:lpstr>
      <vt:lpstr>Histeresis</vt:lpstr>
      <vt:lpstr>Incert_Pozo</vt:lpstr>
      <vt:lpstr>NumPuntosCalib</vt:lpstr>
      <vt:lpstr>RangoMedida</vt:lpstr>
      <vt:lpstr>Rcuadrado</vt:lpstr>
      <vt:lpstr>ResolTerm</vt:lpstr>
      <vt:lpstr>tblComp_U</vt:lpstr>
      <vt:lpstr>TermometroCode</vt:lpstr>
      <vt:lpstr>TermometroIncertid</vt:lpstr>
      <vt:lpstr>TermometroMarca</vt:lpstr>
      <vt:lpstr>TermometroModelo</vt:lpstr>
      <vt:lpstr>TermometroResol</vt:lpstr>
      <vt:lpstr>TermometroSerie</vt:lpstr>
      <vt:lpstr>TermometroTipo</vt:lpstr>
      <vt:lpstr>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Garcia</dc:creator>
  <cp:lastModifiedBy>Francisco Garcia</cp:lastModifiedBy>
  <dcterms:created xsi:type="dcterms:W3CDTF">2024-04-26T17:29:42Z</dcterms:created>
  <dcterms:modified xsi:type="dcterms:W3CDTF">2026-06-15T17:43:12Z</dcterms:modified>
</cp:coreProperties>
</file>