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5.xml" ContentType="application/vnd.ms-excel.controlproperti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trlProps/ctrlProp6.xml" ContentType="application/vnd.ms-excel.controlproperties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trlProps/ctrlProp7.xml" ContentType="application/vnd.ms-excel.controlpropertie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trlProps/ctrlProp8.xml" ContentType="application/vnd.ms-excel.controlproperties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trlProps/ctrlProp9.xml" ContentType="application/vnd.ms-excel.controlproperties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trlProps/ctrlProp10.xml" ContentType="application/vnd.ms-excel.controlproperties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trlProps/ctrlProp12.xml" ContentType="application/vnd.ms-excel.controlpropertie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1_{557234A7-C3E7-426A-8627-37602DC9FB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11" r:id="rId1"/>
    <sheet name="punto 1" sheetId="2" r:id="rId2"/>
    <sheet name="punto 2" sheetId="3" r:id="rId3"/>
    <sheet name="punto 3" sheetId="4" r:id="rId4"/>
    <sheet name="punto 4" sheetId="5" r:id="rId5"/>
    <sheet name="punto 5" sheetId="6" r:id="rId6"/>
    <sheet name="punto 6" sheetId="7" r:id="rId7"/>
    <sheet name="punto 7" sheetId="8" r:id="rId8"/>
    <sheet name="punto 8" sheetId="9" r:id="rId9"/>
    <sheet name="punto 9" sheetId="10" r:id="rId10"/>
    <sheet name="punto 10" sheetId="12" r:id="rId11"/>
    <sheet name="RESULTADOS" sheetId="13" r:id="rId12"/>
    <sheet name="Datos Etiquetas" sheetId="19" r:id="rId13"/>
    <sheet name="DA °C (5 ptos)" sheetId="16" r:id="rId14"/>
    <sheet name="Trazabilidad" sheetId="18" r:id="rId15"/>
    <sheet name="Base de datos de los clientes" sheetId="1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CertDate" localSheetId="12">[1]General!$F$5</definedName>
    <definedName name="CertDate" localSheetId="14">[1]General!$F$5</definedName>
    <definedName name="CertDate">[2]General!$F$5</definedName>
    <definedName name="CertHR" localSheetId="12">[1]General!$I$13</definedName>
    <definedName name="CertHR" localSheetId="14">[1]General!$I$13</definedName>
    <definedName name="CertHR">[2]General!$I$13</definedName>
    <definedName name="CertHRIncerti" localSheetId="12">[1]General!$I$14</definedName>
    <definedName name="CertHRIncerti" localSheetId="14">[1]General!$I$14</definedName>
    <definedName name="CertHRIncerti">[2]General!$I$14</definedName>
    <definedName name="CertNum" localSheetId="12">[1]General!$F$3</definedName>
    <definedName name="CertNum" localSheetId="14">[1]General!$F$3</definedName>
    <definedName name="CertNum">[2]General!$F$3</definedName>
    <definedName name="CertPres">[1]General!$I$18</definedName>
    <definedName name="CertPresIncert">[1]General!$I$19</definedName>
    <definedName name="CertTempC" localSheetId="12">[1]General!$I$8</definedName>
    <definedName name="CertTempC" localSheetId="14">[1]General!$I$8</definedName>
    <definedName name="CertTempC">[2]General!$I$8</definedName>
    <definedName name="CertTempFin">[1]General!$I$7</definedName>
    <definedName name="CertTempIncerti" localSheetId="12">[1]General!$I$9</definedName>
    <definedName name="CertTempIncerti" localSheetId="14">[1]General!$I$9</definedName>
    <definedName name="CertTempIncerti">[2]General!$I$9</definedName>
    <definedName name="CertTempIni">[1]General!$I$6</definedName>
    <definedName name="coef_unidad" localSheetId="12">[1]Calibración!$D$8</definedName>
    <definedName name="coef_unidad" localSheetId="14">[1]Calibración!$D$8</definedName>
    <definedName name="coef_unidad">[2]Calibración!$E$7</definedName>
    <definedName name="decim" localSheetId="12">[1]Calibración!$E$9</definedName>
    <definedName name="decim" localSheetId="14">[1]Calibración!$E$9</definedName>
    <definedName name="decim">[2]Calibración!$F$9</definedName>
    <definedName name="deltaMconv">'[3]BD Patron'!$AM$17:$AT$28</definedName>
    <definedName name="deltaT">'[3]BD Patron'!$AM$16:$AT$16</definedName>
    <definedName name="dif_alt">[1]Calibración!$M$4</definedName>
    <definedName name="DivEscala">[1]General!$F$15</definedName>
    <definedName name="DivEscalaPatr" localSheetId="12">[1]Calibración!$I$4</definedName>
    <definedName name="DivEscalaPatr" localSheetId="14">[1]Calibración!$I$4</definedName>
    <definedName name="DivEscalaPatr">[2]Calibración!$J$6</definedName>
    <definedName name="EquipoCode">[1]General!$F$6</definedName>
    <definedName name="EquipoTipo">[1]General!$F$7</definedName>
    <definedName name="Histeresis">[2]Calibración!$P$4</definedName>
    <definedName name="Incert_Pozo" localSheetId="12">[1]Calibración!#REF!</definedName>
    <definedName name="Incert_Pozo" localSheetId="14">[1]Calibración!#REF!</definedName>
    <definedName name="Incert_Pozo">[2]Calibración!$Q$10</definedName>
    <definedName name="medio">[1]Calibración!$M$5</definedName>
    <definedName name="MnomDeltaT">'[3]BD Patron'!$AL$17:$AL$28</definedName>
    <definedName name="NumPuntosCalib" localSheetId="12">[1]Calibración!$V$52</definedName>
    <definedName name="NumPuntosCalib" localSheetId="14">[1]Calibración!$V$52</definedName>
    <definedName name="NumPuntosCalib">[2]Calibración!$P$40</definedName>
    <definedName name="NumPuntosCalib2">[1]Calibración!$AB$52</definedName>
    <definedName name="Patrons_List">[3]Calibración!$M$5:$M$54,[3]Calibración!$R$5:$R$54,[3]Calibración!$W$5:$W$54,[3]Calibración!$AB$5:$AB$54,[3]Calibración!$AG$5:$AG$54,[3]Calibración!$AL$5:$AL$54,[3]Calibración!$AQ$5:$AQ$54,[3]Calibración!$AV$5:$AV$54,[3]Calibración!$BA$5:$BA$54,[3]Calibración!$BF$5:$BF$54</definedName>
    <definedName name="RangoMed_max">[1]General!$F$14</definedName>
    <definedName name="RangoMed_min">[1]General!$F$13</definedName>
    <definedName name="RangoMedida">[2]General!$F$11</definedName>
    <definedName name="ResolInst">[1]Calibración!$E$4</definedName>
    <definedName name="ResolTerm">[2]Calibración!$F$5</definedName>
    <definedName name="RngLinealidad">[3]Calibración!$C$34:$C$44</definedName>
    <definedName name="tblComp_U" localSheetId="12">[1]!tblCompU[#Data]</definedName>
    <definedName name="tblComp_U" localSheetId="14">[1]!tblCompU[#Data]</definedName>
    <definedName name="tblComp_U">[2]!tblCompU[#Data]</definedName>
    <definedName name="TermometroCode">[2]General!$F$6</definedName>
    <definedName name="TermometroTipo">[2]General!$F$7</definedName>
    <definedName name="u_ecc">[3]Calibración!$C$54</definedName>
    <definedName name="u_rep">[3]Calibración!$G$28</definedName>
    <definedName name="uni" localSheetId="14">'[4]Entrada de datos'!$L$1:$L$3</definedName>
    <definedName name="uni">'[5]Entrada de datos'!$L$1:$L$3</definedName>
    <definedName name="unidad" localSheetId="12">[1]Calibración!$E$8</definedName>
    <definedName name="unidad" localSheetId="14">[1]Calibración!$E$8</definedName>
    <definedName name="unidad">[2]Calibración!$F$7</definedName>
    <definedName name="UnidadEscala" localSheetId="12">[6]Calibración!$C$15</definedName>
    <definedName name="UnidadEscala" localSheetId="14">[6]Calibración!$C$15</definedName>
    <definedName name="UnidadEscala">[3]Calibración!$C$2</definedName>
    <definedName name="UnidadPatron">[3]Calibración!$C$23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6" l="1"/>
  <c r="R35" i="16"/>
  <c r="R36" i="16"/>
  <c r="R37" i="16"/>
  <c r="R38" i="16"/>
  <c r="R39" i="16"/>
  <c r="R40" i="16"/>
  <c r="R41" i="16"/>
  <c r="R42" i="16"/>
  <c r="R43" i="16"/>
  <c r="L34" i="16"/>
  <c r="L35" i="16"/>
  <c r="L36" i="16"/>
  <c r="L37" i="16"/>
  <c r="L38" i="16"/>
  <c r="L39" i="16"/>
  <c r="L40" i="16"/>
  <c r="L41" i="16"/>
  <c r="L42" i="16"/>
  <c r="L43" i="16"/>
  <c r="F34" i="16"/>
  <c r="F35" i="16"/>
  <c r="F36" i="16"/>
  <c r="F37" i="16"/>
  <c r="F38" i="16"/>
  <c r="F39" i="16"/>
  <c r="F40" i="16"/>
  <c r="F41" i="16"/>
  <c r="F42" i="16"/>
  <c r="F43" i="16"/>
  <c r="D34" i="16"/>
  <c r="D35" i="16"/>
  <c r="D36" i="16"/>
  <c r="D37" i="16"/>
  <c r="D38" i="16"/>
  <c r="D39" i="16"/>
  <c r="D40" i="16"/>
  <c r="D41" i="16"/>
  <c r="D42" i="16"/>
  <c r="D43" i="16"/>
  <c r="P25" i="11"/>
  <c r="N25" i="11"/>
  <c r="L25" i="11"/>
  <c r="J25" i="11"/>
  <c r="F25" i="11"/>
  <c r="O16" i="16"/>
  <c r="E3" i="19" l="1"/>
  <c r="D3" i="19"/>
  <c r="C3" i="19"/>
  <c r="B3" i="19"/>
  <c r="G6" i="11"/>
  <c r="N8" i="16" l="1"/>
  <c r="N80" i="16" s="1"/>
  <c r="G46" i="16"/>
  <c r="E47" i="16"/>
  <c r="E46" i="16"/>
  <c r="B5" i="6"/>
  <c r="B6" i="6"/>
  <c r="B7" i="6"/>
  <c r="K53" i="6"/>
  <c r="F33" i="6" s="1"/>
  <c r="I33" i="6" s="1"/>
  <c r="C5" i="6"/>
  <c r="C6" i="6"/>
  <c r="C7" i="6"/>
  <c r="I52" i="6"/>
  <c r="B5" i="3"/>
  <c r="B6" i="3"/>
  <c r="B7" i="3"/>
  <c r="K53" i="3"/>
  <c r="F33" i="3" s="1"/>
  <c r="I33" i="3" s="1"/>
  <c r="C5" i="3"/>
  <c r="C6" i="3"/>
  <c r="C7" i="3"/>
  <c r="B5" i="4"/>
  <c r="B6" i="4"/>
  <c r="B7" i="4"/>
  <c r="K53" i="4"/>
  <c r="F33" i="4" s="1"/>
  <c r="I33" i="4" s="1"/>
  <c r="C5" i="4"/>
  <c r="C15" i="4" s="1"/>
  <c r="C42" i="4" s="1"/>
  <c r="F9" i="13" s="1"/>
  <c r="C6" i="4"/>
  <c r="C7" i="4"/>
  <c r="B5" i="5"/>
  <c r="B6" i="5"/>
  <c r="B7" i="5"/>
  <c r="K53" i="5"/>
  <c r="F33" i="5" s="1"/>
  <c r="I33" i="5" s="1"/>
  <c r="C5" i="5"/>
  <c r="C6" i="5"/>
  <c r="C7" i="5"/>
  <c r="I52" i="3"/>
  <c r="I52" i="4"/>
  <c r="I52" i="5"/>
  <c r="H4" i="2"/>
  <c r="H5" i="2"/>
  <c r="H6" i="2"/>
  <c r="H14" i="2" s="1"/>
  <c r="F29" i="2"/>
  <c r="I29" i="2" s="1"/>
  <c r="K53" i="2"/>
  <c r="F33" i="2" s="1"/>
  <c r="I33" i="2" s="1"/>
  <c r="G120" i="2"/>
  <c r="J120" i="2" s="1"/>
  <c r="G124" i="2"/>
  <c r="J124" i="2" s="1"/>
  <c r="N21" i="16"/>
  <c r="N20" i="16"/>
  <c r="N19" i="16"/>
  <c r="N18" i="16"/>
  <c r="N17" i="16"/>
  <c r="N15" i="16"/>
  <c r="N14" i="16"/>
  <c r="N13" i="16"/>
  <c r="N12" i="16"/>
  <c r="N10" i="16"/>
  <c r="N9" i="16"/>
  <c r="A92" i="16"/>
  <c r="A91" i="16"/>
  <c r="G47" i="16"/>
  <c r="R28" i="16"/>
  <c r="L28" i="16"/>
  <c r="F28" i="16"/>
  <c r="D28" i="16"/>
  <c r="N11" i="16"/>
  <c r="G112" i="2"/>
  <c r="J112" i="2" s="1"/>
  <c r="C5" i="2"/>
  <c r="C6" i="2"/>
  <c r="C7" i="2"/>
  <c r="D70" i="2"/>
  <c r="F31" i="2" s="1"/>
  <c r="I31" i="2" s="1"/>
  <c r="B63" i="2"/>
  <c r="B5" i="2"/>
  <c r="B6" i="2"/>
  <c r="B7" i="2"/>
  <c r="F27" i="3"/>
  <c r="I27" i="3" s="1"/>
  <c r="F29" i="3"/>
  <c r="I29" i="3" s="1"/>
  <c r="E69" i="3"/>
  <c r="D69" i="3"/>
  <c r="F27" i="4"/>
  <c r="I27" i="4" s="1"/>
  <c r="F29" i="4"/>
  <c r="I29" i="4" s="1"/>
  <c r="E70" i="4"/>
  <c r="F30" i="4" s="1"/>
  <c r="I30" i="4" s="1"/>
  <c r="D70" i="4"/>
  <c r="F31" i="4" s="1"/>
  <c r="I31" i="4" s="1"/>
  <c r="F27" i="5"/>
  <c r="I27" i="5" s="1"/>
  <c r="F29" i="5"/>
  <c r="I29" i="5" s="1"/>
  <c r="E69" i="5"/>
  <c r="D69" i="5"/>
  <c r="F27" i="6"/>
  <c r="I27" i="6" s="1"/>
  <c r="F29" i="6"/>
  <c r="I29" i="6" s="1"/>
  <c r="E69" i="6"/>
  <c r="D69" i="6"/>
  <c r="F27" i="2"/>
  <c r="I27" i="2" s="1"/>
  <c r="E69" i="2"/>
  <c r="D69" i="2"/>
  <c r="L21" i="13"/>
  <c r="O21" i="13" s="1"/>
  <c r="C5" i="7"/>
  <c r="C6" i="7"/>
  <c r="C7" i="7"/>
  <c r="C5" i="8"/>
  <c r="C6" i="8"/>
  <c r="C7" i="8"/>
  <c r="C5" i="9"/>
  <c r="C6" i="9"/>
  <c r="C7" i="9"/>
  <c r="C5" i="10"/>
  <c r="C6" i="10"/>
  <c r="C7" i="10"/>
  <c r="C5" i="12"/>
  <c r="C6" i="12"/>
  <c r="C7" i="12"/>
  <c r="B5" i="7"/>
  <c r="B6" i="7"/>
  <c r="B7" i="7"/>
  <c r="B5" i="8"/>
  <c r="B6" i="8"/>
  <c r="B7" i="8"/>
  <c r="B5" i="9"/>
  <c r="B6" i="9"/>
  <c r="B7" i="9"/>
  <c r="B5" i="10"/>
  <c r="B6" i="10"/>
  <c r="B7" i="10"/>
  <c r="B5" i="12"/>
  <c r="B6" i="12"/>
  <c r="B7" i="12"/>
  <c r="K107" i="3"/>
  <c r="J33" i="3" s="1"/>
  <c r="K107" i="4"/>
  <c r="J33" i="4" s="1"/>
  <c r="K107" i="5"/>
  <c r="J33" i="5" s="1"/>
  <c r="K107" i="6"/>
  <c r="J33" i="6" s="1"/>
  <c r="K107" i="7"/>
  <c r="J33" i="7" s="1"/>
  <c r="K107" i="8"/>
  <c r="J33" i="8" s="1"/>
  <c r="K107" i="9"/>
  <c r="J33" i="9" s="1"/>
  <c r="K107" i="10"/>
  <c r="J33" i="10" s="1"/>
  <c r="K107" i="12"/>
  <c r="J33" i="12" s="1"/>
  <c r="K107" i="2"/>
  <c r="J33" i="2" s="1"/>
  <c r="K128" i="3"/>
  <c r="K128" i="4"/>
  <c r="K105" i="4" s="1"/>
  <c r="K128" i="5"/>
  <c r="K128" i="6"/>
  <c r="K105" i="6" s="1"/>
  <c r="K128" i="7"/>
  <c r="K128" i="8"/>
  <c r="K128" i="9"/>
  <c r="K105" i="9" s="1"/>
  <c r="K128" i="10"/>
  <c r="K128" i="12"/>
  <c r="K105" i="12" s="1"/>
  <c r="K128" i="2"/>
  <c r="K105" i="2" s="1"/>
  <c r="G120" i="3"/>
  <c r="J120" i="3" s="1"/>
  <c r="G120" i="4"/>
  <c r="J120" i="4" s="1"/>
  <c r="G120" i="5"/>
  <c r="G120" i="6"/>
  <c r="J120" i="6" s="1"/>
  <c r="G120" i="7"/>
  <c r="G120" i="8"/>
  <c r="J120" i="8" s="1"/>
  <c r="G120" i="9"/>
  <c r="J120" i="9" s="1"/>
  <c r="G120" i="10"/>
  <c r="J120" i="10" s="1"/>
  <c r="G120" i="12"/>
  <c r="J120" i="12" s="1"/>
  <c r="F29" i="12"/>
  <c r="I29" i="12" s="1"/>
  <c r="F29" i="7"/>
  <c r="F29" i="8"/>
  <c r="I29" i="8" s="1"/>
  <c r="F29" i="9"/>
  <c r="I29" i="9" s="1"/>
  <c r="F29" i="10"/>
  <c r="I29" i="10" s="1"/>
  <c r="G125" i="3"/>
  <c r="J125" i="3" s="1"/>
  <c r="G125" i="4"/>
  <c r="J125" i="4" s="1"/>
  <c r="G125" i="5"/>
  <c r="J125" i="5" s="1"/>
  <c r="G125" i="6"/>
  <c r="J125" i="6" s="1"/>
  <c r="G125" i="7"/>
  <c r="J125" i="7" s="1"/>
  <c r="G125" i="8"/>
  <c r="G125" i="9"/>
  <c r="J125" i="9" s="1"/>
  <c r="G125" i="10"/>
  <c r="J125" i="10" s="1"/>
  <c r="G125" i="12"/>
  <c r="J125" i="12" s="1"/>
  <c r="G125" i="2"/>
  <c r="J125" i="2" s="1"/>
  <c r="G124" i="3"/>
  <c r="J124" i="3" s="1"/>
  <c r="G124" i="4"/>
  <c r="J124" i="4" s="1"/>
  <c r="G124" i="5"/>
  <c r="J124" i="5" s="1"/>
  <c r="G124" i="6"/>
  <c r="J124" i="6" s="1"/>
  <c r="G124" i="7"/>
  <c r="J124" i="7" s="1"/>
  <c r="G124" i="8"/>
  <c r="J124" i="8" s="1"/>
  <c r="G124" i="9"/>
  <c r="J124" i="9" s="1"/>
  <c r="G124" i="10"/>
  <c r="J124" i="10" s="1"/>
  <c r="G124" i="12"/>
  <c r="J124" i="12" s="1"/>
  <c r="J125" i="8"/>
  <c r="G113" i="3"/>
  <c r="J113" i="3" s="1"/>
  <c r="G113" i="4"/>
  <c r="J113" i="4" s="1"/>
  <c r="G113" i="5"/>
  <c r="J113" i="5" s="1"/>
  <c r="G113" i="6"/>
  <c r="J113" i="6" s="1"/>
  <c r="G113" i="7"/>
  <c r="J113" i="7" s="1"/>
  <c r="G113" i="8"/>
  <c r="J113" i="8" s="1"/>
  <c r="G113" i="9"/>
  <c r="J113" i="9" s="1"/>
  <c r="G113" i="10"/>
  <c r="J113" i="10" s="1"/>
  <c r="G113" i="12"/>
  <c r="J113" i="12" s="1"/>
  <c r="G113" i="2"/>
  <c r="J113" i="2" s="1"/>
  <c r="J59" i="3"/>
  <c r="J58" i="3" s="1"/>
  <c r="J59" i="4"/>
  <c r="J58" i="4" s="1"/>
  <c r="J59" i="5"/>
  <c r="J58" i="5" s="1"/>
  <c r="J59" i="6"/>
  <c r="J58" i="6" s="1"/>
  <c r="J59" i="7"/>
  <c r="J58" i="7" s="1"/>
  <c r="K58" i="7" s="1"/>
  <c r="J59" i="8"/>
  <c r="J58" i="8" s="1"/>
  <c r="J59" i="9"/>
  <c r="J58" i="9" s="1"/>
  <c r="J59" i="10"/>
  <c r="J58" i="10" s="1"/>
  <c r="J59" i="12"/>
  <c r="J58" i="12" s="1"/>
  <c r="J59" i="2"/>
  <c r="J58" i="2" s="1"/>
  <c r="G123" i="3"/>
  <c r="J123" i="3" s="1"/>
  <c r="G123" i="4"/>
  <c r="J123" i="4" s="1"/>
  <c r="G123" i="5"/>
  <c r="J123" i="5" s="1"/>
  <c r="G123" i="6"/>
  <c r="J123" i="6" s="1"/>
  <c r="G123" i="7"/>
  <c r="J123" i="7" s="1"/>
  <c r="G123" i="8"/>
  <c r="J123" i="8" s="1"/>
  <c r="G123" i="9"/>
  <c r="J123" i="9" s="1"/>
  <c r="G123" i="10"/>
  <c r="J123" i="10" s="1"/>
  <c r="G123" i="12"/>
  <c r="J123" i="12" s="1"/>
  <c r="G123" i="2"/>
  <c r="J123" i="2" s="1"/>
  <c r="G122" i="3"/>
  <c r="J122" i="3" s="1"/>
  <c r="G122" i="4"/>
  <c r="J122" i="4" s="1"/>
  <c r="G122" i="5"/>
  <c r="J122" i="5" s="1"/>
  <c r="G122" i="6"/>
  <c r="J122" i="6" s="1"/>
  <c r="G122" i="7"/>
  <c r="J122" i="7" s="1"/>
  <c r="G122" i="8"/>
  <c r="J122" i="8" s="1"/>
  <c r="G122" i="9"/>
  <c r="J122" i="9" s="1"/>
  <c r="G122" i="10"/>
  <c r="J122" i="10" s="1"/>
  <c r="G122" i="12"/>
  <c r="J122" i="12" s="1"/>
  <c r="G122" i="2"/>
  <c r="J122" i="2" s="1"/>
  <c r="D70" i="3"/>
  <c r="F31" i="3" s="1"/>
  <c r="I31" i="3" s="1"/>
  <c r="E70" i="3"/>
  <c r="F30" i="3" s="1"/>
  <c r="I30" i="3" s="1"/>
  <c r="D71" i="3"/>
  <c r="E71" i="3"/>
  <c r="D69" i="4"/>
  <c r="E69" i="4"/>
  <c r="D71" i="4"/>
  <c r="E71" i="4"/>
  <c r="D70" i="5"/>
  <c r="F31" i="5" s="1"/>
  <c r="I31" i="5" s="1"/>
  <c r="E70" i="5"/>
  <c r="F30" i="5" s="1"/>
  <c r="I30" i="5" s="1"/>
  <c r="D71" i="5"/>
  <c r="E71" i="5"/>
  <c r="D70" i="6"/>
  <c r="F31" i="6" s="1"/>
  <c r="I31" i="6" s="1"/>
  <c r="E70" i="6"/>
  <c r="F30" i="6" s="1"/>
  <c r="I30" i="6" s="1"/>
  <c r="D71" i="6"/>
  <c r="E71" i="6"/>
  <c r="D69" i="7"/>
  <c r="E69" i="7"/>
  <c r="D70" i="7"/>
  <c r="F31" i="7" s="1"/>
  <c r="I31" i="7" s="1"/>
  <c r="E70" i="7"/>
  <c r="F30" i="7" s="1"/>
  <c r="I30" i="7" s="1"/>
  <c r="D71" i="7"/>
  <c r="E71" i="7"/>
  <c r="D69" i="8"/>
  <c r="E69" i="8"/>
  <c r="D70" i="8"/>
  <c r="F31" i="8" s="1"/>
  <c r="I31" i="8" s="1"/>
  <c r="E70" i="8"/>
  <c r="F30" i="8" s="1"/>
  <c r="I30" i="8" s="1"/>
  <c r="D71" i="8"/>
  <c r="E71" i="8"/>
  <c r="D69" i="9"/>
  <c r="E69" i="9"/>
  <c r="D70" i="9"/>
  <c r="F31" i="9" s="1"/>
  <c r="I31" i="9" s="1"/>
  <c r="E70" i="9"/>
  <c r="F30" i="9" s="1"/>
  <c r="I30" i="9" s="1"/>
  <c r="D71" i="9"/>
  <c r="E71" i="9"/>
  <c r="D69" i="10"/>
  <c r="E69" i="10"/>
  <c r="D70" i="10"/>
  <c r="F31" i="10" s="1"/>
  <c r="I31" i="10" s="1"/>
  <c r="E70" i="10"/>
  <c r="F30" i="10" s="1"/>
  <c r="I30" i="10" s="1"/>
  <c r="D71" i="10"/>
  <c r="E71" i="10"/>
  <c r="D69" i="12"/>
  <c r="E69" i="12"/>
  <c r="D70" i="12"/>
  <c r="F31" i="12" s="1"/>
  <c r="I31" i="12" s="1"/>
  <c r="E70" i="12"/>
  <c r="F30" i="12" s="1"/>
  <c r="I30" i="12" s="1"/>
  <c r="D71" i="12"/>
  <c r="E71" i="12"/>
  <c r="E70" i="2"/>
  <c r="F30" i="2" s="1"/>
  <c r="I30" i="2" s="1"/>
  <c r="D71" i="2"/>
  <c r="E71" i="2"/>
  <c r="C70" i="3"/>
  <c r="C71" i="3"/>
  <c r="C70" i="4"/>
  <c r="C71" i="4"/>
  <c r="C70" i="5"/>
  <c r="C71" i="5"/>
  <c r="C70" i="6"/>
  <c r="C71" i="6"/>
  <c r="C70" i="7"/>
  <c r="C71" i="7"/>
  <c r="C70" i="8"/>
  <c r="C71" i="8"/>
  <c r="C70" i="9"/>
  <c r="C71" i="9"/>
  <c r="C70" i="10"/>
  <c r="C71" i="10"/>
  <c r="C70" i="12"/>
  <c r="C71" i="12"/>
  <c r="C70" i="2"/>
  <c r="C71" i="2"/>
  <c r="C69" i="3"/>
  <c r="C69" i="4"/>
  <c r="C69" i="5"/>
  <c r="C69" i="6"/>
  <c r="C69" i="7"/>
  <c r="C69" i="8"/>
  <c r="C69" i="9"/>
  <c r="C69" i="10"/>
  <c r="C69" i="12"/>
  <c r="C69" i="2"/>
  <c r="J21" i="13"/>
  <c r="C21" i="13"/>
  <c r="C16" i="13"/>
  <c r="C31" i="13" s="1"/>
  <c r="C15" i="13"/>
  <c r="C30" i="13"/>
  <c r="C14" i="13"/>
  <c r="C29" i="13" s="1"/>
  <c r="C13" i="13"/>
  <c r="C28" i="13" s="1"/>
  <c r="C12" i="13"/>
  <c r="C27" i="13" s="1"/>
  <c r="C11" i="13"/>
  <c r="C26" i="13" s="1"/>
  <c r="C10" i="13"/>
  <c r="C25" i="13" s="1"/>
  <c r="C9" i="13"/>
  <c r="C24" i="13" s="1"/>
  <c r="C8" i="13"/>
  <c r="C23" i="13" s="1"/>
  <c r="C7" i="13"/>
  <c r="C22" i="13" s="1"/>
  <c r="H25" i="11"/>
  <c r="G115" i="12"/>
  <c r="J115" i="12" s="1"/>
  <c r="B60" i="12"/>
  <c r="G127" i="12"/>
  <c r="J127" i="12" s="1"/>
  <c r="B59" i="12"/>
  <c r="I51" i="12"/>
  <c r="G28" i="12"/>
  <c r="F27" i="12"/>
  <c r="I27" i="12" s="1"/>
  <c r="G25" i="12"/>
  <c r="G115" i="10"/>
  <c r="J115" i="10" s="1"/>
  <c r="B60" i="10"/>
  <c r="B59" i="10"/>
  <c r="C78" i="10" s="1"/>
  <c r="C77" i="10" s="1"/>
  <c r="E77" i="10" s="1"/>
  <c r="I51" i="10"/>
  <c r="F27" i="10"/>
  <c r="I27" i="10" s="1"/>
  <c r="G115" i="9"/>
  <c r="J115" i="9" s="1"/>
  <c r="B60" i="9"/>
  <c r="G127" i="9"/>
  <c r="J127" i="9" s="1"/>
  <c r="B59" i="9"/>
  <c r="C78" i="9" s="1"/>
  <c r="C77" i="9" s="1"/>
  <c r="I51" i="9"/>
  <c r="F27" i="9"/>
  <c r="I27" i="9" s="1"/>
  <c r="G115" i="8"/>
  <c r="J115" i="8" s="1"/>
  <c r="B60" i="8"/>
  <c r="G127" i="8"/>
  <c r="J127" i="8" s="1"/>
  <c r="B59" i="8"/>
  <c r="C78" i="8" s="1"/>
  <c r="C77" i="8" s="1"/>
  <c r="D77" i="8" s="1"/>
  <c r="I51" i="8"/>
  <c r="F27" i="8"/>
  <c r="I27" i="8" s="1"/>
  <c r="G115" i="7"/>
  <c r="J115" i="7" s="1"/>
  <c r="B60" i="7"/>
  <c r="B59" i="7"/>
  <c r="C78" i="7" s="1"/>
  <c r="C77" i="7" s="1"/>
  <c r="B77" i="7" s="1"/>
  <c r="I51" i="7"/>
  <c r="I29" i="7"/>
  <c r="F27" i="7"/>
  <c r="I27" i="7" s="1"/>
  <c r="G115" i="6"/>
  <c r="J115" i="6" s="1"/>
  <c r="B60" i="6"/>
  <c r="B59" i="6"/>
  <c r="C78" i="6" s="1"/>
  <c r="C77" i="6" s="1"/>
  <c r="B77" i="6" s="1"/>
  <c r="I51" i="6"/>
  <c r="G115" i="5"/>
  <c r="J115" i="5" s="1"/>
  <c r="B60" i="5"/>
  <c r="B59" i="5"/>
  <c r="C78" i="5" s="1"/>
  <c r="C77" i="5" s="1"/>
  <c r="E77" i="5" s="1"/>
  <c r="I51" i="5"/>
  <c r="G115" i="4"/>
  <c r="J115" i="4" s="1"/>
  <c r="B60" i="4"/>
  <c r="B59" i="4"/>
  <c r="C78" i="4" s="1"/>
  <c r="C77" i="4" s="1"/>
  <c r="B77" i="4" s="1"/>
  <c r="I51" i="4"/>
  <c r="I103" i="4" s="1"/>
  <c r="G28" i="4"/>
  <c r="G25" i="4"/>
  <c r="G115" i="3"/>
  <c r="J115" i="3" s="1"/>
  <c r="B60" i="3"/>
  <c r="B59" i="3"/>
  <c r="C78" i="3" s="1"/>
  <c r="C77" i="3" s="1"/>
  <c r="B77" i="3" s="1"/>
  <c r="B79" i="3" s="1"/>
  <c r="I51" i="3"/>
  <c r="G115" i="2"/>
  <c r="J115" i="2" s="1"/>
  <c r="G127" i="7"/>
  <c r="J127" i="7" s="1"/>
  <c r="G127" i="5"/>
  <c r="J127" i="5" s="1"/>
  <c r="G127" i="6"/>
  <c r="J127" i="6" s="1"/>
  <c r="G127" i="10"/>
  <c r="J127" i="10" s="1"/>
  <c r="G127" i="3"/>
  <c r="J127" i="3" s="1"/>
  <c r="G127" i="4"/>
  <c r="J127" i="4" s="1"/>
  <c r="G24" i="12"/>
  <c r="G33" i="12"/>
  <c r="G32" i="12"/>
  <c r="G31" i="12"/>
  <c r="G30" i="12"/>
  <c r="G29" i="12"/>
  <c r="G27" i="12"/>
  <c r="C78" i="12"/>
  <c r="C77" i="12" s="1"/>
  <c r="G26" i="12"/>
  <c r="J24" i="8"/>
  <c r="G24" i="4"/>
  <c r="G33" i="4"/>
  <c r="G32" i="4"/>
  <c r="G31" i="4"/>
  <c r="G30" i="4"/>
  <c r="G29" i="4"/>
  <c r="G27" i="4"/>
  <c r="G26" i="4"/>
  <c r="G112" i="7"/>
  <c r="J112" i="7" s="1"/>
  <c r="G112" i="8"/>
  <c r="J112" i="8" s="1"/>
  <c r="G112" i="9"/>
  <c r="J112" i="9" s="1"/>
  <c r="G112" i="3"/>
  <c r="J112" i="3" s="1"/>
  <c r="G112" i="4"/>
  <c r="J112" i="4" s="1"/>
  <c r="G112" i="12"/>
  <c r="J112" i="12" s="1"/>
  <c r="G112" i="6"/>
  <c r="J112" i="6" s="1"/>
  <c r="G112" i="10"/>
  <c r="J112" i="10" s="1"/>
  <c r="G112" i="5"/>
  <c r="J112" i="5" s="1"/>
  <c r="G24" i="10"/>
  <c r="G26" i="10"/>
  <c r="G33" i="10"/>
  <c r="G32" i="10"/>
  <c r="G31" i="10"/>
  <c r="G30" i="10"/>
  <c r="G29" i="10"/>
  <c r="G28" i="10"/>
  <c r="G27" i="10"/>
  <c r="G25" i="10"/>
  <c r="G24" i="9"/>
  <c r="G28" i="9"/>
  <c r="G27" i="9"/>
  <c r="G25" i="9"/>
  <c r="G33" i="9"/>
  <c r="G32" i="9"/>
  <c r="G31" i="9"/>
  <c r="G30" i="9"/>
  <c r="G29" i="9"/>
  <c r="G26" i="9"/>
  <c r="G24" i="8"/>
  <c r="G28" i="8"/>
  <c r="G27" i="8"/>
  <c r="G26" i="8"/>
  <c r="G33" i="8"/>
  <c r="G32" i="8"/>
  <c r="G31" i="8"/>
  <c r="G30" i="8"/>
  <c r="G29" i="8"/>
  <c r="G25" i="8"/>
  <c r="G24" i="7"/>
  <c r="G27" i="7"/>
  <c r="G25" i="7"/>
  <c r="G33" i="7"/>
  <c r="G32" i="7"/>
  <c r="G31" i="7"/>
  <c r="G30" i="7"/>
  <c r="G29" i="7"/>
  <c r="G28" i="7"/>
  <c r="G26" i="7"/>
  <c r="G24" i="6"/>
  <c r="G33" i="6"/>
  <c r="G32" i="6"/>
  <c r="G31" i="6"/>
  <c r="G30" i="6"/>
  <c r="G29" i="6"/>
  <c r="G28" i="6"/>
  <c r="G27" i="6"/>
  <c r="G26" i="6"/>
  <c r="G25" i="6"/>
  <c r="G24" i="5"/>
  <c r="G28" i="5"/>
  <c r="G27" i="5"/>
  <c r="G26" i="5"/>
  <c r="G33" i="5"/>
  <c r="G32" i="5"/>
  <c r="G31" i="5"/>
  <c r="G30" i="5"/>
  <c r="G29" i="5"/>
  <c r="G25" i="5"/>
  <c r="G126" i="12"/>
  <c r="J126" i="12" s="1"/>
  <c r="B61" i="12"/>
  <c r="B62" i="12"/>
  <c r="G126" i="10"/>
  <c r="J126" i="10" s="1"/>
  <c r="B61" i="10"/>
  <c r="B62" i="10"/>
  <c r="G126" i="9"/>
  <c r="J126" i="9" s="1"/>
  <c r="B61" i="9"/>
  <c r="B62" i="9"/>
  <c r="G126" i="8"/>
  <c r="J126" i="8" s="1"/>
  <c r="B61" i="8"/>
  <c r="B62" i="8"/>
  <c r="G126" i="7"/>
  <c r="J126" i="7" s="1"/>
  <c r="B61" i="7"/>
  <c r="B62" i="7"/>
  <c r="G126" i="6"/>
  <c r="J126" i="6" s="1"/>
  <c r="B61" i="6"/>
  <c r="B62" i="6"/>
  <c r="G126" i="5"/>
  <c r="J126" i="5" s="1"/>
  <c r="B61" i="5"/>
  <c r="B62" i="5"/>
  <c r="G126" i="4"/>
  <c r="J126" i="4" s="1"/>
  <c r="B61" i="4"/>
  <c r="B62" i="4"/>
  <c r="G126" i="3"/>
  <c r="J126" i="3" s="1"/>
  <c r="B61" i="3"/>
  <c r="B62" i="3"/>
  <c r="B63" i="4"/>
  <c r="G121" i="4"/>
  <c r="J121" i="4" s="1"/>
  <c r="B63" i="7"/>
  <c r="G121" i="7"/>
  <c r="J121" i="7" s="1"/>
  <c r="B63" i="9"/>
  <c r="G121" i="9"/>
  <c r="J121" i="9" s="1"/>
  <c r="B63" i="3"/>
  <c r="G121" i="3"/>
  <c r="J121" i="3" s="1"/>
  <c r="B63" i="6"/>
  <c r="G121" i="6"/>
  <c r="J121" i="6" s="1"/>
  <c r="J120" i="7"/>
  <c r="B63" i="12"/>
  <c r="G121" i="12"/>
  <c r="J121" i="12" s="1"/>
  <c r="B63" i="5"/>
  <c r="G121" i="5"/>
  <c r="J121" i="5" s="1"/>
  <c r="B63" i="8"/>
  <c r="G121" i="8"/>
  <c r="J121" i="8" s="1"/>
  <c r="B63" i="10"/>
  <c r="G121" i="10"/>
  <c r="J121" i="10" s="1"/>
  <c r="I52" i="12"/>
  <c r="I52" i="10"/>
  <c r="I52" i="7"/>
  <c r="J120" i="5"/>
  <c r="G105" i="4"/>
  <c r="G105" i="3"/>
  <c r="K105" i="3"/>
  <c r="K105" i="7"/>
  <c r="G105" i="7"/>
  <c r="I52" i="9"/>
  <c r="I52" i="8"/>
  <c r="G105" i="10"/>
  <c r="K105" i="10"/>
  <c r="G105" i="12"/>
  <c r="G105" i="9"/>
  <c r="K105" i="5"/>
  <c r="G105" i="5"/>
  <c r="K105" i="8"/>
  <c r="G105" i="8"/>
  <c r="G105" i="6"/>
  <c r="I51" i="2"/>
  <c r="P18" i="11"/>
  <c r="B60" i="2"/>
  <c r="B59" i="2"/>
  <c r="C78" i="2" s="1"/>
  <c r="C77" i="2" s="1"/>
  <c r="J13" i="11"/>
  <c r="D13" i="11"/>
  <c r="B4" i="8" s="1"/>
  <c r="G103" i="3"/>
  <c r="G103" i="7"/>
  <c r="G103" i="12"/>
  <c r="G103" i="4"/>
  <c r="G103" i="8"/>
  <c r="G103" i="2"/>
  <c r="G103" i="5"/>
  <c r="G103" i="9"/>
  <c r="G103" i="6"/>
  <c r="G103" i="10"/>
  <c r="I50" i="10"/>
  <c r="I50" i="6"/>
  <c r="I50" i="12"/>
  <c r="I105" i="12" s="1"/>
  <c r="J105" i="12" s="1"/>
  <c r="K52" i="12" s="1"/>
  <c r="I50" i="9"/>
  <c r="I50" i="5"/>
  <c r="I104" i="5" s="1"/>
  <c r="I50" i="3"/>
  <c r="I50" i="8"/>
  <c r="I50" i="4"/>
  <c r="I50" i="7"/>
  <c r="I105" i="7" s="1"/>
  <c r="J105" i="7" s="1"/>
  <c r="K52" i="7" s="1"/>
  <c r="I50" i="2"/>
  <c r="G127" i="2"/>
  <c r="J127" i="2" s="1"/>
  <c r="B61" i="2"/>
  <c r="B62" i="2"/>
  <c r="G126" i="2"/>
  <c r="J126" i="2" s="1"/>
  <c r="G121" i="2"/>
  <c r="J121" i="2" s="1"/>
  <c r="G5" i="2"/>
  <c r="G6" i="2"/>
  <c r="G4" i="2"/>
  <c r="I18" i="11"/>
  <c r="G18" i="11"/>
  <c r="G104" i="10"/>
  <c r="G104" i="9"/>
  <c r="G104" i="3"/>
  <c r="G104" i="4"/>
  <c r="G104" i="12"/>
  <c r="G104" i="8"/>
  <c r="G104" i="6"/>
  <c r="G104" i="7"/>
  <c r="G104" i="5"/>
  <c r="G104" i="2"/>
  <c r="K53" i="7"/>
  <c r="F33" i="7" s="1"/>
  <c r="I33" i="7" s="1"/>
  <c r="K53" i="12"/>
  <c r="F33" i="12" s="1"/>
  <c r="I33" i="12" s="1"/>
  <c r="K53" i="10"/>
  <c r="F33" i="10" s="1"/>
  <c r="I33" i="10" s="1"/>
  <c r="K53" i="8"/>
  <c r="F33" i="8" s="1"/>
  <c r="I33" i="8" s="1"/>
  <c r="K53" i="9"/>
  <c r="F33" i="9" s="1"/>
  <c r="I33" i="9" s="1"/>
  <c r="I52" i="2"/>
  <c r="G105" i="2"/>
  <c r="J28" i="7" l="1"/>
  <c r="B4" i="12"/>
  <c r="I105" i="9"/>
  <c r="J105" i="9" s="1"/>
  <c r="K52" i="9" s="1"/>
  <c r="J28" i="2"/>
  <c r="G21" i="13"/>
  <c r="I21" i="13" s="1"/>
  <c r="K21" i="13" s="1"/>
  <c r="M21" i="13" s="1"/>
  <c r="J28" i="3"/>
  <c r="J24" i="6"/>
  <c r="I105" i="2"/>
  <c r="I104" i="12"/>
  <c r="J104" i="12" s="1"/>
  <c r="K51" i="12" s="1"/>
  <c r="I104" i="8"/>
  <c r="J104" i="8" s="1"/>
  <c r="K51" i="8" s="1"/>
  <c r="I103" i="3"/>
  <c r="J103" i="3" s="1"/>
  <c r="K50" i="3" s="1"/>
  <c r="I104" i="10"/>
  <c r="J28" i="4"/>
  <c r="I103" i="6"/>
  <c r="J103" i="6" s="1"/>
  <c r="K50" i="6" s="1"/>
  <c r="G15" i="2"/>
  <c r="I105" i="5"/>
  <c r="I104" i="9"/>
  <c r="I103" i="7"/>
  <c r="J103" i="7" s="1"/>
  <c r="K50" i="7" s="1"/>
  <c r="I103" i="10"/>
  <c r="J103" i="10" s="1"/>
  <c r="K50" i="10" s="1"/>
  <c r="J24" i="7"/>
  <c r="J28" i="12"/>
  <c r="J28" i="10"/>
  <c r="J28" i="9"/>
  <c r="J28" i="8"/>
  <c r="C15" i="7"/>
  <c r="C42" i="7" s="1"/>
  <c r="F12" i="13" s="1"/>
  <c r="B15" i="5"/>
  <c r="I78" i="5" s="1"/>
  <c r="I77" i="5" s="1"/>
  <c r="B79" i="7"/>
  <c r="C79" i="7"/>
  <c r="E79" i="7" s="1"/>
  <c r="K47" i="9"/>
  <c r="D42" i="9" s="1"/>
  <c r="G14" i="13" s="1"/>
  <c r="I103" i="12"/>
  <c r="J103" i="12" s="1"/>
  <c r="K50" i="12" s="1"/>
  <c r="B15" i="9"/>
  <c r="B16" i="7"/>
  <c r="F24" i="7" s="1"/>
  <c r="I24" i="7" s="1"/>
  <c r="K47" i="12"/>
  <c r="D42" i="12" s="1"/>
  <c r="G16" i="13" s="1"/>
  <c r="K47" i="10"/>
  <c r="D42" i="10" s="1"/>
  <c r="G15" i="13" s="1"/>
  <c r="K47" i="3"/>
  <c r="D42" i="3" s="1"/>
  <c r="G8" i="13" s="1"/>
  <c r="K47" i="6"/>
  <c r="D42" i="6" s="1"/>
  <c r="G11" i="13" s="1"/>
  <c r="J103" i="4"/>
  <c r="K50" i="4" s="1"/>
  <c r="J128" i="4"/>
  <c r="J24" i="5"/>
  <c r="J24" i="12"/>
  <c r="J24" i="10"/>
  <c r="C16" i="4"/>
  <c r="F28" i="4" s="1"/>
  <c r="I28" i="4" s="1"/>
  <c r="J24" i="3"/>
  <c r="J28" i="6"/>
  <c r="J128" i="9"/>
  <c r="B77" i="12"/>
  <c r="E77" i="12"/>
  <c r="D77" i="12"/>
  <c r="J128" i="3"/>
  <c r="E77" i="2"/>
  <c r="D77" i="2"/>
  <c r="B77" i="2"/>
  <c r="B79" i="2" s="1"/>
  <c r="I105" i="3"/>
  <c r="J105" i="3" s="1"/>
  <c r="K52" i="3" s="1"/>
  <c r="J14" i="11"/>
  <c r="D79" i="7"/>
  <c r="E77" i="8"/>
  <c r="C16" i="10"/>
  <c r="F28" i="10" s="1"/>
  <c r="I28" i="10" s="1"/>
  <c r="J128" i="5"/>
  <c r="C15" i="10"/>
  <c r="C42" i="10" s="1"/>
  <c r="F15" i="13" s="1"/>
  <c r="H30" i="13" s="1"/>
  <c r="I104" i="7"/>
  <c r="J104" i="7" s="1"/>
  <c r="K51" i="7" s="1"/>
  <c r="B16" i="8"/>
  <c r="F24" i="8" s="1"/>
  <c r="I24" i="8" s="1"/>
  <c r="C16" i="3"/>
  <c r="F28" i="3" s="1"/>
  <c r="I28" i="3" s="1"/>
  <c r="B15" i="6"/>
  <c r="I78" i="6" s="1"/>
  <c r="I77" i="6" s="1"/>
  <c r="J77" i="6" s="1"/>
  <c r="I103" i="8"/>
  <c r="J103" i="8" s="1"/>
  <c r="K50" i="8" s="1"/>
  <c r="C15" i="12"/>
  <c r="C42" i="12" s="1"/>
  <c r="F16" i="13" s="1"/>
  <c r="C15" i="9"/>
  <c r="C42" i="9" s="1"/>
  <c r="F14" i="13" s="1"/>
  <c r="I103" i="5"/>
  <c r="J103" i="5" s="1"/>
  <c r="B16" i="5"/>
  <c r="F24" i="5" s="1"/>
  <c r="I24" i="5" s="1"/>
  <c r="B16" i="6"/>
  <c r="F24" i="6" s="1"/>
  <c r="I24" i="6" s="1"/>
  <c r="I104" i="6"/>
  <c r="J104" i="6" s="1"/>
  <c r="K51" i="6" s="1"/>
  <c r="I105" i="8"/>
  <c r="J105" i="8" s="1"/>
  <c r="K52" i="8" s="1"/>
  <c r="J105" i="5"/>
  <c r="K52" i="5" s="1"/>
  <c r="J128" i="12"/>
  <c r="B16" i="12"/>
  <c r="F24" i="12" s="1"/>
  <c r="I24" i="12" s="1"/>
  <c r="I105" i="6"/>
  <c r="J105" i="6" s="1"/>
  <c r="K52" i="6" s="1"/>
  <c r="J128" i="7"/>
  <c r="B15" i="7"/>
  <c r="C15" i="8"/>
  <c r="C42" i="8" s="1"/>
  <c r="F13" i="13" s="1"/>
  <c r="C15" i="3"/>
  <c r="C42" i="3" s="1"/>
  <c r="F8" i="13" s="1"/>
  <c r="J128" i="10"/>
  <c r="B15" i="10"/>
  <c r="I78" i="10" s="1"/>
  <c r="I77" i="10" s="1"/>
  <c r="C16" i="12"/>
  <c r="F28" i="12" s="1"/>
  <c r="I28" i="12" s="1"/>
  <c r="C15" i="6"/>
  <c r="C42" i="6" s="1"/>
  <c r="F11" i="13" s="1"/>
  <c r="J128" i="8"/>
  <c r="J24" i="9"/>
  <c r="C16" i="6"/>
  <c r="F28" i="6" s="1"/>
  <c r="I28" i="6" s="1"/>
  <c r="D77" i="9"/>
  <c r="E77" i="9"/>
  <c r="B77" i="9"/>
  <c r="C17" i="8"/>
  <c r="C18" i="8" s="1"/>
  <c r="B48" i="8"/>
  <c r="K47" i="4"/>
  <c r="D42" i="4" s="1"/>
  <c r="G9" i="13" s="1"/>
  <c r="H24" i="13" s="1"/>
  <c r="F31" i="16" s="1"/>
  <c r="I105" i="4"/>
  <c r="J105" i="4" s="1"/>
  <c r="I104" i="4"/>
  <c r="J104" i="4" s="1"/>
  <c r="K51" i="4" s="1"/>
  <c r="B48" i="12"/>
  <c r="C17" i="12"/>
  <c r="C18" i="12" s="1"/>
  <c r="J128" i="6"/>
  <c r="C4" i="8"/>
  <c r="C41" i="8" s="1"/>
  <c r="C4" i="5"/>
  <c r="C41" i="5" s="1"/>
  <c r="B4" i="9"/>
  <c r="C4" i="12"/>
  <c r="C41" i="12" s="1"/>
  <c r="C4" i="6"/>
  <c r="C41" i="6" s="1"/>
  <c r="L26" i="11"/>
  <c r="D14" i="11"/>
  <c r="D18" i="11" s="1"/>
  <c r="J18" i="11" s="1"/>
  <c r="N26" i="11"/>
  <c r="B4" i="7"/>
  <c r="B4" i="3"/>
  <c r="B4" i="10"/>
  <c r="T26" i="11"/>
  <c r="P26" i="11"/>
  <c r="V26" i="11"/>
  <c r="C4" i="10"/>
  <c r="C41" i="10" s="1"/>
  <c r="B4" i="2"/>
  <c r="C4" i="3"/>
  <c r="C41" i="3" s="1"/>
  <c r="B4" i="4"/>
  <c r="B4" i="5"/>
  <c r="C4" i="7"/>
  <c r="C41" i="7" s="1"/>
  <c r="J26" i="11"/>
  <c r="H26" i="11"/>
  <c r="F26" i="11"/>
  <c r="C4" i="4"/>
  <c r="C41" i="4" s="1"/>
  <c r="R26" i="11"/>
  <c r="G24" i="3"/>
  <c r="G25" i="3" s="1"/>
  <c r="G26" i="3" s="1"/>
  <c r="G27" i="3" s="1"/>
  <c r="G28" i="3" s="1"/>
  <c r="G29" i="3" s="1"/>
  <c r="G30" i="3" s="1"/>
  <c r="G31" i="3" s="1"/>
  <c r="G32" i="3" s="1"/>
  <c r="G33" i="3" s="1"/>
  <c r="F6" i="13"/>
  <c r="H21" i="13" s="1"/>
  <c r="C4" i="9"/>
  <c r="C41" i="9" s="1"/>
  <c r="B4" i="6"/>
  <c r="Z26" i="11"/>
  <c r="X26" i="11"/>
  <c r="C4" i="2"/>
  <c r="C79" i="4"/>
  <c r="B79" i="4"/>
  <c r="J105" i="2"/>
  <c r="K52" i="2" s="1"/>
  <c r="I58" i="7"/>
  <c r="L58" i="7"/>
  <c r="B79" i="6"/>
  <c r="C79" i="6"/>
  <c r="D77" i="6"/>
  <c r="E77" i="6"/>
  <c r="C15" i="5"/>
  <c r="C42" i="5" s="1"/>
  <c r="F10" i="13" s="1"/>
  <c r="J28" i="5"/>
  <c r="K58" i="8"/>
  <c r="L58" i="8"/>
  <c r="K47" i="5"/>
  <c r="D42" i="5" s="1"/>
  <c r="G10" i="13" s="1"/>
  <c r="E77" i="7"/>
  <c r="D77" i="7"/>
  <c r="B77" i="10"/>
  <c r="D77" i="10"/>
  <c r="I58" i="2"/>
  <c r="K58" i="2"/>
  <c r="L58" i="2"/>
  <c r="I58" i="6"/>
  <c r="L58" i="6"/>
  <c r="K58" i="6"/>
  <c r="B16" i="9"/>
  <c r="F24" i="9" s="1"/>
  <c r="I24" i="9" s="1"/>
  <c r="C16" i="7"/>
  <c r="F28" i="7" s="1"/>
  <c r="I28" i="7" s="1"/>
  <c r="C16" i="5"/>
  <c r="F28" i="5" s="1"/>
  <c r="I28" i="5" s="1"/>
  <c r="A42" i="9"/>
  <c r="I78" i="9"/>
  <c r="I77" i="9" s="1"/>
  <c r="I103" i="2"/>
  <c r="J103" i="2" s="1"/>
  <c r="K50" i="2" s="1"/>
  <c r="J104" i="9"/>
  <c r="K51" i="9" s="1"/>
  <c r="I104" i="3"/>
  <c r="J104" i="3" s="1"/>
  <c r="I103" i="9"/>
  <c r="J103" i="9" s="1"/>
  <c r="C79" i="3"/>
  <c r="I58" i="12"/>
  <c r="L58" i="12"/>
  <c r="K58" i="12"/>
  <c r="L58" i="5"/>
  <c r="K58" i="5"/>
  <c r="I58" i="5"/>
  <c r="B16" i="4"/>
  <c r="F24" i="4" s="1"/>
  <c r="I24" i="4" s="1"/>
  <c r="J24" i="4"/>
  <c r="B15" i="4"/>
  <c r="B16" i="3"/>
  <c r="F24" i="3" s="1"/>
  <c r="I24" i="3" s="1"/>
  <c r="K47" i="8"/>
  <c r="D42" i="8" s="1"/>
  <c r="G13" i="13" s="1"/>
  <c r="J104" i="5"/>
  <c r="K51" i="5" s="1"/>
  <c r="J104" i="10"/>
  <c r="K51" i="10" s="1"/>
  <c r="K47" i="7"/>
  <c r="D42" i="7" s="1"/>
  <c r="G12" i="13" s="1"/>
  <c r="G26" i="11"/>
  <c r="I26" i="11" s="1"/>
  <c r="K26" i="11" s="1"/>
  <c r="M26" i="11" s="1"/>
  <c r="O26" i="11" s="1"/>
  <c r="Q26" i="11" s="1"/>
  <c r="S26" i="11" s="1"/>
  <c r="U26" i="11" s="1"/>
  <c r="W26" i="11" s="1"/>
  <c r="Y26" i="11" s="1"/>
  <c r="AA26" i="11" s="1"/>
  <c r="E77" i="3"/>
  <c r="D77" i="3"/>
  <c r="I58" i="4"/>
  <c r="K58" i="4"/>
  <c r="L58" i="4"/>
  <c r="C16" i="9"/>
  <c r="F28" i="9" s="1"/>
  <c r="I28" i="9" s="1"/>
  <c r="A42" i="10"/>
  <c r="I58" i="8"/>
  <c r="I105" i="10"/>
  <c r="J105" i="10" s="1"/>
  <c r="K52" i="10" s="1"/>
  <c r="G14" i="2"/>
  <c r="L58" i="10"/>
  <c r="K58" i="10"/>
  <c r="I58" i="10"/>
  <c r="I58" i="3"/>
  <c r="L58" i="3"/>
  <c r="K58" i="3"/>
  <c r="D77" i="4"/>
  <c r="E77" i="4"/>
  <c r="B77" i="5"/>
  <c r="D77" i="5"/>
  <c r="B79" i="12"/>
  <c r="C79" i="12"/>
  <c r="L58" i="9"/>
  <c r="K58" i="9"/>
  <c r="I58" i="9"/>
  <c r="B15" i="8"/>
  <c r="J128" i="2"/>
  <c r="B77" i="8"/>
  <c r="C16" i="8"/>
  <c r="F28" i="8" s="1"/>
  <c r="I28" i="8" s="1"/>
  <c r="C15" i="2"/>
  <c r="C42" i="2" s="1"/>
  <c r="F7" i="13" s="1"/>
  <c r="B16" i="10"/>
  <c r="F24" i="10" s="1"/>
  <c r="I24" i="10" s="1"/>
  <c r="J24" i="2"/>
  <c r="B15" i="3"/>
  <c r="B15" i="12"/>
  <c r="C16" i="2"/>
  <c r="F28" i="2" s="1"/>
  <c r="I28" i="2" s="1"/>
  <c r="H15" i="2"/>
  <c r="B16" i="2"/>
  <c r="F24" i="2" s="1"/>
  <c r="I24" i="2" s="1"/>
  <c r="B15" i="2"/>
  <c r="I78" i="2" s="1"/>
  <c r="I77" i="2" s="1"/>
  <c r="I104" i="2"/>
  <c r="J104" i="2" s="1"/>
  <c r="K51" i="2" s="1"/>
  <c r="K47" i="2"/>
  <c r="D42" i="2" s="1"/>
  <c r="G7" i="13" s="1"/>
  <c r="H27" i="13" l="1"/>
  <c r="H29" i="13"/>
  <c r="I24" i="13"/>
  <c r="H28" i="13"/>
  <c r="I30" i="13"/>
  <c r="A42" i="5"/>
  <c r="D10" i="13" s="1"/>
  <c r="H26" i="13"/>
  <c r="A42" i="6"/>
  <c r="K77" i="6"/>
  <c r="C79" i="2"/>
  <c r="D79" i="2" s="1"/>
  <c r="D78" i="2" s="1"/>
  <c r="E78" i="7"/>
  <c r="J107" i="10"/>
  <c r="H77" i="6"/>
  <c r="I79" i="6" s="1"/>
  <c r="H23" i="13"/>
  <c r="H31" i="13"/>
  <c r="J107" i="12"/>
  <c r="D78" i="7"/>
  <c r="K50" i="5"/>
  <c r="J107" i="5"/>
  <c r="J107" i="7"/>
  <c r="A42" i="7"/>
  <c r="D12" i="13" s="1"/>
  <c r="I78" i="7"/>
  <c r="I77" i="7" s="1"/>
  <c r="H22" i="13"/>
  <c r="J107" i="6"/>
  <c r="K52" i="4"/>
  <c r="J107" i="4"/>
  <c r="J107" i="3"/>
  <c r="K51" i="3"/>
  <c r="K50" i="9"/>
  <c r="J107" i="9"/>
  <c r="A42" i="4"/>
  <c r="I78" i="4"/>
  <c r="I77" i="4" s="1"/>
  <c r="J60" i="12"/>
  <c r="I60" i="12"/>
  <c r="H25" i="13"/>
  <c r="C17" i="5"/>
  <c r="C18" i="5" s="1"/>
  <c r="B48" i="5"/>
  <c r="C17" i="10"/>
  <c r="C18" i="10" s="1"/>
  <c r="B48" i="10"/>
  <c r="C17" i="9"/>
  <c r="C18" i="9" s="1"/>
  <c r="B48" i="9"/>
  <c r="C79" i="9"/>
  <c r="B79" i="9"/>
  <c r="J60" i="3"/>
  <c r="I60" i="3"/>
  <c r="C79" i="10"/>
  <c r="B79" i="10"/>
  <c r="C17" i="4"/>
  <c r="C18" i="4" s="1"/>
  <c r="B48" i="4"/>
  <c r="B48" i="3"/>
  <c r="C17" i="3"/>
  <c r="C18" i="3" s="1"/>
  <c r="J60" i="2"/>
  <c r="I60" i="2"/>
  <c r="C79" i="5"/>
  <c r="B79" i="5"/>
  <c r="E79" i="4"/>
  <c r="E78" i="4" s="1"/>
  <c r="D79" i="4"/>
  <c r="D78" i="4" s="1"/>
  <c r="B48" i="7"/>
  <c r="C17" i="7"/>
  <c r="C18" i="7" s="1"/>
  <c r="H77" i="10"/>
  <c r="J77" i="10"/>
  <c r="K77" i="10"/>
  <c r="I60" i="7"/>
  <c r="J60" i="7"/>
  <c r="K77" i="5"/>
  <c r="H77" i="5"/>
  <c r="J77" i="5"/>
  <c r="I60" i="10"/>
  <c r="J60" i="10"/>
  <c r="J107" i="8"/>
  <c r="D11" i="13"/>
  <c r="I60" i="4"/>
  <c r="J60" i="4"/>
  <c r="I60" i="5"/>
  <c r="J60" i="5"/>
  <c r="H3" i="2"/>
  <c r="C41" i="2"/>
  <c r="B48" i="2"/>
  <c r="G3" i="2"/>
  <c r="C17" i="2"/>
  <c r="C18" i="2" s="1"/>
  <c r="E79" i="12"/>
  <c r="E78" i="12" s="1"/>
  <c r="D79" i="12"/>
  <c r="D78" i="12" s="1"/>
  <c r="I78" i="12"/>
  <c r="I77" i="12" s="1"/>
  <c r="A42" i="12"/>
  <c r="I60" i="9"/>
  <c r="J60" i="9"/>
  <c r="D79" i="3"/>
  <c r="D78" i="3" s="1"/>
  <c r="E79" i="3"/>
  <c r="E78" i="3" s="1"/>
  <c r="I60" i="6"/>
  <c r="J60" i="6"/>
  <c r="E79" i="6"/>
  <c r="E78" i="6" s="1"/>
  <c r="D79" i="6"/>
  <c r="D78" i="6" s="1"/>
  <c r="E79" i="2"/>
  <c r="E78" i="2" s="1"/>
  <c r="C79" i="8"/>
  <c r="B79" i="8"/>
  <c r="A42" i="3"/>
  <c r="I78" i="3"/>
  <c r="I77" i="3" s="1"/>
  <c r="A42" i="8"/>
  <c r="I78" i="8"/>
  <c r="I77" i="8" s="1"/>
  <c r="J60" i="8"/>
  <c r="I60" i="8"/>
  <c r="H77" i="9"/>
  <c r="J77" i="9"/>
  <c r="K77" i="9"/>
  <c r="K3" i="2"/>
  <c r="F32" i="9" s="1"/>
  <c r="I32" i="9" s="1"/>
  <c r="D15" i="13"/>
  <c r="D14" i="13"/>
  <c r="D13" i="13"/>
  <c r="B48" i="6"/>
  <c r="C17" i="6"/>
  <c r="C18" i="6" s="1"/>
  <c r="J107" i="2"/>
  <c r="A42" i="2"/>
  <c r="D7" i="13" s="1"/>
  <c r="K77" i="2"/>
  <c r="H77" i="2"/>
  <c r="J77" i="2"/>
  <c r="I27" i="13" l="1"/>
  <c r="I29" i="13"/>
  <c r="F29" i="16"/>
  <c r="I22" i="13"/>
  <c r="F32" i="16"/>
  <c r="I25" i="13"/>
  <c r="F33" i="16"/>
  <c r="I26" i="13"/>
  <c r="I28" i="13"/>
  <c r="I31" i="13"/>
  <c r="F30" i="16"/>
  <c r="I23" i="13"/>
  <c r="H79" i="6"/>
  <c r="F32" i="7"/>
  <c r="I32" i="7" s="1"/>
  <c r="F32" i="3"/>
  <c r="G114" i="3" s="1"/>
  <c r="J114" i="3" s="1"/>
  <c r="J116" i="3" s="1"/>
  <c r="K116" i="3" s="1"/>
  <c r="K104" i="3" s="1"/>
  <c r="F32" i="10"/>
  <c r="G114" i="10" s="1"/>
  <c r="J114" i="10" s="1"/>
  <c r="J116" i="10" s="1"/>
  <c r="K116" i="10" s="1"/>
  <c r="K104" i="10" s="1"/>
  <c r="F32" i="2"/>
  <c r="I32" i="2" s="1"/>
  <c r="F32" i="4"/>
  <c r="G114" i="4" s="1"/>
  <c r="J114" i="4" s="1"/>
  <c r="J116" i="4" s="1"/>
  <c r="K116" i="4" s="1"/>
  <c r="K104" i="4" s="1"/>
  <c r="F32" i="5"/>
  <c r="G114" i="5" s="1"/>
  <c r="J114" i="5" s="1"/>
  <c r="J116" i="5" s="1"/>
  <c r="K116" i="5" s="1"/>
  <c r="K104" i="5" s="1"/>
  <c r="H77" i="7"/>
  <c r="K77" i="7"/>
  <c r="J77" i="7"/>
  <c r="F32" i="6"/>
  <c r="F32" i="12"/>
  <c r="I32" i="12" s="1"/>
  <c r="G114" i="9"/>
  <c r="J114" i="9" s="1"/>
  <c r="J116" i="9" s="1"/>
  <c r="K116" i="9" s="1"/>
  <c r="K104" i="9" s="1"/>
  <c r="F32" i="8"/>
  <c r="I32" i="8" s="1"/>
  <c r="L60" i="4"/>
  <c r="L59" i="4" s="1"/>
  <c r="K60" i="4"/>
  <c r="K59" i="4" s="1"/>
  <c r="L60" i="3"/>
  <c r="L59" i="3" s="1"/>
  <c r="K60" i="3"/>
  <c r="K59" i="3" s="1"/>
  <c r="D9" i="13"/>
  <c r="H79" i="9"/>
  <c r="I79" i="9"/>
  <c r="D79" i="8"/>
  <c r="D78" i="8" s="1"/>
  <c r="E79" i="8"/>
  <c r="E78" i="8" s="1"/>
  <c r="G26" i="2"/>
  <c r="G29" i="2"/>
  <c r="G30" i="2"/>
  <c r="G33" i="2"/>
  <c r="G24" i="2"/>
  <c r="G31" i="2"/>
  <c r="G32" i="2"/>
  <c r="G27" i="2"/>
  <c r="G28" i="2"/>
  <c r="G25" i="2"/>
  <c r="L60" i="7"/>
  <c r="L59" i="7" s="1"/>
  <c r="K60" i="7"/>
  <c r="K59" i="7" s="1"/>
  <c r="K60" i="9"/>
  <c r="K59" i="9" s="1"/>
  <c r="L60" i="9"/>
  <c r="L59" i="9" s="1"/>
  <c r="K60" i="8"/>
  <c r="K59" i="8" s="1"/>
  <c r="L60" i="8"/>
  <c r="L59" i="8" s="1"/>
  <c r="D8" i="13"/>
  <c r="K77" i="4"/>
  <c r="H77" i="4"/>
  <c r="J77" i="4"/>
  <c r="J77" i="8"/>
  <c r="K77" i="8"/>
  <c r="H77" i="8"/>
  <c r="D16" i="13"/>
  <c r="K60" i="10"/>
  <c r="K59" i="10" s="1"/>
  <c r="L60" i="10"/>
  <c r="L59" i="10" s="1"/>
  <c r="E79" i="5"/>
  <c r="E78" i="5" s="1"/>
  <c r="D79" i="5"/>
  <c r="D78" i="5" s="1"/>
  <c r="E79" i="10"/>
  <c r="E78" i="10" s="1"/>
  <c r="D79" i="10"/>
  <c r="D78" i="10" s="1"/>
  <c r="K79" i="6"/>
  <c r="K78" i="6" s="1"/>
  <c r="B18" i="6" s="1"/>
  <c r="J79" i="6"/>
  <c r="J78" i="6" s="1"/>
  <c r="B17" i="6" s="1"/>
  <c r="B42" i="6" s="1"/>
  <c r="K77" i="12"/>
  <c r="H77" i="12"/>
  <c r="J77" i="12"/>
  <c r="L60" i="5"/>
  <c r="L59" i="5" s="1"/>
  <c r="K60" i="5"/>
  <c r="K59" i="5" s="1"/>
  <c r="H79" i="10"/>
  <c r="I79" i="10"/>
  <c r="E79" i="9"/>
  <c r="E78" i="9" s="1"/>
  <c r="D79" i="9"/>
  <c r="D78" i="9" s="1"/>
  <c r="H79" i="5"/>
  <c r="I79" i="5"/>
  <c r="J77" i="3"/>
  <c r="K77" i="3"/>
  <c r="H77" i="3"/>
  <c r="L60" i="6"/>
  <c r="L59" i="6" s="1"/>
  <c r="K60" i="6"/>
  <c r="K59" i="6" s="1"/>
  <c r="L60" i="2"/>
  <c r="L59" i="2" s="1"/>
  <c r="K60" i="2"/>
  <c r="K59" i="2" s="1"/>
  <c r="L60" i="12"/>
  <c r="L59" i="12" s="1"/>
  <c r="K60" i="12"/>
  <c r="K59" i="12" s="1"/>
  <c r="H79" i="2"/>
  <c r="I79" i="2"/>
  <c r="G114" i="7" l="1"/>
  <c r="J114" i="7" s="1"/>
  <c r="J116" i="7" s="1"/>
  <c r="K116" i="7" s="1"/>
  <c r="K104" i="7" s="1"/>
  <c r="I32" i="3"/>
  <c r="G114" i="2"/>
  <c r="J114" i="2" s="1"/>
  <c r="J116" i="2" s="1"/>
  <c r="K116" i="2" s="1"/>
  <c r="K104" i="2" s="1"/>
  <c r="I32" i="5"/>
  <c r="G114" i="12"/>
  <c r="J114" i="12" s="1"/>
  <c r="J116" i="12" s="1"/>
  <c r="K116" i="12" s="1"/>
  <c r="K104" i="12" s="1"/>
  <c r="I32" i="4"/>
  <c r="I32" i="10"/>
  <c r="I32" i="6"/>
  <c r="G114" i="6"/>
  <c r="J114" i="6" s="1"/>
  <c r="J116" i="6" s="1"/>
  <c r="K116" i="6" s="1"/>
  <c r="K104" i="6" s="1"/>
  <c r="G114" i="8"/>
  <c r="J114" i="8" s="1"/>
  <c r="J116" i="8" s="1"/>
  <c r="K116" i="8" s="1"/>
  <c r="K104" i="8" s="1"/>
  <c r="I79" i="7"/>
  <c r="H79" i="7"/>
  <c r="J79" i="5"/>
  <c r="J78" i="5" s="1"/>
  <c r="B17" i="5" s="1"/>
  <c r="B42" i="5" s="1"/>
  <c r="K79" i="5"/>
  <c r="K78" i="5" s="1"/>
  <c r="B18" i="5" s="1"/>
  <c r="I79" i="12"/>
  <c r="H79" i="12"/>
  <c r="H79" i="4"/>
  <c r="I79" i="4"/>
  <c r="I79" i="3"/>
  <c r="H79" i="3"/>
  <c r="K79" i="10"/>
  <c r="K78" i="10" s="1"/>
  <c r="B18" i="10" s="1"/>
  <c r="J79" i="10"/>
  <c r="J78" i="10" s="1"/>
  <c r="B17" i="10" s="1"/>
  <c r="B42" i="10" s="1"/>
  <c r="E11" i="13"/>
  <c r="E26" i="13" s="1"/>
  <c r="E42" i="6"/>
  <c r="H11" i="13" s="1"/>
  <c r="J26" i="13" s="1"/>
  <c r="F25" i="6"/>
  <c r="I25" i="6" s="1"/>
  <c r="F26" i="6"/>
  <c r="I26" i="6" s="1"/>
  <c r="H79" i="8"/>
  <c r="I79" i="8"/>
  <c r="K79" i="9"/>
  <c r="K78" i="9" s="1"/>
  <c r="B18" i="9" s="1"/>
  <c r="J79" i="9"/>
  <c r="J78" i="9" s="1"/>
  <c r="B17" i="9" s="1"/>
  <c r="B42" i="9" s="1"/>
  <c r="K79" i="2"/>
  <c r="K78" i="2" s="1"/>
  <c r="B18" i="2" s="1"/>
  <c r="J79" i="2"/>
  <c r="J78" i="2" s="1"/>
  <c r="B17" i="2" s="1"/>
  <c r="B42" i="2" s="1"/>
  <c r="D33" i="16" l="1"/>
  <c r="G26" i="13"/>
  <c r="L33" i="16"/>
  <c r="K26" i="13"/>
  <c r="J79" i="7"/>
  <c r="J78" i="7" s="1"/>
  <c r="B17" i="7" s="1"/>
  <c r="B42" i="7" s="1"/>
  <c r="K79" i="7"/>
  <c r="K78" i="7" s="1"/>
  <c r="B18" i="7" s="1"/>
  <c r="F26" i="10"/>
  <c r="I26" i="10" s="1"/>
  <c r="F25" i="10"/>
  <c r="I25" i="10" s="1"/>
  <c r="I35" i="6"/>
  <c r="K79" i="3"/>
  <c r="K78" i="3" s="1"/>
  <c r="B18" i="3" s="1"/>
  <c r="J79" i="3"/>
  <c r="J78" i="3" s="1"/>
  <c r="B17" i="3" s="1"/>
  <c r="B42" i="3" s="1"/>
  <c r="F26" i="9"/>
  <c r="I26" i="9" s="1"/>
  <c r="F25" i="9"/>
  <c r="I25" i="9" s="1"/>
  <c r="F25" i="5"/>
  <c r="I25" i="5" s="1"/>
  <c r="F26" i="5"/>
  <c r="I26" i="5" s="1"/>
  <c r="E14" i="13"/>
  <c r="E29" i="13" s="1"/>
  <c r="E13" i="13"/>
  <c r="E28" i="13" s="1"/>
  <c r="E42" i="9"/>
  <c r="H14" i="13" s="1"/>
  <c r="J29" i="13" s="1"/>
  <c r="K79" i="8"/>
  <c r="K78" i="8" s="1"/>
  <c r="B18" i="8" s="1"/>
  <c r="J79" i="8"/>
  <c r="J78" i="8" s="1"/>
  <c r="B17" i="8" s="1"/>
  <c r="B42" i="8" s="1"/>
  <c r="E42" i="8" s="1"/>
  <c r="H13" i="13" s="1"/>
  <c r="J28" i="13" s="1"/>
  <c r="E10" i="13"/>
  <c r="E25" i="13" s="1"/>
  <c r="E42" i="5"/>
  <c r="H10" i="13" s="1"/>
  <c r="J25" i="13" s="1"/>
  <c r="E15" i="13"/>
  <c r="E30" i="13" s="1"/>
  <c r="E42" i="10"/>
  <c r="H15" i="13" s="1"/>
  <c r="J30" i="13" s="1"/>
  <c r="K79" i="4"/>
  <c r="K78" i="4" s="1"/>
  <c r="B18" i="4" s="1"/>
  <c r="J79" i="4"/>
  <c r="J78" i="4" s="1"/>
  <c r="B17" i="4" s="1"/>
  <c r="B42" i="4" s="1"/>
  <c r="K79" i="12"/>
  <c r="K78" i="12" s="1"/>
  <c r="B18" i="12" s="1"/>
  <c r="J79" i="12"/>
  <c r="J78" i="12" s="1"/>
  <c r="B17" i="12" s="1"/>
  <c r="B42" i="12" s="1"/>
  <c r="F25" i="2"/>
  <c r="I25" i="2" s="1"/>
  <c r="F26" i="2"/>
  <c r="I26" i="2" s="1"/>
  <c r="E7" i="13"/>
  <c r="E22" i="13" s="1"/>
  <c r="E42" i="2"/>
  <c r="H7" i="13" s="1"/>
  <c r="J22" i="13" s="1"/>
  <c r="D32" i="16" l="1"/>
  <c r="G25" i="13"/>
  <c r="G28" i="13"/>
  <c r="G29" i="13"/>
  <c r="G30" i="13"/>
  <c r="D29" i="16"/>
  <c r="G22" i="13"/>
  <c r="K30" i="13"/>
  <c r="L32" i="16"/>
  <c r="K25" i="13"/>
  <c r="K29" i="13"/>
  <c r="L29" i="16"/>
  <c r="K22" i="13"/>
  <c r="K28" i="13"/>
  <c r="F25" i="7"/>
  <c r="I25" i="7" s="1"/>
  <c r="F26" i="7"/>
  <c r="I26" i="7" s="1"/>
  <c r="E42" i="7"/>
  <c r="H12" i="13" s="1"/>
  <c r="J27" i="13" s="1"/>
  <c r="E12" i="13"/>
  <c r="E27" i="13" s="1"/>
  <c r="I35" i="9"/>
  <c r="K25" i="9" s="1"/>
  <c r="F26" i="12"/>
  <c r="I26" i="12" s="1"/>
  <c r="F25" i="12"/>
  <c r="I25" i="12" s="1"/>
  <c r="F25" i="8"/>
  <c r="I25" i="8" s="1"/>
  <c r="F26" i="8"/>
  <c r="I26" i="8" s="1"/>
  <c r="F26" i="4"/>
  <c r="I26" i="4" s="1"/>
  <c r="F25" i="4"/>
  <c r="I25" i="4" s="1"/>
  <c r="K32" i="6"/>
  <c r="K29" i="6"/>
  <c r="K24" i="6"/>
  <c r="K33" i="6"/>
  <c r="K27" i="6"/>
  <c r="K30" i="6"/>
  <c r="K28" i="6"/>
  <c r="K31" i="6"/>
  <c r="K25" i="6"/>
  <c r="I36" i="6"/>
  <c r="I37" i="6" s="1"/>
  <c r="L26" i="13"/>
  <c r="M26" i="13" s="1"/>
  <c r="E9" i="13"/>
  <c r="E24" i="13" s="1"/>
  <c r="E42" i="4"/>
  <c r="H9" i="13" s="1"/>
  <c r="J24" i="13" s="1"/>
  <c r="I35" i="10"/>
  <c r="K26" i="10" s="1"/>
  <c r="E8" i="13"/>
  <c r="E23" i="13" s="1"/>
  <c r="E42" i="3"/>
  <c r="H8" i="13" s="1"/>
  <c r="J23" i="13" s="1"/>
  <c r="E16" i="13"/>
  <c r="E31" i="13" s="1"/>
  <c r="E42" i="12"/>
  <c r="H16" i="13" s="1"/>
  <c r="J31" i="13" s="1"/>
  <c r="F25" i="3"/>
  <c r="I25" i="3" s="1"/>
  <c r="F26" i="3"/>
  <c r="I26" i="3" s="1"/>
  <c r="I35" i="5"/>
  <c r="K26" i="6"/>
  <c r="I35" i="2"/>
  <c r="G31" i="13" l="1"/>
  <c r="G27" i="13"/>
  <c r="D30" i="16"/>
  <c r="G23" i="13"/>
  <c r="D31" i="16"/>
  <c r="G24" i="13"/>
  <c r="L31" i="16"/>
  <c r="K24" i="13"/>
  <c r="K27" i="13"/>
  <c r="L30" i="16"/>
  <c r="K23" i="13"/>
  <c r="K31" i="13"/>
  <c r="K35" i="6"/>
  <c r="I35" i="7"/>
  <c r="R33" i="16"/>
  <c r="O26" i="13"/>
  <c r="I35" i="4"/>
  <c r="K25" i="4" s="1"/>
  <c r="K32" i="5"/>
  <c r="K27" i="5"/>
  <c r="L25" i="13"/>
  <c r="M25" i="13" s="1"/>
  <c r="K28" i="5"/>
  <c r="K29" i="5"/>
  <c r="I36" i="5"/>
  <c r="I37" i="5" s="1"/>
  <c r="K33" i="5"/>
  <c r="K24" i="5"/>
  <c r="K31" i="5"/>
  <c r="K30" i="5"/>
  <c r="K26" i="5"/>
  <c r="K32" i="10"/>
  <c r="K30" i="10"/>
  <c r="K33" i="10"/>
  <c r="K27" i="10"/>
  <c r="K31" i="10"/>
  <c r="K29" i="10"/>
  <c r="K24" i="10"/>
  <c r="K28" i="10"/>
  <c r="I36" i="10"/>
  <c r="I37" i="10" s="1"/>
  <c r="L30" i="13"/>
  <c r="K25" i="10"/>
  <c r="I35" i="8"/>
  <c r="K25" i="8" s="1"/>
  <c r="K32" i="9"/>
  <c r="K30" i="9"/>
  <c r="K28" i="9"/>
  <c r="K33" i="9"/>
  <c r="I36" i="9"/>
  <c r="I37" i="9" s="1"/>
  <c r="K31" i="9"/>
  <c r="L29" i="13"/>
  <c r="K27" i="9"/>
  <c r="K29" i="9"/>
  <c r="K24" i="9"/>
  <c r="K25" i="5"/>
  <c r="I35" i="3"/>
  <c r="K25" i="3" s="1"/>
  <c r="I35" i="12"/>
  <c r="K25" i="12" s="1"/>
  <c r="K26" i="9"/>
  <c r="I36" i="2"/>
  <c r="I37" i="2" s="1"/>
  <c r="L22" i="13"/>
  <c r="M22" i="13" s="1"/>
  <c r="K28" i="2"/>
  <c r="K29" i="2"/>
  <c r="K30" i="2"/>
  <c r="K31" i="2"/>
  <c r="K27" i="2"/>
  <c r="K32" i="2"/>
  <c r="K24" i="2"/>
  <c r="K33" i="2"/>
  <c r="K25" i="2"/>
  <c r="K26" i="2"/>
  <c r="M30" i="13" l="1"/>
  <c r="M29" i="13"/>
  <c r="K26" i="4"/>
  <c r="R29" i="16"/>
  <c r="K30" i="7"/>
  <c r="K25" i="7"/>
  <c r="I36" i="7"/>
  <c r="I37" i="7" s="1"/>
  <c r="K26" i="7"/>
  <c r="K33" i="7"/>
  <c r="K31" i="7"/>
  <c r="K28" i="7"/>
  <c r="K32" i="7"/>
  <c r="K29" i="7"/>
  <c r="K27" i="7"/>
  <c r="K24" i="7"/>
  <c r="L27" i="13"/>
  <c r="R32" i="16"/>
  <c r="O25" i="13"/>
  <c r="K32" i="12"/>
  <c r="L31" i="13"/>
  <c r="K33" i="12"/>
  <c r="K24" i="12"/>
  <c r="K28" i="12"/>
  <c r="K27" i="12"/>
  <c r="K31" i="12"/>
  <c r="K29" i="12"/>
  <c r="I36" i="12"/>
  <c r="I37" i="12" s="1"/>
  <c r="K30" i="12"/>
  <c r="K35" i="5"/>
  <c r="K29" i="3"/>
  <c r="K31" i="3"/>
  <c r="K27" i="3"/>
  <c r="K28" i="3"/>
  <c r="L23" i="13"/>
  <c r="M23" i="13" s="1"/>
  <c r="K24" i="3"/>
  <c r="I36" i="3"/>
  <c r="I37" i="3" s="1"/>
  <c r="K30" i="3"/>
  <c r="K33" i="3"/>
  <c r="K32" i="3"/>
  <c r="K26" i="3"/>
  <c r="K28" i="4"/>
  <c r="K24" i="4"/>
  <c r="L24" i="13"/>
  <c r="M24" i="13" s="1"/>
  <c r="K29" i="4"/>
  <c r="K33" i="4"/>
  <c r="K27" i="4"/>
  <c r="K31" i="4"/>
  <c r="K32" i="4"/>
  <c r="K30" i="4"/>
  <c r="I36" i="4"/>
  <c r="I37" i="4" s="1"/>
  <c r="K32" i="8"/>
  <c r="I36" i="8"/>
  <c r="I37" i="8" s="1"/>
  <c r="K27" i="8"/>
  <c r="K30" i="8"/>
  <c r="K29" i="8"/>
  <c r="K31" i="8"/>
  <c r="K24" i="8"/>
  <c r="K28" i="8"/>
  <c r="K33" i="8"/>
  <c r="L28" i="13"/>
  <c r="K26" i="8"/>
  <c r="K35" i="9"/>
  <c r="K35" i="10"/>
  <c r="K26" i="12"/>
  <c r="K35" i="2"/>
  <c r="O22" i="13"/>
  <c r="M31" i="13" l="1"/>
  <c r="M27" i="13"/>
  <c r="M28" i="13"/>
  <c r="K35" i="7"/>
  <c r="K35" i="12"/>
  <c r="R31" i="16"/>
  <c r="O24" i="13"/>
  <c r="K35" i="4"/>
  <c r="R30" i="16"/>
  <c r="O23" i="13"/>
  <c r="K35" i="3"/>
  <c r="K3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1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1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A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A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A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3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3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4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4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5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5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6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6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7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7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7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8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8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8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Reyes</author>
    <author>Laboratorio de Metrología</author>
  </authors>
  <commentList>
    <comment ref="A6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Renato Reyes:</t>
        </r>
        <r>
          <rPr>
            <sz val="9"/>
            <color indexed="81"/>
            <rFont val="Tahoma"/>
            <family val="2"/>
          </rPr>
          <t xml:space="preserve">
la longitud en número de grados sobre la escala entre la superficie del fluido y el extremo de la columna del fluido en el capilar.</t>
        </r>
      </text>
    </comment>
    <comment ref="H104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2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  <comment ref="H112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 xml:space="preserve">Los valores ya fueron convertidos a ºC (si es el caso) aplicando factor = 5/9
</t>
        </r>
      </text>
    </comment>
    <comment ref="G115" authorId="1" shapeId="0" xr:uid="{00000000-0006-0000-0900-000005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15" authorId="1" shapeId="0" xr:uid="{00000000-0006-0000-0900-000006000000}">
      <text>
        <r>
          <rPr>
            <b/>
            <sz val="8"/>
            <color indexed="81"/>
            <rFont val="Tahoma"/>
            <family val="2"/>
          </rPr>
          <t>Los valores ya fueron convertidos a ºC (si es el caso) aplicando factor = 5/9</t>
        </r>
      </text>
    </comment>
  </commentList>
</comments>
</file>

<file path=xl/sharedStrings.xml><?xml version="1.0" encoding="utf-8"?>
<sst xmlns="http://schemas.openxmlformats.org/spreadsheetml/2006/main" count="3802" uniqueCount="1300">
  <si>
    <t>Origen</t>
  </si>
  <si>
    <t>Tipo</t>
  </si>
  <si>
    <t>Distribución</t>
  </si>
  <si>
    <t>Temperatura leída patron</t>
  </si>
  <si>
    <t xml:space="preserve">Repetiblidad </t>
  </si>
  <si>
    <t>A</t>
  </si>
  <si>
    <t>Normal</t>
  </si>
  <si>
    <t>Corrección de las lecturas del patrón</t>
  </si>
  <si>
    <t>Calibracion</t>
  </si>
  <si>
    <t>B</t>
  </si>
  <si>
    <t>Deriva patrón</t>
  </si>
  <si>
    <t>Carta de control del patrón</t>
  </si>
  <si>
    <t>Rectangular</t>
  </si>
  <si>
    <t>Temperatura  IBC</t>
  </si>
  <si>
    <t>Repetibilidad</t>
  </si>
  <si>
    <t>Resolución</t>
  </si>
  <si>
    <t>Triangular</t>
  </si>
  <si>
    <t>Gradientes Baño</t>
  </si>
  <si>
    <t>Caracterización</t>
  </si>
  <si>
    <t>Estabilidad Baño</t>
  </si>
  <si>
    <t>Caracterizacion</t>
  </si>
  <si>
    <t>Corrección Ce</t>
  </si>
  <si>
    <t>Columna emergente</t>
  </si>
  <si>
    <t>Simbolo</t>
  </si>
  <si>
    <t>Estimaciones</t>
  </si>
  <si>
    <t>Coef. Sensibilidad</t>
  </si>
  <si>
    <t>Corrección por Columna Emergente</t>
  </si>
  <si>
    <t>Lecturas</t>
  </si>
  <si>
    <t>Term. 1</t>
  </si>
  <si>
    <t>Promedio:</t>
  </si>
  <si>
    <t>Desv. Estánd:</t>
  </si>
  <si>
    <t>Corrección / ºC:</t>
  </si>
  <si>
    <t>Lectura corregida /ºC</t>
  </si>
  <si>
    <t>U CERTIFICADO / ºC</t>
  </si>
  <si>
    <t xml:space="preserve"> Patrón</t>
  </si>
  <si>
    <t xml:space="preserve"> Mensurando</t>
  </si>
  <si>
    <t>ºC</t>
  </si>
  <si>
    <t>Correción del  Patrón:</t>
  </si>
  <si>
    <t>Inicio</t>
  </si>
  <si>
    <t>Final</t>
  </si>
  <si>
    <t xml:space="preserve">Histerisis </t>
  </si>
  <si>
    <t>Resolución del patrón</t>
  </si>
  <si>
    <t>resolución del patrón</t>
  </si>
  <si>
    <t>histerisis del mesurando</t>
  </si>
  <si>
    <t>Reproducibilida del punto mas bajo</t>
  </si>
  <si>
    <t>Lect. patrón</t>
  </si>
  <si>
    <t>Corr. patrón cert</t>
  </si>
  <si>
    <t>Lect. mensurando</t>
  </si>
  <si>
    <t>Corr. columna</t>
  </si>
  <si>
    <t>Termómetro de líquido en Vidrio</t>
  </si>
  <si>
    <t>DATOS DE ENTRADA</t>
  </si>
  <si>
    <t>Control de Celdas</t>
  </si>
  <si>
    <t>Datos de entrada y calibración</t>
  </si>
  <si>
    <t>Datos de certificado</t>
  </si>
  <si>
    <t>Fórmulas fijas</t>
  </si>
  <si>
    <t>INTERVALO DE MEDIDA:</t>
  </si>
  <si>
    <t>RESOLUCIÓN:</t>
  </si>
  <si>
    <t>Número de puntos</t>
  </si>
  <si>
    <t>Número de lecturas</t>
  </si>
  <si>
    <t>DATOS DE MEDIO</t>
  </si>
  <si>
    <t>Intervalo de medida</t>
  </si>
  <si>
    <t>Coeficiente de expansión (K)</t>
  </si>
  <si>
    <t>1/°C</t>
  </si>
  <si>
    <t>n</t>
  </si>
  <si>
    <t>NO.</t>
  </si>
  <si>
    <r>
      <t>L</t>
    </r>
    <r>
      <rPr>
        <b/>
        <vertAlign val="subscript"/>
        <sz val="16"/>
        <color theme="1"/>
        <rFont val="Calibri"/>
        <family val="2"/>
        <scheme val="minor"/>
      </rPr>
      <t>P</t>
    </r>
  </si>
  <si>
    <r>
      <t>L</t>
    </r>
    <r>
      <rPr>
        <b/>
        <vertAlign val="subscript"/>
        <sz val="16"/>
        <color theme="1"/>
        <rFont val="Calibri"/>
        <family val="2"/>
        <scheme val="minor"/>
      </rPr>
      <t>IBC</t>
    </r>
  </si>
  <si>
    <t>Punto 2</t>
  </si>
  <si>
    <t>Punto 3</t>
  </si>
  <si>
    <t>Punto 4</t>
  </si>
  <si>
    <t>Punto 5</t>
  </si>
  <si>
    <t>Punto 6</t>
  </si>
  <si>
    <t>Punto 7</t>
  </si>
  <si>
    <t>Punto 8</t>
  </si>
  <si>
    <t>Punto 9</t>
  </si>
  <si>
    <t>Punto 10</t>
  </si>
  <si>
    <t>Punto 1 incio</t>
  </si>
  <si>
    <t>Punto 1 final</t>
  </si>
  <si>
    <t>PUNTOS A CALIBRAR</t>
  </si>
  <si>
    <t xml:space="preserve"> °C</t>
  </si>
  <si>
    <t>Columna emergente:</t>
  </si>
  <si>
    <t>g</t>
  </si>
  <si>
    <t>ºC^-1         ±</t>
  </si>
  <si>
    <t>ºC            ±</t>
  </si>
  <si>
    <t>Incertidumbre combinada (K=1)</t>
  </si>
  <si>
    <t>Escala de temperatura</t>
  </si>
  <si>
    <t>ºF</t>
  </si>
  <si>
    <t xml:space="preserve"> -20 a 150</t>
  </si>
  <si>
    <t>Fila correspondiente</t>
  </si>
  <si>
    <t>Temperatura</t>
  </si>
  <si>
    <t>Corrección</t>
  </si>
  <si>
    <t>incertidumbre</t>
  </si>
  <si>
    <t>Incertidumbre</t>
  </si>
  <si>
    <t>Termometro patrón</t>
  </si>
  <si>
    <t>Incertidumbre combinada (k = 1)   /ºC</t>
  </si>
  <si>
    <t>Porcentaje de Contribución %</t>
  </si>
  <si>
    <t>¥</t>
  </si>
  <si>
    <t>factor de cobertura (k) =</t>
  </si>
  <si>
    <t>k</t>
  </si>
  <si>
    <t>Unidad</t>
  </si>
  <si>
    <t xml:space="preserve">mercurio </t>
  </si>
  <si>
    <t>Alcohol, etanol</t>
  </si>
  <si>
    <t xml:space="preserve">Tolueno </t>
  </si>
  <si>
    <t>Pentano</t>
  </si>
  <si>
    <t>Liquido termometrico</t>
  </si>
  <si>
    <t>Coeficiente de expansión tipico Lineal relativo en vidrio (1/°C)</t>
  </si>
  <si>
    <t>Intervalo tipico °C</t>
  </si>
  <si>
    <t>Descripción</t>
  </si>
  <si>
    <t>símbolo</t>
  </si>
  <si>
    <t>origen de la incertidumbre</t>
  </si>
  <si>
    <t>Tipo de distribución de probabilidad considerada</t>
  </si>
  <si>
    <t>Función de probabilidad</t>
  </si>
  <si>
    <t>unidad de medida</t>
  </si>
  <si>
    <t>Coeficiente de dilatación diferencial</t>
  </si>
  <si>
    <t>Desviación estándar de los valores de k</t>
  </si>
  <si>
    <t>Tipo B; normal</t>
  </si>
  <si>
    <t>ºC^-1</t>
  </si>
  <si>
    <t>Número de graduaciones en la columna emergente</t>
  </si>
  <si>
    <t>Ver abajo</t>
  </si>
  <si>
    <t>Diferencias de temp.  baño y temp. de columna emergente</t>
  </si>
  <si>
    <t>Desviaciones de n</t>
  </si>
  <si>
    <t>Tipo A; normal</t>
  </si>
  <si>
    <t>Resolución del mensurando</t>
  </si>
  <si>
    <t>Tipo B; rectangular</t>
  </si>
  <si>
    <t>Diferencias de temperatura entre el baño (tempertaura del patrón) y la temperatura promedio de la columna emergente medida con los termómetros auxiliares</t>
  </si>
  <si>
    <t>Repetibilidad patrón</t>
  </si>
  <si>
    <t>Repetibilidad T. Aux 1</t>
  </si>
  <si>
    <t>resolución del Cem / ºC</t>
  </si>
  <si>
    <t>Marca:</t>
  </si>
  <si>
    <t>codigo:</t>
  </si>
  <si>
    <t>Serie:</t>
  </si>
  <si>
    <t>Punto</t>
  </si>
  <si>
    <t>Temperatura nominal</t>
  </si>
  <si>
    <t>Temperatura Nominal</t>
  </si>
  <si>
    <t>CONDICIONES AMBIENTALES</t>
  </si>
  <si>
    <t>Inicial</t>
  </si>
  <si>
    <t>Temperatura  °C</t>
  </si>
  <si>
    <t>Humedad %</t>
  </si>
  <si>
    <t>Dirección:</t>
  </si>
  <si>
    <t>Tipo de equipo:</t>
  </si>
  <si>
    <r>
      <t>N</t>
    </r>
    <r>
      <rPr>
        <b/>
        <u/>
        <vertAlign val="superscript"/>
        <sz val="10"/>
        <color theme="1"/>
        <rFont val="Arial"/>
        <family val="2"/>
      </rPr>
      <t>0</t>
    </r>
  </si>
  <si>
    <t>baños</t>
  </si>
  <si>
    <t>Estabilidad / ± ºc</t>
  </si>
  <si>
    <t>Grad. Horiz. / ± ºC</t>
  </si>
  <si>
    <t>Hielo</t>
  </si>
  <si>
    <t>Fecha de ingreso del instrumento:</t>
  </si>
  <si>
    <r>
      <t>Tipo de termómetro de trabajo (T</t>
    </r>
    <r>
      <rPr>
        <sz val="9"/>
        <color theme="1"/>
        <rFont val="Arial"/>
        <family val="2"/>
      </rPr>
      <t>t</t>
    </r>
    <r>
      <rPr>
        <sz val="14"/>
        <color theme="1"/>
        <rFont val="Arial"/>
        <family val="2"/>
      </rPr>
      <t>):</t>
    </r>
  </si>
  <si>
    <t>De Inmersión Parcial:</t>
  </si>
  <si>
    <t>RESOLUCIÓN :</t>
  </si>
  <si>
    <t>Intervalo de Calibración</t>
  </si>
  <si>
    <t xml:space="preserve">Método de Calibración: </t>
  </si>
  <si>
    <t>incertidumbre del patrón</t>
  </si>
  <si>
    <t>incertidumbre del termómetro auxiliar 1</t>
  </si>
  <si>
    <t>resolucion del patrón</t>
  </si>
  <si>
    <t>resolución de T.Aux.1</t>
  </si>
  <si>
    <t xml:space="preserve">Termómetro </t>
  </si>
  <si>
    <t>Termómetro TLV</t>
  </si>
  <si>
    <t>Termómetro TLV emergente</t>
  </si>
  <si>
    <t>Incertidumbre del termometro auxiliar</t>
  </si>
  <si>
    <t>Tipo B: normal</t>
  </si>
  <si>
    <t>histrisis del mesurando</t>
  </si>
  <si>
    <t>Tipo A; Rectangular</t>
  </si>
  <si>
    <t>incertidumbre por deriva del patrón</t>
  </si>
  <si>
    <t>incertidumbre por deriva del termómetro auxiliar 1</t>
  </si>
  <si>
    <t>u(xi) = U/√3</t>
  </si>
  <si>
    <t>Tipo B; Rectangular</t>
  </si>
  <si>
    <t>Termometro usado como columna emergente</t>
  </si>
  <si>
    <t>calculo de la incertidumbre de n del termometro patron</t>
  </si>
  <si>
    <t>-80 a +60</t>
  </si>
  <si>
    <t>-38 a +600</t>
  </si>
  <si>
    <t>-80 a +100</t>
  </si>
  <si>
    <t>-200 a +30</t>
  </si>
  <si>
    <t>Incertidumbre expandida k=2</t>
  </si>
  <si>
    <t>AccuMac</t>
  </si>
  <si>
    <t>-30 a 250</t>
  </si>
  <si>
    <t>NI-MCPT-05</t>
  </si>
  <si>
    <t>IBC</t>
  </si>
  <si>
    <t>Patrón utilizado</t>
  </si>
  <si>
    <t>RTD</t>
  </si>
  <si>
    <t>Modelo:</t>
  </si>
  <si>
    <t>AM8060</t>
  </si>
  <si>
    <t>U K=2</t>
  </si>
  <si>
    <t>Incertidumbre típica u(xi)</t>
  </si>
  <si>
    <t>Incertidumbre típica ci*ui(y)</t>
  </si>
  <si>
    <r>
      <t>u</t>
    </r>
    <r>
      <rPr>
        <sz val="10"/>
        <rFont val="Arial"/>
        <family val="2"/>
      </rPr>
      <t>g</t>
    </r>
  </si>
  <si>
    <t>U CERTIFICADO:</t>
  </si>
  <si>
    <r>
      <t>Grados de libertad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>i</t>
    </r>
  </si>
  <si>
    <r>
      <t>t</t>
    </r>
    <r>
      <rPr>
        <vertAlign val="subscript"/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 xml:space="preserve"> </t>
    </r>
  </si>
  <si>
    <r>
      <t>δ</t>
    </r>
    <r>
      <rPr>
        <i/>
        <sz val="10"/>
        <color rgb="FF000000"/>
        <rFont val="Arial"/>
        <family val="2"/>
      </rPr>
      <t>t</t>
    </r>
    <r>
      <rPr>
        <vertAlign val="subscript"/>
        <sz val="10"/>
        <color rgb="FF000000"/>
        <rFont val="Arial"/>
        <family val="2"/>
      </rPr>
      <t>P</t>
    </r>
    <r>
      <rPr>
        <sz val="10"/>
        <color rgb="FF000000"/>
        <rFont val="Arial"/>
        <family val="2"/>
      </rPr>
      <t xml:space="preserve"> </t>
    </r>
  </si>
  <si>
    <r>
      <t>δ</t>
    </r>
    <r>
      <rPr>
        <i/>
        <sz val="10"/>
        <color rgb="FF000000"/>
        <rFont val="Arial"/>
        <family val="2"/>
      </rPr>
      <t>t</t>
    </r>
    <r>
      <rPr>
        <vertAlign val="subscript"/>
        <sz val="10"/>
        <color rgb="FF000000"/>
        <rFont val="Arial"/>
        <family val="2"/>
      </rPr>
      <t>DP</t>
    </r>
    <r>
      <rPr>
        <sz val="10"/>
        <color rgb="FF000000"/>
        <rFont val="Arial"/>
        <family val="2"/>
      </rPr>
      <t xml:space="preserve"> </t>
    </r>
  </si>
  <si>
    <r>
      <t>tP</t>
    </r>
    <r>
      <rPr>
        <vertAlign val="subscript"/>
        <sz val="10"/>
        <color theme="1"/>
        <rFont val="Arial"/>
        <family val="2"/>
      </rPr>
      <t xml:space="preserve">res </t>
    </r>
  </si>
  <si>
    <r>
      <t>t</t>
    </r>
    <r>
      <rPr>
        <sz val="10"/>
        <color rgb="FF000000"/>
        <rFont val="Arial"/>
        <family val="2"/>
      </rPr>
      <t xml:space="preserve">IBC </t>
    </r>
  </si>
  <si>
    <r>
      <t>δ</t>
    </r>
    <r>
      <rPr>
        <i/>
        <sz val="10"/>
        <color rgb="FF000000"/>
        <rFont val="Arial"/>
        <family val="2"/>
      </rPr>
      <t>t</t>
    </r>
    <r>
      <rPr>
        <vertAlign val="subscript"/>
        <sz val="10"/>
        <color rgb="FF000000"/>
        <rFont val="Arial"/>
        <family val="2"/>
      </rPr>
      <t>GB</t>
    </r>
    <r>
      <rPr>
        <sz val="10"/>
        <color rgb="FF000000"/>
        <rFont val="Arial"/>
        <family val="2"/>
      </rPr>
      <t xml:space="preserve"> </t>
    </r>
  </si>
  <si>
    <r>
      <t>δ</t>
    </r>
    <r>
      <rPr>
        <i/>
        <sz val="10"/>
        <color rgb="FF000000"/>
        <rFont val="Arial"/>
        <family val="2"/>
      </rPr>
      <t>t</t>
    </r>
    <r>
      <rPr>
        <vertAlign val="subscript"/>
        <sz val="10"/>
        <color rgb="FF000000"/>
        <rFont val="Arial"/>
        <family val="2"/>
      </rPr>
      <t>EB</t>
    </r>
    <r>
      <rPr>
        <sz val="10"/>
        <color rgb="FF000000"/>
        <rFont val="Arial"/>
        <family val="2"/>
      </rPr>
      <t xml:space="preserve"> </t>
    </r>
  </si>
  <si>
    <r>
      <t>tIBC</t>
    </r>
    <r>
      <rPr>
        <i/>
        <vertAlign val="subscript"/>
        <sz val="10"/>
        <color rgb="FF000000"/>
        <rFont val="Arial"/>
        <family val="2"/>
      </rPr>
      <t>H</t>
    </r>
  </si>
  <si>
    <r>
      <t>c</t>
    </r>
    <r>
      <rPr>
        <vertAlign val="subscript"/>
        <sz val="10"/>
        <color rgb="FF000000"/>
        <rFont val="Arial"/>
        <family val="2"/>
      </rPr>
      <t>em</t>
    </r>
    <r>
      <rPr>
        <sz val="10"/>
        <color rgb="FF000000"/>
        <rFont val="Arial"/>
        <family val="2"/>
      </rPr>
      <t xml:space="preserve"> </t>
    </r>
  </si>
  <si>
    <t>Grados efectivos de libertad nef =</t>
  </si>
  <si>
    <r>
      <t>t</t>
    </r>
    <r>
      <rPr>
        <b/>
        <sz val="10"/>
        <rFont val="Arial"/>
        <family val="2"/>
      </rPr>
      <t>P</t>
    </r>
  </si>
  <si>
    <r>
      <t>d</t>
    </r>
    <r>
      <rPr>
        <b/>
        <i/>
        <sz val="10"/>
        <rFont val="Arial"/>
        <family val="2"/>
      </rPr>
      <t>t</t>
    </r>
    <r>
      <rPr>
        <b/>
        <sz val="10"/>
        <rFont val="Arial"/>
        <family val="2"/>
      </rPr>
      <t>P</t>
    </r>
  </si>
  <si>
    <r>
      <t>t</t>
    </r>
    <r>
      <rPr>
        <b/>
        <sz val="10"/>
        <rFont val="Arial"/>
        <family val="2"/>
      </rPr>
      <t>IBC</t>
    </r>
  </si>
  <si>
    <t>CCE</t>
  </si>
  <si>
    <t>CR</t>
  </si>
  <si>
    <t>Corrección por Columna CCE:</t>
  </si>
  <si>
    <t>Incertidumbre (ux) con k=1</t>
  </si>
  <si>
    <t>(tref - tE)</t>
  </si>
  <si>
    <r>
      <t xml:space="preserve">Factor de covertura,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>, para diferentes grados efectivos de libertad, neff</t>
    </r>
  </si>
  <si>
    <t>neff</t>
  </si>
  <si>
    <r>
      <t xml:space="preserve">Incertidumbre típica </t>
    </r>
    <r>
      <rPr>
        <b/>
        <i/>
        <sz val="10"/>
        <rFont val="Arial"/>
        <family val="2"/>
      </rPr>
      <t>u</t>
    </r>
    <r>
      <rPr>
        <b/>
        <sz val="10"/>
        <rFont val="Arial"/>
        <family val="2"/>
      </rPr>
      <t>(xi)</t>
    </r>
  </si>
  <si>
    <r>
      <t xml:space="preserve">Coeficiente de sensibilidad </t>
    </r>
    <r>
      <rPr>
        <b/>
        <i/>
        <sz val="10"/>
        <rFont val="Arial"/>
        <family val="2"/>
      </rPr>
      <t>C</t>
    </r>
    <r>
      <rPr>
        <b/>
        <sz val="10"/>
        <rFont val="Arial"/>
        <family val="2"/>
      </rPr>
      <t>i</t>
    </r>
  </si>
  <si>
    <r>
      <t xml:space="preserve">Contribución a la incertidumbre típica </t>
    </r>
    <r>
      <rPr>
        <b/>
        <i/>
        <sz val="10"/>
        <rFont val="Arial"/>
        <family val="2"/>
      </rPr>
      <t>c</t>
    </r>
    <r>
      <rPr>
        <b/>
        <sz val="10"/>
        <rFont val="Arial"/>
        <family val="2"/>
      </rPr>
      <t>i</t>
    </r>
    <r>
      <rPr>
        <b/>
        <i/>
        <sz val="10"/>
        <rFont val="Arial"/>
        <family val="2"/>
      </rPr>
      <t>u</t>
    </r>
    <r>
      <rPr>
        <b/>
        <sz val="10"/>
        <rFont val="Arial"/>
        <family val="2"/>
      </rPr>
      <t>i(y)</t>
    </r>
  </si>
  <si>
    <r>
      <t>u</t>
    </r>
    <r>
      <rPr>
        <sz val="10"/>
        <rFont val="Arial"/>
        <family val="2"/>
      </rPr>
      <t>(xi) =  g/ √3</t>
    </r>
  </si>
  <si>
    <r>
      <t>u</t>
    </r>
    <r>
      <rPr>
        <sz val="10"/>
        <rFont val="Arial"/>
        <family val="2"/>
      </rPr>
      <t>n</t>
    </r>
  </si>
  <si>
    <r>
      <t>u</t>
    </r>
    <r>
      <rPr>
        <sz val="10"/>
        <rFont val="Arial"/>
        <family val="2"/>
      </rPr>
      <t>(tref- tE)</t>
    </r>
  </si>
  <si>
    <r>
      <t>u</t>
    </r>
    <r>
      <rPr>
        <sz val="10"/>
        <rFont val="Arial"/>
        <family val="2"/>
      </rPr>
      <t>(xi) = s / √10</t>
    </r>
  </si>
  <si>
    <r>
      <t>u</t>
    </r>
    <r>
      <rPr>
        <sz val="10"/>
        <rFont val="Arial"/>
        <family val="2"/>
      </rPr>
      <t>(xi) = U/2</t>
    </r>
  </si>
  <si>
    <r>
      <t>u</t>
    </r>
    <r>
      <rPr>
        <sz val="10"/>
        <rFont val="Arial"/>
        <family val="2"/>
      </rPr>
      <t>(xi) = (t1-t2)/√3</t>
    </r>
  </si>
  <si>
    <r>
      <t>u</t>
    </r>
    <r>
      <rPr>
        <sz val="10"/>
        <rFont val="Arial"/>
        <family val="2"/>
      </rPr>
      <t>(xi) = res / √12</t>
    </r>
  </si>
  <si>
    <r>
      <t>u</t>
    </r>
    <r>
      <rPr>
        <sz val="10"/>
        <rFont val="Arial"/>
        <family val="2"/>
      </rPr>
      <t>(xi) = U/√3</t>
    </r>
  </si>
  <si>
    <r>
      <t>u</t>
    </r>
    <r>
      <rPr>
        <sz val="10"/>
        <rFont val="Arial"/>
        <family val="2"/>
      </rPr>
      <t>(xi) = S / √10</t>
    </r>
  </si>
  <si>
    <t>Identificación del certificado:</t>
  </si>
  <si>
    <t>Código de servicio:</t>
  </si>
  <si>
    <t>Fecha de calibración:</t>
  </si>
  <si>
    <t>Fecha de emisión del certificado:</t>
  </si>
  <si>
    <t>Objeto de calibración:</t>
  </si>
  <si>
    <t>Fabricante/Marca:</t>
  </si>
  <si>
    <t>Rango de medida:</t>
  </si>
  <si>
    <t>Resolución:</t>
  </si>
  <si>
    <t>Código de identificación:</t>
  </si>
  <si>
    <t>Solicitante:</t>
  </si>
  <si>
    <t>Dirección del solicitante:</t>
  </si>
  <si>
    <t>Lugar de calibración:</t>
  </si>
  <si>
    <t>Resultados de la calibración</t>
  </si>
  <si>
    <t>Tabla de resultados de la calibración</t>
  </si>
  <si>
    <t>Temperatura de referencia</t>
  </si>
  <si>
    <t>Indicación del Termómetro</t>
  </si>
  <si>
    <t>Incertidumbre expandida K = 2</t>
  </si>
  <si>
    <t>Condiciones ambientales</t>
  </si>
  <si>
    <t>Temperatura:</t>
  </si>
  <si>
    <t>°C ±</t>
  </si>
  <si>
    <t>°C</t>
  </si>
  <si>
    <t>Humedad relativa:</t>
  </si>
  <si>
    <t>% ±</t>
  </si>
  <si>
    <t>%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</si>
  <si>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</si>
  <si>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</si>
  <si>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al menos 95 %. La incertidumbre estándar de la medición se determinó conforme a la Guía para la Expresión de la Incertidumbre de la Medida, BIPM-IEC-IFCC-ISO-IUPAC-IUPAP-OIML, en la cual se toma en cuenta la incertidumbre de los patrones, del método de calibración, de las condiciones durante la calibración y del equipo sujeto a calibración.</t>
  </si>
  <si>
    <t>Descripción de patrones utilizados</t>
  </si>
  <si>
    <t>Marca</t>
  </si>
  <si>
    <t>Código</t>
  </si>
  <si>
    <t>Trazabilidad</t>
  </si>
  <si>
    <t>Próx.calibr.</t>
  </si>
  <si>
    <t>Higrotermometro</t>
  </si>
  <si>
    <t>Observaciones</t>
  </si>
  <si>
    <t>Es responsabilidad del encargado del instrumento establecer la frecuencia del servicio de calibración.</t>
  </si>
  <si>
    <t>Los resultados emitidos en este certificado corresponden únicamente al objeto calibrado y a las magnitudes</t>
  </si>
  <si>
    <t>especificadas al momento de realizar el servicio.</t>
  </si>
  <si>
    <t>Este certificado de calibración no debe ser reproducido sin la aprobación del laboratorio, excepto cuando se</t>
  </si>
  <si>
    <t>reproduce en su totalidad.</t>
  </si>
  <si>
    <t>Ing. Fredman A. Méndez M.</t>
  </si>
  <si>
    <t>Director Técnico</t>
  </si>
  <si>
    <t>Nulo sin sello y firma</t>
  </si>
  <si>
    <t xml:space="preserve"> .................Fin del certificado................</t>
  </si>
  <si>
    <t>Código de servicio</t>
  </si>
  <si>
    <t>Fabricante / Marca</t>
  </si>
  <si>
    <t>Modelo</t>
  </si>
  <si>
    <t>HOJA DE CÁLCULO PARA ESTIMAR LA INCERTIDUMBRE - TEMPERATURA</t>
  </si>
  <si>
    <t>Id. del certificado</t>
  </si>
  <si>
    <t>NI-CS-XXXX-XX</t>
  </si>
  <si>
    <t>Termómetro de Liquido en Vidrio</t>
  </si>
  <si>
    <t>SLW</t>
  </si>
  <si>
    <t>Si</t>
  </si>
  <si>
    <t>(</t>
  </si>
  <si>
    <t>)</t>
  </si>
  <si>
    <t>Cliente:</t>
  </si>
  <si>
    <t>Lugar de Calibración:</t>
  </si>
  <si>
    <t>Lab#1 - Metrocal</t>
  </si>
  <si>
    <t>30 a 90</t>
  </si>
  <si>
    <t>NI-MCIT-T-05 Instrucción para calibración de termómetros de líquido en vidrio</t>
  </si>
  <si>
    <t>NI-MCPT-38</t>
  </si>
  <si>
    <t>Baño de Aceite</t>
  </si>
  <si>
    <t>Fluke 7102</t>
  </si>
  <si>
    <t>SCM Metrología y Laboratorios 20180507-28-2</t>
  </si>
  <si>
    <t>Termómetro Digital</t>
  </si>
  <si>
    <t>SCM Metrología y Laboratorios 20190819-28-45</t>
  </si>
  <si>
    <t>METROLOGÍA CONSULTORES DE NICARAGUA, S.A.</t>
  </si>
  <si>
    <t>Base de datos de clientes</t>
  </si>
  <si>
    <t>Clave</t>
  </si>
  <si>
    <t>Nombre</t>
  </si>
  <si>
    <t>Direccion</t>
  </si>
  <si>
    <t xml:space="preserve">A &amp; T Nicaragua, S.A.                                       </t>
  </si>
  <si>
    <t xml:space="preserve">Coyotepe, 800 m norte               </t>
  </si>
  <si>
    <t xml:space="preserve">Aceitera EL Real, S.A.                                      </t>
  </si>
  <si>
    <t xml:space="preserve">Rotonda Los Encuentros, 300 m sur      </t>
  </si>
  <si>
    <t>ACI-ACN</t>
  </si>
  <si>
    <t>Lotería Nacional, 300 m oeste. Entrada a Edificio Agricorp</t>
  </si>
  <si>
    <t xml:space="preserve">AGMIN SRL                                                   </t>
  </si>
  <si>
    <t xml:space="preserve">Stradone San Fermo, n.19 37121 Verona   </t>
  </si>
  <si>
    <t>Agricola el Cardon S.A.</t>
  </si>
  <si>
    <t>Chinandega el Realejo - Carrtera a Corinto, trocha cañera el Ensayo 5 km</t>
  </si>
  <si>
    <t xml:space="preserve">Agrobiotek Nicaragua, S.A.                                  </t>
  </si>
  <si>
    <t xml:space="preserve">Hyundai Montoya, 200 m este           </t>
  </si>
  <si>
    <t>Agroexport S,A.</t>
  </si>
  <si>
    <t>Gasolinera Puma Las Marias 700 m Carretera al Tuma.</t>
  </si>
  <si>
    <t>Agrosa - Indegrasa - Harinisa</t>
  </si>
  <si>
    <t>km 91,5 By pass Carretera León-Chinandega. Contiguo a Yazaki</t>
  </si>
  <si>
    <t xml:space="preserve">Agricola Nicavista </t>
  </si>
  <si>
    <t>Ciudad Rama, Atlántico Sur, Nicaragua</t>
  </si>
  <si>
    <t>Aivepet Inspecciones Nicaragua, S.A.</t>
  </si>
  <si>
    <t xml:space="preserve">Rotonda El Güegüense, 250 m oeste         </t>
  </si>
  <si>
    <t xml:space="preserve">Aje Nicaragua, S.A.                                         </t>
  </si>
  <si>
    <t xml:space="preserve">km 3,5 Carretera Norte                  </t>
  </si>
  <si>
    <t xml:space="preserve">Alba de Nicaragua, S.A.                                     </t>
  </si>
  <si>
    <t xml:space="preserve">Rotonda CentroAmerica 700 m oeste. Contiguo a Autonica Villa Fontana  </t>
  </si>
  <si>
    <t xml:space="preserve">ALBALINISA                                                  </t>
  </si>
  <si>
    <t>Portón Principal del Colegio Americano 100 m oeste, 200 m norte, 20 m este</t>
  </si>
  <si>
    <t>Albageneración</t>
  </si>
  <si>
    <t>Carretera a la Refineria.</t>
  </si>
  <si>
    <t xml:space="preserve">Alfredo Vargas                                         </t>
  </si>
  <si>
    <t xml:space="preserve">Alpla  Nicaragua, S.A.                                      </t>
  </si>
  <si>
    <t xml:space="preserve">km 4,5 Carretera Norte                </t>
  </si>
  <si>
    <t xml:space="preserve">Alta Research                                      </t>
  </si>
  <si>
    <t>Sinsa Altamira, 100 m al sur, 100 m este</t>
  </si>
  <si>
    <t>Apen</t>
  </si>
  <si>
    <t>Instalaciones del Aereopuerto Internacional Augusto C. Sandino.</t>
  </si>
  <si>
    <t>ACQUASU S,A de CV</t>
  </si>
  <si>
    <t xml:space="preserve">Arnecom El Salvador S.A. DE C.V.                         </t>
  </si>
  <si>
    <t>km 71,5 Carretera Metapan, Frente a Urbani</t>
  </si>
  <si>
    <t xml:space="preserve">Articulos y Construcciones  Eléctricas de Nic, S.A.          </t>
  </si>
  <si>
    <t>No Aplica (N/A)</t>
  </si>
  <si>
    <t xml:space="preserve">Astaldi S.p.A. </t>
  </si>
  <si>
    <t xml:space="preserve">Semáforos Club Terraza 150 m oeste, Casa #38  </t>
  </si>
  <si>
    <t xml:space="preserve">ABASA Coca-Cola </t>
  </si>
  <si>
    <t>km 126,5 ruta al Atlántico, Rio Hondo, Zacapa - Guatemala</t>
  </si>
  <si>
    <t>Aalfs Uno, S. A.</t>
  </si>
  <si>
    <t>Alternative Manufacturing S,A</t>
  </si>
  <si>
    <t>Parque Industrial Las Mercedes, km 12,5 Carretera Norte</t>
  </si>
  <si>
    <t>Agencia Aduanera GRH S,A.</t>
  </si>
  <si>
    <t>De Los Semáforos de Sabana Grande 1 500 m Este.</t>
  </si>
  <si>
    <t>Agropecuaria Raminsa S,A</t>
  </si>
  <si>
    <t>Plaza España, Edificio Malaga Módulo E8</t>
  </si>
  <si>
    <t>ALCASA</t>
  </si>
  <si>
    <t>km 78,6 Carretera Izapa – Leòn</t>
  </si>
  <si>
    <t xml:space="preserve">ATB TRADING </t>
  </si>
  <si>
    <t>km 11,5 Carretera Masaya, contiguo Bayer</t>
  </si>
  <si>
    <t>Básculas y Balanzas</t>
  </si>
  <si>
    <t>Talleres Modernos, 100 m norte, 50 m oeste, Barrio Riguero</t>
  </si>
  <si>
    <t xml:space="preserve">Bayer, S.A.                                                 </t>
  </si>
  <si>
    <t xml:space="preserve">km 11,5 Carretera a Masaya           </t>
  </si>
  <si>
    <t>Beneficiadora "OLAM"</t>
  </si>
  <si>
    <t>km 122,5 Carretera Managua, Matagalpa Entrada a Tejerina 500 m al norte</t>
  </si>
  <si>
    <t xml:space="preserve">Beneficiadora Norteña de Café, S.A.                         </t>
  </si>
  <si>
    <t>km 107 Carretera Sebaco-Matagalpa Frente a camp</t>
  </si>
  <si>
    <t>Beneficio Las Tejas</t>
  </si>
  <si>
    <t>Carretera Sebaco-Matagalpa, frente a Restaurante el Pullazo</t>
  </si>
  <si>
    <t>Beneficio San Rafael</t>
  </si>
  <si>
    <t>km 115,2 Carretera Sébaco - Matagalpa</t>
  </si>
  <si>
    <t>Beneficio Don Will S,A.</t>
  </si>
  <si>
    <t>km 114,5 Carretera Sébaco - Matagalpa</t>
  </si>
  <si>
    <t>km 115 Carretera Sébaco - Matagalpa</t>
  </si>
  <si>
    <t>Benediciadora de café La Providencia S,A.</t>
  </si>
  <si>
    <t>km 120 Carretera Sebaco-Matagalpa</t>
  </si>
  <si>
    <t>Beneficio Las Nubes Inrocasa</t>
  </si>
  <si>
    <t>km 122,5 Carretera Matagalpa-Managua, del puente Waswali 100 m Norte, 200 m Oeste</t>
  </si>
  <si>
    <t>Biotecnica</t>
  </si>
  <si>
    <t xml:space="preserve">Biwater International, LTD.                                 </t>
  </si>
  <si>
    <t xml:space="preserve">Subasta, 1 200 m noroeste           </t>
  </si>
  <si>
    <t xml:space="preserve">Brito Real Estate S,A </t>
  </si>
  <si>
    <t>km 10 Carretera Tola-Las Salinas, Rivas</t>
  </si>
  <si>
    <t>Burke Agro de Nicaragua, S.A.</t>
  </si>
  <si>
    <t xml:space="preserve">3 Cruces, 400 m oeste, San Marcos   </t>
  </si>
  <si>
    <t>Bolsa Agropecuaria de Nicaragua S,A.</t>
  </si>
  <si>
    <t>km 8,5 Carretera Masaya, 100 m Oeste, Managua</t>
  </si>
  <si>
    <t>Beneficio Buenos Aires</t>
  </si>
  <si>
    <t>De Los Semáforos del Hotel Fronteras 800 m Oeste, Ocotal-Nueva Segovia</t>
  </si>
  <si>
    <t>Inspectorate America corp</t>
  </si>
  <si>
    <t>Carretera Norte de Laboratorios Ramos, 100 m Norte, 100 m Oeste.</t>
  </si>
  <si>
    <t xml:space="preserve">Café Soluble, S.A.                                          </t>
  </si>
  <si>
    <t>km 8,5 carretera norte, 800 m al norte</t>
  </si>
  <si>
    <t>Cargill de Nicaragua S.A</t>
  </si>
  <si>
    <t>Km 17 Carretera a Masaya</t>
  </si>
  <si>
    <t xml:space="preserve">Callejas Sequeira e Hijos                        </t>
  </si>
  <si>
    <t xml:space="preserve">Final Calle Santa Lucía, 200 m norte    </t>
  </si>
  <si>
    <t xml:space="preserve">CAM Interntional                               </t>
  </si>
  <si>
    <t xml:space="preserve">Plaza El Sol 450 m sur # 213            </t>
  </si>
  <si>
    <t xml:space="preserve">Camanica Zona Franca, S.A.                                  </t>
  </si>
  <si>
    <t xml:space="preserve">km 130 Carretera a Chinandega           </t>
  </si>
  <si>
    <t>Cambridge International, S.A.</t>
  </si>
  <si>
    <t>km 3,5 Carretera Norte. El Nuevo Diario 150 m oeste</t>
  </si>
  <si>
    <t>Cafetalera La Bastilla S.A</t>
  </si>
  <si>
    <t>Jinotega, Banpro 100 m Este</t>
  </si>
  <si>
    <t>Caribbean Blue S.A</t>
  </si>
  <si>
    <t>km 35 Carretera Nueva a León, frente a Cementera Holcim</t>
  </si>
  <si>
    <t xml:space="preserve">Carlos Gutierrez Mairena                        </t>
  </si>
  <si>
    <t xml:space="preserve">Lomas del Valle, Calle Corona Casa #66  </t>
  </si>
  <si>
    <t xml:space="preserve">Casa del Café, S.A.                                         </t>
  </si>
  <si>
    <t xml:space="preserve">Planteles Claro, 25 m oeste No. 206    </t>
  </si>
  <si>
    <t xml:space="preserve">CECNA - INATEC                                              </t>
  </si>
  <si>
    <t xml:space="preserve">CEGA Nicaragua, S.A.                                        </t>
  </si>
  <si>
    <t>km 95, Laboratorios Divina, 800 m oeste. León</t>
  </si>
  <si>
    <t xml:space="preserve">CENSA                                                       </t>
  </si>
  <si>
    <t xml:space="preserve">km 68 Carretera a El Velero       </t>
  </si>
  <si>
    <t>Central American Fisheries S.A.</t>
  </si>
  <si>
    <t xml:space="preserve">Bluefields-Nicaragua </t>
  </si>
  <si>
    <t>Centrolac</t>
  </si>
  <si>
    <t xml:space="preserve">km 46,5 Carretera Masaya-Tipitapa </t>
  </si>
  <si>
    <t xml:space="preserve">Cereales de Centroamérica, S.A.                  </t>
  </si>
  <si>
    <t xml:space="preserve">Paso a desnivel Portezuelo, 150 m norte        </t>
  </si>
  <si>
    <t>Certificadores de Carga General (CCG)</t>
  </si>
  <si>
    <t xml:space="preserve">Rotonda El Güegüense 200 m oeste         </t>
  </si>
  <si>
    <t xml:space="preserve">Cerveceria Panama Barú, S.A.                                     </t>
  </si>
  <si>
    <t xml:space="preserve">Parque Industrial San Cristobal         </t>
  </si>
  <si>
    <t>Cemex Nicaragua S,A</t>
  </si>
  <si>
    <t xml:space="preserve">km 45 Carretera Managua - Masachapa </t>
  </si>
  <si>
    <t xml:space="preserve">CIA. Azucarera del Sur, S.A.                                </t>
  </si>
  <si>
    <t xml:space="preserve">Potosí - Rivas                </t>
  </si>
  <si>
    <t xml:space="preserve">CIA. Centroamericana de Productos Lacteos S.A.             </t>
  </si>
  <si>
    <t xml:space="preserve">Planta Aguadora 200 m norte         </t>
  </si>
  <si>
    <t>CIRA/UNAN-Managua</t>
  </si>
  <si>
    <t>Hospital Monte España 300 m Norte.</t>
  </si>
  <si>
    <t>Command Medical Nicaragua</t>
  </si>
  <si>
    <t xml:space="preserve">Compañía Licorera de Nicaragua, S.A.                        </t>
  </si>
  <si>
    <t>km 119 Carretera a Chinandega, Gasolinera UNO</t>
  </si>
  <si>
    <t xml:space="preserve">Compañía Cervecera de Nicaragua, S.A.                       </t>
  </si>
  <si>
    <t xml:space="preserve">km 6,5 Carretera Norte, Cruz Lorena 600 m norte </t>
  </si>
  <si>
    <t>Concretera Total, S.A.</t>
  </si>
  <si>
    <t>km 12 Carretera a Masaya</t>
  </si>
  <si>
    <t>Concretos y mas</t>
  </si>
  <si>
    <t>Residencial Ríos De Agua Viva 800 m Sur, Pista Sabana Grande-Managua</t>
  </si>
  <si>
    <t>Conipisos</t>
  </si>
  <si>
    <t>Carretera a Masaya km 12,5</t>
  </si>
  <si>
    <t xml:space="preserve">Cooperativa de Exportacion de Cafe de Matagalpa </t>
  </si>
  <si>
    <t>Cooperativa Esperanza</t>
  </si>
  <si>
    <t>Sebaco, km 101 Carretera Managua - Sebaco</t>
  </si>
  <si>
    <t xml:space="preserve">Corporación Agroindustrial del Pacifico S.A. (CAIPSA) </t>
  </si>
  <si>
    <t>El Viejo, Chinandega</t>
  </si>
  <si>
    <t xml:space="preserve">Coorporación Eléctrica Nicaragüense                          </t>
  </si>
  <si>
    <t xml:space="preserve">Hospital Salud Integral, Montoya 75 m sur  </t>
  </si>
  <si>
    <t xml:space="preserve">km 62,5 Carretera a Montelimar          </t>
  </si>
  <si>
    <t>Corporación Cefa de Nicaragua S.A</t>
  </si>
  <si>
    <t>km 7,5 Carretera Norte, Managua, Nicaragua</t>
  </si>
  <si>
    <t xml:space="preserve">Cotton Ace Nicaragua, S.A.                                  </t>
  </si>
  <si>
    <t xml:space="preserve">Coca-Cola FEMSA LATAM </t>
  </si>
  <si>
    <t>Goicoechea, Calle Blancos, 150 m este de la Guardia Rural, San Jose, Costa Rica</t>
  </si>
  <si>
    <t>Cooperativa Integral de Productores Agroecológicos R.L</t>
  </si>
  <si>
    <t>km 115 Carretera a Sébaco Matagalpa, Comarca Quebrada Honda</t>
  </si>
  <si>
    <t xml:space="preserve">COQUIMBA S.A. </t>
  </si>
  <si>
    <t>Hospital España 5 km al Oeste</t>
  </si>
  <si>
    <t xml:space="preserve">Cruz Roja Nicaragüense                       </t>
  </si>
  <si>
    <t xml:space="preserve">km 7 Carretera Sur                   </t>
  </si>
  <si>
    <t>Dasoltex, S.A.</t>
  </si>
  <si>
    <t>Carretera Norte, km 12,5 Módulo 2. Zona Franca Las Mercedes</t>
  </si>
  <si>
    <t xml:space="preserve">DHL Global Forwarding                                       </t>
  </si>
  <si>
    <t>Frente Antiguo Lobo Jack, Camino Oriente</t>
  </si>
  <si>
    <t xml:space="preserve">Dicegsa                                                 </t>
  </si>
  <si>
    <t xml:space="preserve">Carretera Sur, km 7, 800 m al este    </t>
  </si>
  <si>
    <t xml:space="preserve">Distribuidora Cesar Argüello                                </t>
  </si>
  <si>
    <t>Distribuidora de Carbón El Milagrito</t>
  </si>
  <si>
    <t>km 44,5 Carretera Vieja a León, Empalme El Transito, 5 km Sur.</t>
  </si>
  <si>
    <t xml:space="preserve">Draexlmaier Partes Automotrices, S.A.                       </t>
  </si>
  <si>
    <t xml:space="preserve">km 25,5 Carretera a Masaya            </t>
  </si>
  <si>
    <t xml:space="preserve">Drogueria Rocha                                             </t>
  </si>
  <si>
    <t xml:space="preserve">km 15,2 Carretera Managua-Masaya       </t>
  </si>
  <si>
    <t>Desarrollo Minero de Nicaragua, S,A</t>
  </si>
  <si>
    <t>Mina La Libertad  Chontales</t>
  </si>
  <si>
    <t>Drew Estate Tobacco Company S,A</t>
  </si>
  <si>
    <t>Donde fueron Las Aldeas SOS, Barrio Oscar Gamez N°2, Esteli</t>
  </si>
  <si>
    <t>E Chamorro Industrial S,A</t>
  </si>
  <si>
    <t>km 15,2 Carretera a Masaya</t>
  </si>
  <si>
    <t>Ecocycle Nicaragua</t>
  </si>
  <si>
    <t>EDISA</t>
  </si>
  <si>
    <t>Calle 27 de Mayo CST 100 m Sur 200 m Este, Managua</t>
  </si>
  <si>
    <t>Eddy Job Pallais Vallecillo</t>
  </si>
  <si>
    <t>La Paz Centro, cancha 100 m Oeste, 50 m Norte</t>
  </si>
  <si>
    <t>Eisa</t>
  </si>
  <si>
    <t>Arbolito 50 m Este Antiguo Edif Dismotor, Managua</t>
  </si>
  <si>
    <t xml:space="preserve">Eins S,A </t>
  </si>
  <si>
    <t>km 48,5 Carretera Tipitapa Masaya frente a Astro Cartón</t>
  </si>
  <si>
    <t>Elvatron</t>
  </si>
  <si>
    <t>Rotonda El Güegüense, Managua</t>
  </si>
  <si>
    <t xml:space="preserve">Electromecánica Especializada                              </t>
  </si>
  <si>
    <t xml:space="preserve">Costado Sur de Distribuidora La Universal       </t>
  </si>
  <si>
    <t>Embotelladora Nacional S,A</t>
  </si>
  <si>
    <t>Carret Norte Km 7 Shell Waspán 700vs al Sur Managua, Nicaragua</t>
  </si>
  <si>
    <t xml:space="preserve">Empaques Santo Domingo, S.A.                                </t>
  </si>
  <si>
    <t xml:space="preserve">Semáforos del Mercado El Mayoreo, 300 m sur </t>
  </si>
  <si>
    <t xml:space="preserve">Empresa Energética C, LTD.                            </t>
  </si>
  <si>
    <t xml:space="preserve">Planta Electríca Margarita II           </t>
  </si>
  <si>
    <t>Empresa Servicios Electrónicos Azocar. S.A</t>
  </si>
  <si>
    <t>Segunda Entrada a Las Colinas, Iglesia Católica 100 m Norte 250 m Este.</t>
  </si>
  <si>
    <t>ENATREL</t>
  </si>
  <si>
    <t>Rotonda Centroamérica 700 mts al oeste, Villa Fontana</t>
  </si>
  <si>
    <t>Enimport/ Prog. de Gestión de Calidad y Validación de Método</t>
  </si>
  <si>
    <t xml:space="preserve">Antigua Aduana Managua                  </t>
  </si>
  <si>
    <t xml:space="preserve">Enimport/ Prog. Fort.  los Lab. Centrales del IPSA          </t>
  </si>
  <si>
    <t xml:space="preserve">Edificio Antigua Aduana Managua             </t>
  </si>
  <si>
    <t>Eolo de Nicaragua S.A</t>
  </si>
  <si>
    <t>km 123 Carretera Panamericana Sur, del empalme de La Virgen, 400 m Sur, Rivas</t>
  </si>
  <si>
    <t>Expoim-Rilu, S.A.</t>
  </si>
  <si>
    <t>km 104,5 Carretera Sebaco a Estelí. Contiguo a Gasolinera Inés Galeano. Empresa OFLETAGRO.</t>
  </si>
  <si>
    <t>Exportadora Panamericana Norte, S.A.</t>
  </si>
  <si>
    <t>Carretera Panamericana km 215,5 Somoto-Madriz</t>
  </si>
  <si>
    <t>El Socorro Enterprises S,A.</t>
  </si>
  <si>
    <t>Managua</t>
  </si>
  <si>
    <t>Fara Coffee, S.A.</t>
  </si>
  <si>
    <t>km 121 Carretera Managua - Matagalpa</t>
  </si>
  <si>
    <t>Finca Los Papales</t>
  </si>
  <si>
    <t>Estadio Municipal 300 m norte, 5 km este. Comunidad Aventina, Finca Los Papales</t>
  </si>
  <si>
    <t xml:space="preserve">Finotex Nicaragua </t>
  </si>
  <si>
    <t xml:space="preserve">Zona Franca Astro Nicaragua S.A. Nave 21E km 47,5 Carretera Tipitapa a Masaya, Tipitapa Managua </t>
  </si>
  <si>
    <t xml:space="preserve">Futec Industrial                                            </t>
  </si>
  <si>
    <t>Genaro Medina</t>
  </si>
  <si>
    <t>Estelí</t>
  </si>
  <si>
    <t xml:space="preserve">General Coil, S.A.                                          </t>
  </si>
  <si>
    <t xml:space="preserve">km 4 Carretera Leon - Poneloya         </t>
  </si>
  <si>
    <t xml:space="preserve">Gildan Activewear San Marcos II, S.A.                      </t>
  </si>
  <si>
    <t xml:space="preserve">km 45 Carretera a San Marcos           </t>
  </si>
  <si>
    <t xml:space="preserve">Gildan Activewear Rivas II, S.A.                            </t>
  </si>
  <si>
    <t>km 109,5 Carretera Panamericana Sur 300 m oeste</t>
  </si>
  <si>
    <t>Giovanni Granja Rivera</t>
  </si>
  <si>
    <t>Hospital Bautista, 100 m sur, 25 m oeste</t>
  </si>
  <si>
    <t xml:space="preserve">Granja La Hammonia </t>
  </si>
  <si>
    <t>Selva Negra, Matagalpa</t>
  </si>
  <si>
    <t>Gran Costa Nicaragua S,A.</t>
  </si>
  <si>
    <t>Portón Principal Hospital Bautista 100 m Sur, 8 m Oeste</t>
  </si>
  <si>
    <t>Gatornica-AB S,A</t>
  </si>
  <si>
    <t>De donde fue La Pepsi 200 m Lago</t>
  </si>
  <si>
    <t>Grupo FLOTEC S,A.</t>
  </si>
  <si>
    <t>Altamira del BDF 100 m al Lago 50 m Oeste, Managua - Nicaragua.</t>
  </si>
  <si>
    <t>Grupo Industrial El Granjero</t>
  </si>
  <si>
    <t>Masatepe, Masaya</t>
  </si>
  <si>
    <t>Grupo LALA</t>
  </si>
  <si>
    <t>Tipitapa</t>
  </si>
  <si>
    <t>GChamorro Agroindustrial S,A</t>
  </si>
  <si>
    <t>km 185 Carretera Jinotega San Rafael del Norte</t>
  </si>
  <si>
    <t xml:space="preserve">Holcim Nicaragua, S.A                                       </t>
  </si>
  <si>
    <t>Hortycast</t>
  </si>
  <si>
    <t>HANSAE Fashion Worlwide</t>
  </si>
  <si>
    <t>Niquinohomo km 53 Carretera Catarina Masatepe</t>
  </si>
  <si>
    <t>Hialpesa Nicaragua S.A</t>
  </si>
  <si>
    <t>km 12,5 Carretera Norte, Parque Industrial Las Mercedes, modulo # 35</t>
  </si>
  <si>
    <t>Hans Rudiguer Kuestermann - Beneficio Talia</t>
  </si>
  <si>
    <t>km 121 Carretera Sebaco-Matagalpa, frente a portones de SOLCAFE</t>
  </si>
  <si>
    <t>Impelsa</t>
  </si>
  <si>
    <t>km 6,5 Carretera Norte, Contiguo a Bodega Pollo Estrella</t>
  </si>
  <si>
    <t>Inconsa</t>
  </si>
  <si>
    <t>INBRA</t>
  </si>
  <si>
    <t>km 9,5 Carretera a Masaya, Contiguo al Hospital Vivian Pellas</t>
  </si>
  <si>
    <t>Instituto Nicaragüense del Cemento y del Concreto (INCYC)</t>
  </si>
  <si>
    <t>Canal 2,  200 m al oeste, 150 m al sur, Residencial Bolonia, 48 15 Av. Suroeste.</t>
  </si>
  <si>
    <t>Industria Ganadera de Oriente, S.A. (IGOSA) - Establecimiento número 6</t>
  </si>
  <si>
    <t>km 107,5 Carretera Panamericana Sur</t>
  </si>
  <si>
    <t xml:space="preserve">Industría Nacional de Refrescos, S.A. (FEMSA)               </t>
  </si>
  <si>
    <t xml:space="preserve">Industrial Comercial San Martin, S.A.                       </t>
  </si>
  <si>
    <t xml:space="preserve">km 67,5 Carretera Panamericana Sur    </t>
  </si>
  <si>
    <t xml:space="preserve">Industrias Cárnicas Integradas de Nicaragua, S.A.                                  </t>
  </si>
  <si>
    <t xml:space="preserve">km 7,5 Carretera Norte               </t>
  </si>
  <si>
    <t>Industrias Delmor, S.A.</t>
  </si>
  <si>
    <t xml:space="preserve">km 7 Carretera Sur, contiguo a UNO 7 Sur             </t>
  </si>
  <si>
    <t xml:space="preserve">Ingenieros Consultores Centroamericanos  S,A.        </t>
  </si>
  <si>
    <t>Los semáforos de claro Villa Fontana, 100 m al este 150 m al norte</t>
  </si>
  <si>
    <t>Inmaconsa</t>
  </si>
  <si>
    <t>km 24,5 Carretera Panamericana Norte, Contiguo a AGRICORP</t>
  </si>
  <si>
    <t>Insuma</t>
  </si>
  <si>
    <t>Frente al portón Lugo Renta Car, Bolonia.</t>
  </si>
  <si>
    <t>Insumos Disagro S,A.</t>
  </si>
  <si>
    <t>Paso a Desnivel Portezuelo 300 m Norte</t>
  </si>
  <si>
    <t>Intek Nicaragua, S.A.</t>
  </si>
  <si>
    <t>Iglesia El Carmen 50 m sur, Reparto el Carmen. Managua, Nicaragua.</t>
  </si>
  <si>
    <t>Invercasa</t>
  </si>
  <si>
    <t xml:space="preserve">Inversiones en Concreto, S.A.                               </t>
  </si>
  <si>
    <t>km 26,5 Carretera Tipitapa - Masaya</t>
  </si>
  <si>
    <t xml:space="preserve">Iprocen, S.A.                                               </t>
  </si>
  <si>
    <t>Puente El Edén 100 m norte, 100 m este, 75 m norte</t>
  </si>
  <si>
    <t>Intesal S.A</t>
  </si>
  <si>
    <t>De la UdeM 200 m Este 50 m Sur.</t>
  </si>
  <si>
    <t>Industria de Envases Tecnificados S,A</t>
  </si>
  <si>
    <t>km 11 Carretera Nueva  a León 300 m Oeste, 100 m Sur</t>
  </si>
  <si>
    <t>Industrias EDISON</t>
  </si>
  <si>
    <t>Banpro Ciudad Jardin 100 m Norte, 100 Este.</t>
  </si>
  <si>
    <t>Industrias Toro S.A.</t>
  </si>
  <si>
    <t>De La Parmalat 500 m lago, 200 m arriba</t>
  </si>
  <si>
    <t>Ingenio Monte Rosa</t>
  </si>
  <si>
    <t>km 148,5 Carretera El Viejo-Potosí Chinandega</t>
  </si>
  <si>
    <t>Inversiones Vargas S,A</t>
  </si>
  <si>
    <t>Semaforos del Club Terraza, 75 vrs Sur, Edificio Discover II-3er piso</t>
  </si>
  <si>
    <t>Ingeniería de Pesaje S,A</t>
  </si>
  <si>
    <t>Residencial Mayales, casa N° 62, Esquipulas</t>
  </si>
  <si>
    <t>Instituto Mechnikov S.A.</t>
  </si>
  <si>
    <t>km 6 Carretera Norte, Managua.</t>
  </si>
  <si>
    <t>Julio César Montealegre</t>
  </si>
  <si>
    <t>Residencial Las Sierritas de Santo Domingo, Condominio Los Andes Casa No. 19</t>
  </si>
  <si>
    <t xml:space="preserve">Juan López Matute                                         </t>
  </si>
  <si>
    <t xml:space="preserve">Restaurante El Madroño, 100 m oeste, 50 m norte  </t>
  </si>
  <si>
    <t>Jorge Adan Ortega</t>
  </si>
  <si>
    <t>Colonia Independencia, Zumen 700 m Sur, 100 m Oeste.</t>
  </si>
  <si>
    <t>Kentex, S.A.</t>
  </si>
  <si>
    <t xml:space="preserve">km 14,5 Carretera Nueva a León , Edificio No. 8, Parque Industrial Saratoga </t>
  </si>
  <si>
    <t>KM Internacional</t>
  </si>
  <si>
    <t>Parque Industrial el Transito. Km 8 Carretera Norte. Kativo 500 m sur bodega #11</t>
  </si>
  <si>
    <t xml:space="preserve">Kola Shaler Industrial, S.A.                                </t>
  </si>
  <si>
    <t xml:space="preserve">km 2 Carretera a Sabana Grande          </t>
  </si>
  <si>
    <t>Laboratorios Ramos, S.A.</t>
  </si>
  <si>
    <t xml:space="preserve">Laboratorios Rarpe     </t>
  </si>
  <si>
    <t xml:space="preserve">km 4 Carretera Norte                    </t>
  </si>
  <si>
    <t>Laboratorios Solka</t>
  </si>
  <si>
    <t xml:space="preserve">km 16,5 Carretera Masaya             </t>
  </si>
  <si>
    <t>Laboratorios Ceguel</t>
  </si>
  <si>
    <t>Carretera Masaya km 45,5 Granada</t>
  </si>
  <si>
    <t>Laboratorio de Análisis, S.A</t>
  </si>
  <si>
    <t>km 95,5  Carretera León-Chinandega</t>
  </si>
  <si>
    <t>Lacteos, S.A.</t>
  </si>
  <si>
    <t>km 18,5 carretera a Xiloá, Portón Principal 800 m norte</t>
  </si>
  <si>
    <t>Langostinos de Centroamérica, S.A.</t>
  </si>
  <si>
    <t>km 151 Carretera Chinandega al Guasuale, 2 km oeste</t>
  </si>
  <si>
    <t>Laboratorio Nacional de Diagnostico Veterinario y Microbiología de los Alimentos</t>
  </si>
  <si>
    <t>km 12,7 Carretera Sur, de la entrada a serranía 300 m al oeste, 100 m al lago, 100 m abajo, 800 m al lago.</t>
  </si>
  <si>
    <t>Laboratorio Nacional de Diagnostico Fitosanitario de Calidad y Semilla.</t>
  </si>
  <si>
    <t>Laboratorios SERAGRO, S.A.</t>
  </si>
  <si>
    <t>km 138 Carretera a Corinto, Chinandega</t>
  </si>
  <si>
    <t xml:space="preserve">LOGICOM Logistica Comercial S.A                    </t>
  </si>
  <si>
    <t xml:space="preserve">Edificio Delta km 5,5 Carretera a Masaya   </t>
  </si>
  <si>
    <t>Laquisa</t>
  </si>
  <si>
    <t>km 83 Carretera León</t>
  </si>
  <si>
    <t>Las Limas</t>
  </si>
  <si>
    <t>Carretera Panamericana, km 153 Estelí, Nicaragua</t>
  </si>
  <si>
    <t>LABSA UNA</t>
  </si>
  <si>
    <t>Carretera Norte, Managua </t>
  </si>
  <si>
    <t>Labnicsa</t>
  </si>
  <si>
    <t xml:space="preserve">Rotonda Rubén Darío 100 m al Sur 50 m al Oeste 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</si>
  <si>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</si>
  <si>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</si>
  <si>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</si>
  <si>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</si>
  <si>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</si>
  <si>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</si>
  <si>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Marbel Gutierrez Martinez                   </t>
  </si>
  <si>
    <t xml:space="preserve">km 16.8 Carretera Ticuantepe, Pozo Enacal  </t>
  </si>
  <si>
    <t>Margumar</t>
  </si>
  <si>
    <t xml:space="preserve">Mayacero de Nicaragua S,A </t>
  </si>
  <si>
    <t xml:space="preserve">km  36,5 Carretera Masaya – Tipitapa Comunidad de Guanacastillo. </t>
  </si>
  <si>
    <t>María Sánchez</t>
  </si>
  <si>
    <t>km 44,5 Carretera Vieja a León, empalme El Transito, 5 km sur. Puente Apompoa, 500 m s M/D.</t>
  </si>
  <si>
    <t xml:space="preserve">Medisut, S.A.                                               </t>
  </si>
  <si>
    <t>Zona Franca Las Mercedes, km 12,5 Carretera Norte</t>
  </si>
  <si>
    <t>Matadero Central, S.A.</t>
  </si>
  <si>
    <t>km 130 Carretera Managua a Juigalpa</t>
  </si>
  <si>
    <t>Matadero Cacique</t>
  </si>
  <si>
    <t>km 15,5 Carretera Nueva a León 800 m Norte Ciudad Sandino, Nicaragua</t>
  </si>
  <si>
    <t>Mangosa</t>
  </si>
  <si>
    <t>Comunidad de El Jicaral, León</t>
  </si>
  <si>
    <t xml:space="preserve">Meedsa                                                      </t>
  </si>
  <si>
    <t>km 95 Carretera León-Chinandega</t>
  </si>
  <si>
    <t>Metro Garment Nicaragua, S.A</t>
  </si>
  <si>
    <t>MJ ApparelL, S.A.</t>
  </si>
  <si>
    <t>km 5 Carretera Norte, semáforos de la Parmalat  800 m norte, 200 m este. Zona Franca Portezuelo</t>
  </si>
  <si>
    <t xml:space="preserve">Montacargas y Accesorios de Nicaragua, S.A.                 </t>
  </si>
  <si>
    <t xml:space="preserve">Puente El Edén, 250 m al Norte         </t>
  </si>
  <si>
    <t>Mundo de Frutas</t>
  </si>
  <si>
    <t>km 104,8 Carretera Panamericana Sur, Rivas.</t>
  </si>
  <si>
    <t>My Fathers Cigars</t>
  </si>
  <si>
    <t>Gasolinera UNO norte, 500 m al norte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</si>
  <si>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</si>
  <si>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</si>
  <si>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</si>
  <si>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</si>
  <si>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</si>
  <si>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</si>
  <si>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</si>
  <si>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</si>
  <si>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 xml:space="preserve">Navinic     </t>
  </si>
  <si>
    <t xml:space="preserve">Ingenio Montelimar                      </t>
  </si>
  <si>
    <t xml:space="preserve">Nestle de Nicaragua, S.A.                                      </t>
  </si>
  <si>
    <t xml:space="preserve">Costado oeste Hospital Bertha Calderón  </t>
  </si>
  <si>
    <t xml:space="preserve">Nestle Los Santos </t>
  </si>
  <si>
    <t>Calle José Vallarino, La Villa de Los Santos, Panamá</t>
  </si>
  <si>
    <t>Next Nivel S,A</t>
  </si>
  <si>
    <t>km 12,5 Carretera Norte, Parque Industrial Las Mercedes, modulo # 3738</t>
  </si>
  <si>
    <t>Nica Manos, S.A.</t>
  </si>
  <si>
    <t>km 68,7 Carretera León, M.D.</t>
  </si>
  <si>
    <t>Nicabanana</t>
  </si>
  <si>
    <t>El Realejo - Chinandega</t>
  </si>
  <si>
    <t>Nicamex, S.A.</t>
  </si>
  <si>
    <t>Gasolinera Uno Plaza El Sol 100 m sur, 150 m oeste. Casa # 113 contiguo a SEVASA Los Robles</t>
  </si>
  <si>
    <t>Nicaragua American Cigars S.A.</t>
  </si>
  <si>
    <t>Rotonda el CEPAD 100 m este, 25 m sur</t>
  </si>
  <si>
    <t>Nicaragua Sugar State Limited</t>
  </si>
  <si>
    <t>km 14 Carretera Nueva a León</t>
  </si>
  <si>
    <t>Nicasolum</t>
  </si>
  <si>
    <t>Carretera Norte, Portezuelo 400 m sur, 50 m oeste</t>
  </si>
  <si>
    <t>Nicastarch Agro</t>
  </si>
  <si>
    <t>km 275,8 Carretera a Nueva Guinea</t>
  </si>
  <si>
    <t xml:space="preserve">Novaterra                    </t>
  </si>
  <si>
    <t xml:space="preserve">km 42 Carretera Panamericana Norte      </t>
  </si>
  <si>
    <t xml:space="preserve">Nova Honduras Zona Libre S.A.                             </t>
  </si>
  <si>
    <t>Valle de San Lorenzo</t>
  </si>
  <si>
    <t xml:space="preserve">Nuevo Carnic, S.A.                                          </t>
  </si>
  <si>
    <t>km 10,5 Carretera Norte, 800 m al norte</t>
  </si>
  <si>
    <t>Oil Test Internacional de Nicaragua, S.A.</t>
  </si>
  <si>
    <t>Opportunity International Nicaragua</t>
  </si>
  <si>
    <t>km 48 Carretera a Nandaime, Granada</t>
  </si>
  <si>
    <t>Orgoma-Nicaragua</t>
  </si>
  <si>
    <t>Cuerpo de Bomberos 175 m oeste, Managua</t>
  </si>
  <si>
    <t>ORTYCAST</t>
  </si>
  <si>
    <t>Optima Industrial</t>
  </si>
  <si>
    <t>Semaforos Delicias del Volga, 200 m Norte, 200 m Oeste</t>
  </si>
  <si>
    <t xml:space="preserve">Panzyma Laboratories, S.A.                                  </t>
  </si>
  <si>
    <t>km 23,5 Carretera Sur, El Crucero.</t>
  </si>
  <si>
    <t xml:space="preserve">Parmalat Centroamerica, S.A.                                </t>
  </si>
  <si>
    <t>Pacific Seafoods de Nicaragua S,A.</t>
  </si>
  <si>
    <t>Bolonia, Esquina Norte de Canal 2, 50 m Este, Managua</t>
  </si>
  <si>
    <t xml:space="preserve">Peninsula Maritime Corp., S.A.                              </t>
  </si>
  <si>
    <t xml:space="preserve">Miramar Punta La Flor                   </t>
  </si>
  <si>
    <t>Peralta Coffee</t>
  </si>
  <si>
    <t>Ocotal, Nueva Segovia - km 233  (Ocotal - Jalapa)</t>
  </si>
  <si>
    <t>Petrogas</t>
  </si>
  <si>
    <t>Semáforos de El Mayoreo 500 m al sur, contiguo a Cooperativa 2 de Agosto</t>
  </si>
  <si>
    <t>Pinula, S.A.</t>
  </si>
  <si>
    <t>km 121 Carretera León-Chinandega</t>
  </si>
  <si>
    <t xml:space="preserve">Polaris Energy Nicaragua, S.A.                              </t>
  </si>
  <si>
    <t xml:space="preserve">km 114 Carretera León-Malpaisillo       </t>
  </si>
  <si>
    <t xml:space="preserve">Precon Nicaragua, S.A.                                      </t>
  </si>
  <si>
    <t xml:space="preserve">km 17,5 Carretera Nueva a León        </t>
  </si>
  <si>
    <t>Premet</t>
  </si>
  <si>
    <t>Semáforos de Plaza El Sol 180 m sur, N° 167.</t>
  </si>
  <si>
    <t xml:space="preserve">PRODECON S.A. </t>
  </si>
  <si>
    <t xml:space="preserve">Productos del Aire Nicaragua, S.A.                       </t>
  </si>
  <si>
    <t xml:space="preserve">km 7,5 Carretera Norte                </t>
  </si>
  <si>
    <t xml:space="preserve">Protena, S.A. </t>
  </si>
  <si>
    <t xml:space="preserve">km 26,5 Carretera Panamericana Norte  </t>
  </si>
  <si>
    <t>Provesa</t>
  </si>
  <si>
    <t>Provisave/Prog. de Gestión de la Calidad y Validación de Métodos</t>
  </si>
  <si>
    <t xml:space="preserve">MAGFOR                                  </t>
  </si>
  <si>
    <t>Proyeco de Saneamiento del Lago de la Ciudad de Managua</t>
  </si>
  <si>
    <t xml:space="preserve">Ptas - Managua - 2da Etapa              </t>
  </si>
  <si>
    <t xml:space="preserve">Proyectos y Automatización PYASA                            </t>
  </si>
  <si>
    <t xml:space="preserve">Plaza Maranhao Local No. 7              </t>
  </si>
  <si>
    <t>Productos El Sol S.A</t>
  </si>
  <si>
    <t>De Los semáforos del Hospital La Mascota 250 vrs arriba</t>
  </si>
  <si>
    <t>Del puesto de buses (terminal) Masatepe 800 m Sur</t>
  </si>
  <si>
    <t>Estelí costado Norte de la Universidad Farem</t>
  </si>
  <si>
    <t>Puma Energy Bahamas S,A.</t>
  </si>
  <si>
    <t>Base cuesta del plomo, Refinería, Managua</t>
  </si>
  <si>
    <t>PLEICSA</t>
  </si>
  <si>
    <t>km 13,5 Carretera Sur, de la Iglesia Monte Tabor 500 m Sur, Entrada a la muela</t>
  </si>
  <si>
    <t>Rainbow Apparel Trading S,A</t>
  </si>
  <si>
    <t>Ramón Duriez González</t>
  </si>
  <si>
    <t xml:space="preserve">Banpro 150 m norte,50 m este          </t>
  </si>
  <si>
    <t>Ramón Nicoya</t>
  </si>
  <si>
    <t>Donde fue la Policía, 100 m este, 100 m norte</t>
  </si>
  <si>
    <t>Rocedes, S.A.</t>
  </si>
  <si>
    <t>Roger Moreno</t>
  </si>
  <si>
    <t xml:space="preserve">Roo Hsing Co. Nicaragua, S.A.                               </t>
  </si>
  <si>
    <t xml:space="preserve">Entrada a la Subasta, 800 m norte      </t>
  </si>
  <si>
    <t>Royal Shrimp, S.A.</t>
  </si>
  <si>
    <t>RETECSA</t>
  </si>
  <si>
    <t>Colonial Los Robles, Plaza El Sol 150 m al sur</t>
  </si>
  <si>
    <t>R-PAC Nicaragua S,A.</t>
  </si>
  <si>
    <t>km 47,5 Carretera Tipitapa-Masaya, Zona Franca Astro Nicaragua, Nave 22C</t>
  </si>
  <si>
    <t>Rexcielo, S.A.</t>
  </si>
  <si>
    <t>km 12,5 Carretera Norte, Parque Industrial Las Mercedes, modulo # 15</t>
  </si>
  <si>
    <t>Sae Technotex S.A.</t>
  </si>
  <si>
    <t>km 48,5  carretera Masaya-Tipitapa, Nicaragua</t>
  </si>
  <si>
    <t>Sacos de Nicaragua, S.A.</t>
  </si>
  <si>
    <t>km 14 Carretera Nueva a León.</t>
  </si>
  <si>
    <t>SAMSA Nicaragua, S. A.,</t>
  </si>
  <si>
    <t>San Marcos Carazo, Colonia Che Guevara Casa N° 43</t>
  </si>
  <si>
    <t>Salinera de Nicaragua S,A</t>
  </si>
  <si>
    <t>De Alke Carretera a Masaya 100 m abajo, 100 Sur, 50 m abajo, contiguo a La Embajada de Chile, Los Robles</t>
  </si>
  <si>
    <t>Seratex Nicaragua. S.A</t>
  </si>
  <si>
    <t>SAE A TECHNOTEX S,A</t>
  </si>
  <si>
    <t xml:space="preserve">Servicios Técnicos de Básculas </t>
  </si>
  <si>
    <t>Servilab Nicaragua</t>
  </si>
  <si>
    <t>Casa Pellas Acahualinca 2 c arriba 1c Sur</t>
  </si>
  <si>
    <t>Simplementemadera</t>
  </si>
  <si>
    <t>km 12,5 Carreterra Nueva Leon</t>
  </si>
  <si>
    <t xml:space="preserve">Sovereign Logistics </t>
  </si>
  <si>
    <t>Edificio Torres Zamora oficina 7</t>
  </si>
  <si>
    <t xml:space="preserve">Suministros Químicos Industriales, S.A.(SUQUISA)            </t>
  </si>
  <si>
    <t xml:space="preserve">Carretera norte, Semáforos Antigua PEPSI, 200 m norte, 200 m este </t>
  </si>
  <si>
    <t>SPRL S,A</t>
  </si>
  <si>
    <t>Lomas del Valle N°13 B</t>
  </si>
  <si>
    <t xml:space="preserve">Servibasculas de Nicaragua S,A </t>
  </si>
  <si>
    <t>km 10 Carretera Norte, Residencial Casa Real, Calle #2 Casa #17</t>
  </si>
  <si>
    <t>Ganadería Integral Nicaragua. S.A</t>
  </si>
  <si>
    <t>km 34,5 Carretera Vieja a León, 1 200 m Sur, Municipio Villa El Carmen, Managua</t>
  </si>
  <si>
    <t>Simplemente Madera Millworks S.A.</t>
  </si>
  <si>
    <t>km 12,5 Carretera Nueva León, Entrada a Xiloa 300 m Hacia La Laguna</t>
  </si>
  <si>
    <t>Tabacos Cubanica, S.A.</t>
  </si>
  <si>
    <t>Estelí, km 147 Carretera Panamericana Norte, Frente Operaciones Policía Nacional</t>
  </si>
  <si>
    <t>Tabacos del Sol</t>
  </si>
  <si>
    <t>Enitel, 100 m oeste, 200 m norte, Barrio 20 de Septiembre, Condega</t>
  </si>
  <si>
    <t>Tabacalera Tavicusa S,A.</t>
  </si>
  <si>
    <t>Surtidora El Oriental 50 m Este, Estelí</t>
  </si>
  <si>
    <t>Tecniprocesos de Nicaragua, S.A.</t>
  </si>
  <si>
    <t>Tecshoes Latinoamérica</t>
  </si>
  <si>
    <t>km 47,5 Carretera Tipitapa-Masaya.</t>
  </si>
  <si>
    <t>Terraexport S.A. (Planta Matagalpa)</t>
  </si>
  <si>
    <t>km 104,5 Carretera Sebaco a Estelí</t>
  </si>
  <si>
    <t>Terraexport S.A. (Planta Nueva Guinea)</t>
  </si>
  <si>
    <t>Dirección km 283 Salida a colonia Rio Plata</t>
  </si>
  <si>
    <t xml:space="preserve">Transportes Tical, S.A.                                                 </t>
  </si>
  <si>
    <t xml:space="preserve">km 8 Carretera Norte                   </t>
  </si>
  <si>
    <t xml:space="preserve">Tipitapa Power Company                            </t>
  </si>
  <si>
    <t xml:space="preserve">km 19 Carretera vieja a Tipitapa        </t>
  </si>
  <si>
    <t>Transimport, S.A.</t>
  </si>
  <si>
    <t>Tropicana Fruit Farms Inc.</t>
  </si>
  <si>
    <t xml:space="preserve">Complejo Buenos Aires, frente a Ministerio de Defensa, 
Mercado Oriental. Managua, Nicaragua.
</t>
  </si>
  <si>
    <t>Tabacalera Perdomo S.A</t>
  </si>
  <si>
    <t>Tabacalera Oliva de Estelí S,A.</t>
  </si>
  <si>
    <t>De La Rotonda El Cepad 200 m Norte, 50 m Este, Barrio Dios Proveera de Estelí</t>
  </si>
  <si>
    <t>Tabacos Asociados de Nicaragua S,A.</t>
  </si>
  <si>
    <t>De La Rotonda El Cepad 100 m Este, Estelí</t>
  </si>
  <si>
    <t>Texnica Internacional S.A.</t>
  </si>
  <si>
    <t>km 5,5  Carretera Norte, Puente desnivel 400 m al Lago Frente a pinturas Sur.</t>
  </si>
  <si>
    <t>Tabacalera A.J Fernandez Cigars de Nicaragua S.A</t>
  </si>
  <si>
    <t>De estación de servicio UNO salida Norte, 800 m Norte, Carretera Miraflor-Estelí</t>
  </si>
  <si>
    <t>Tabacalera Cubana Nicaragüense S,A.</t>
  </si>
  <si>
    <t>Universal Leaf Nicaragua, S.A.</t>
  </si>
  <si>
    <t>Estelí, De Comercial Erwin 200 m Sur, 50 m Oeste</t>
  </si>
  <si>
    <t>Universidad Nacional de Ingeniería</t>
  </si>
  <si>
    <t>UNO</t>
  </si>
  <si>
    <t xml:space="preserve">Carreterra Refinería </t>
  </si>
  <si>
    <t>UNAN Managua</t>
  </si>
  <si>
    <t>De Enel Central 2,5 km al Sur. Villa Fontana</t>
  </si>
  <si>
    <t>UCCEI R.L</t>
  </si>
  <si>
    <t>km 119,7 Carretera a Sébaco-Matagalpa</t>
  </si>
  <si>
    <t>Vegyfrut</t>
  </si>
  <si>
    <t>km 19,9 Carretera a Masaya</t>
  </si>
  <si>
    <t>Villa Coffe</t>
  </si>
  <si>
    <t>WeAreInk S,A</t>
  </si>
  <si>
    <t>km 8 Carretera Norte, 500 m Sur,Parque Industrial El Transito, Bodega 16B</t>
  </si>
  <si>
    <t>William Jose Salmeron Quiroz</t>
  </si>
  <si>
    <t>Bo. Altagracia, Semaforos Racachaca 50 m Oeste, 50 m Sur</t>
  </si>
  <si>
    <t xml:space="preserve">Yazaki de Nicaragua, S.A.                                   </t>
  </si>
  <si>
    <t>km 90,5 Carretera Managua - León</t>
  </si>
  <si>
    <t>Yazaki El Salvador, S,A.</t>
  </si>
  <si>
    <t>Santa Ana, El Salvador</t>
  </si>
  <si>
    <t xml:space="preserve">Zeas Apicola y Cia. LTDA.                                   </t>
  </si>
  <si>
    <t xml:space="preserve">Gasolinera Uno, 100 m Oeste, 50 m Sur       </t>
  </si>
  <si>
    <t>Trazabilidad de los patrones utilizados</t>
  </si>
  <si>
    <t>Equipo</t>
  </si>
  <si>
    <t>NI-MCPPT-01</t>
  </si>
  <si>
    <t>NI-MCPPT-02</t>
  </si>
  <si>
    <t>NI-MCPPT-04</t>
  </si>
  <si>
    <t>NI-MCPPT-05</t>
  </si>
  <si>
    <t>NI-MCPPT-06</t>
  </si>
  <si>
    <t>Fluke 971</t>
  </si>
  <si>
    <t>SCM Metrología y Laboratorios 20181106-28-2</t>
  </si>
  <si>
    <t>Extech</t>
  </si>
  <si>
    <t>SCM Metrología y Laboratorios 20190513-102-7</t>
  </si>
  <si>
    <t>SCM Metrología y Laboratorios 20190513-102-3</t>
  </si>
  <si>
    <t>SCM Metrología y Laboratorios 20190513-102-2</t>
  </si>
  <si>
    <t>SCM Metrología y Laboratorios 20190513-102-6</t>
  </si>
  <si>
    <t>Fecha de Calibración</t>
  </si>
  <si>
    <t>Identificación del Equipo</t>
  </si>
  <si>
    <t>Código del Certificado</t>
  </si>
  <si>
    <t>Baño de bloque seco</t>
  </si>
  <si>
    <t>Fluke 9171</t>
  </si>
  <si>
    <t>SCM Metrología y Laboratorios 20180507-28-1</t>
  </si>
  <si>
    <t>NI-MCPT-37</t>
  </si>
  <si>
    <t>Código:</t>
  </si>
  <si>
    <t xml:space="preserve">Fecha de Aprobación: </t>
  </si>
  <si>
    <t xml:space="preserve">Versión </t>
  </si>
  <si>
    <t>Fecha de revisión:</t>
  </si>
  <si>
    <t>Realizada por:</t>
  </si>
  <si>
    <t>FM</t>
  </si>
  <si>
    <t>NI-R02-MCIT-T-05</t>
  </si>
  <si>
    <t xml:space="preserve">    1</t>
  </si>
  <si>
    <t xml:space="preserve">    2</t>
  </si>
  <si>
    <t xml:space="preserve">    3</t>
  </si>
  <si>
    <t xml:space="preserve">    4</t>
  </si>
  <si>
    <t xml:space="preserve">    5</t>
  </si>
  <si>
    <t xml:space="preserve">    6</t>
  </si>
  <si>
    <t>Agrícola Ganadera Norteña, S.A</t>
  </si>
  <si>
    <t>Centro Sor María Romero 200 m Oeste, Estelí</t>
  </si>
  <si>
    <t xml:space="preserve">    7</t>
  </si>
  <si>
    <t xml:space="preserve">    8</t>
  </si>
  <si>
    <t xml:space="preserve">    9</t>
  </si>
  <si>
    <t xml:space="preserve">    10</t>
  </si>
  <si>
    <t xml:space="preserve">    11</t>
  </si>
  <si>
    <t xml:space="preserve">    12</t>
  </si>
  <si>
    <t xml:space="preserve">    13</t>
  </si>
  <si>
    <t xml:space="preserve">    14</t>
  </si>
  <si>
    <t xml:space="preserve">    15</t>
  </si>
  <si>
    <t xml:space="preserve">    16</t>
  </si>
  <si>
    <t>León</t>
  </si>
  <si>
    <t xml:space="preserve">    17</t>
  </si>
  <si>
    <t xml:space="preserve">    18</t>
  </si>
  <si>
    <t xml:space="preserve">    19</t>
  </si>
  <si>
    <t xml:space="preserve">    20</t>
  </si>
  <si>
    <t xml:space="preserve">Annic II, S.A.                                              </t>
  </si>
  <si>
    <t xml:space="preserve">km 45,5 Carretera San Marcos-Masatepe, Parque Industrial Las Palmeras
</t>
  </si>
  <si>
    <t xml:space="preserve">    21</t>
  </si>
  <si>
    <t xml:space="preserve">    22</t>
  </si>
  <si>
    <t xml:space="preserve">    23</t>
  </si>
  <si>
    <t xml:space="preserve">    24</t>
  </si>
  <si>
    <t xml:space="preserve">    25</t>
  </si>
  <si>
    <t xml:space="preserve">    26</t>
  </si>
  <si>
    <t xml:space="preserve">km 105 Carretera Panamericana Sebaco, Matagalpa, Nicaragua
</t>
  </si>
  <si>
    <t xml:space="preserve">    27</t>
  </si>
  <si>
    <t xml:space="preserve">    28</t>
  </si>
  <si>
    <t xml:space="preserve">    29</t>
  </si>
  <si>
    <t xml:space="preserve">    30</t>
  </si>
  <si>
    <t>Agrotabacos</t>
  </si>
  <si>
    <t>Enitel, 2c Norte 1/2 c Oeste, Condega-Estelí</t>
  </si>
  <si>
    <t xml:space="preserve">    31</t>
  </si>
  <si>
    <t>Asfaltos Industriales, S.A</t>
  </si>
  <si>
    <t>Frente a la Tropigas Cuesta El Plomo, Managua</t>
  </si>
  <si>
    <t xml:space="preserve">    32</t>
  </si>
  <si>
    <t xml:space="preserve">    33</t>
  </si>
  <si>
    <t xml:space="preserve">    34</t>
  </si>
  <si>
    <t>Banco de Sangre</t>
  </si>
  <si>
    <t>Reparto Belmonte 7 Sur, Contiguo a La Cruz Roja</t>
  </si>
  <si>
    <t xml:space="preserve">    35</t>
  </si>
  <si>
    <t xml:space="preserve">    36</t>
  </si>
  <si>
    <t xml:space="preserve">    37</t>
  </si>
  <si>
    <t xml:space="preserve">    38</t>
  </si>
  <si>
    <t xml:space="preserve">    39</t>
  </si>
  <si>
    <t xml:space="preserve">    40</t>
  </si>
  <si>
    <t xml:space="preserve">    41</t>
  </si>
  <si>
    <t xml:space="preserve">    42</t>
  </si>
  <si>
    <t>Matagalpa Coffee Group, S,A.</t>
  </si>
  <si>
    <t xml:space="preserve">    43</t>
  </si>
  <si>
    <t xml:space="preserve">    44</t>
  </si>
  <si>
    <t xml:space="preserve">    45</t>
  </si>
  <si>
    <t xml:space="preserve">    46</t>
  </si>
  <si>
    <t xml:space="preserve">    47</t>
  </si>
  <si>
    <t xml:space="preserve">    48</t>
  </si>
  <si>
    <t xml:space="preserve">    49</t>
  </si>
  <si>
    <t xml:space="preserve">    50</t>
  </si>
  <si>
    <t xml:space="preserve">    51</t>
  </si>
  <si>
    <t xml:space="preserve">    52</t>
  </si>
  <si>
    <t xml:space="preserve">    53</t>
  </si>
  <si>
    <t xml:space="preserve">    54</t>
  </si>
  <si>
    <t xml:space="preserve">    55</t>
  </si>
  <si>
    <t xml:space="preserve">    56</t>
  </si>
  <si>
    <t xml:space="preserve">    57</t>
  </si>
  <si>
    <t xml:space="preserve">    58</t>
  </si>
  <si>
    <t xml:space="preserve">    59</t>
  </si>
  <si>
    <t xml:space="preserve">    60</t>
  </si>
  <si>
    <t xml:space="preserve">    61</t>
  </si>
  <si>
    <t xml:space="preserve">    62</t>
  </si>
  <si>
    <t xml:space="preserve">    63</t>
  </si>
  <si>
    <t xml:space="preserve">    64</t>
  </si>
  <si>
    <t xml:space="preserve">    65</t>
  </si>
  <si>
    <t xml:space="preserve">    66</t>
  </si>
  <si>
    <t xml:space="preserve">    67</t>
  </si>
  <si>
    <t xml:space="preserve">    68</t>
  </si>
  <si>
    <t xml:space="preserve">    69</t>
  </si>
  <si>
    <t xml:space="preserve">    70</t>
  </si>
  <si>
    <t xml:space="preserve">    71</t>
  </si>
  <si>
    <t xml:space="preserve">    72</t>
  </si>
  <si>
    <t xml:space="preserve">    73</t>
  </si>
  <si>
    <t xml:space="preserve">    74</t>
  </si>
  <si>
    <t>Consultoría y Construcción S.A</t>
  </si>
  <si>
    <t>km 82,5 Carretera León - Managua</t>
  </si>
  <si>
    <t xml:space="preserve">    75</t>
  </si>
  <si>
    <t xml:space="preserve">    76</t>
  </si>
  <si>
    <t xml:space="preserve">    77</t>
  </si>
  <si>
    <t xml:space="preserve">    78</t>
  </si>
  <si>
    <t xml:space="preserve">    79</t>
  </si>
  <si>
    <t xml:space="preserve">    80</t>
  </si>
  <si>
    <t xml:space="preserve">    81</t>
  </si>
  <si>
    <t xml:space="preserve">    82</t>
  </si>
  <si>
    <t>Cocesna</t>
  </si>
  <si>
    <t>Carretera Norte km 10,5 Frente a Aduana Central Aérea Managua</t>
  </si>
  <si>
    <t xml:space="preserve">    83</t>
  </si>
  <si>
    <t xml:space="preserve">    84</t>
  </si>
  <si>
    <t xml:space="preserve">    85</t>
  </si>
  <si>
    <t xml:space="preserve">    86</t>
  </si>
  <si>
    <t xml:space="preserve">Corporación Montelimar, S.A.                                </t>
  </si>
  <si>
    <t xml:space="preserve">    87</t>
  </si>
  <si>
    <t xml:space="preserve">    88</t>
  </si>
  <si>
    <t xml:space="preserve">    89</t>
  </si>
  <si>
    <t xml:space="preserve">    90</t>
  </si>
  <si>
    <t xml:space="preserve">    91</t>
  </si>
  <si>
    <t xml:space="preserve">    92</t>
  </si>
  <si>
    <t>Consorcio Europeo Hospital de Chinandega</t>
  </si>
  <si>
    <t>Chinandega</t>
  </si>
  <si>
    <t xml:space="preserve">    93</t>
  </si>
  <si>
    <t xml:space="preserve">    94</t>
  </si>
  <si>
    <t>CYMCA</t>
  </si>
  <si>
    <t>Puerto Sandino</t>
  </si>
  <si>
    <t xml:space="preserve">    95</t>
  </si>
  <si>
    <t xml:space="preserve">    96</t>
  </si>
  <si>
    <t xml:space="preserve">    97</t>
  </si>
  <si>
    <t xml:space="preserve">    98</t>
  </si>
  <si>
    <t xml:space="preserve">    99</t>
  </si>
  <si>
    <t xml:space="preserve">    100</t>
  </si>
  <si>
    <t xml:space="preserve">    101</t>
  </si>
  <si>
    <t xml:space="preserve">    102</t>
  </si>
  <si>
    <t xml:space="preserve">    103</t>
  </si>
  <si>
    <t xml:space="preserve">    104</t>
  </si>
  <si>
    <t xml:space="preserve">    105</t>
  </si>
  <si>
    <t xml:space="preserve">    106</t>
  </si>
  <si>
    <t xml:space="preserve">    107</t>
  </si>
  <si>
    <t xml:space="preserve">    108</t>
  </si>
  <si>
    <t xml:space="preserve">    109</t>
  </si>
  <si>
    <t>ENEL</t>
  </si>
  <si>
    <t xml:space="preserve">    110</t>
  </si>
  <si>
    <t xml:space="preserve">    111</t>
  </si>
  <si>
    <t>Estelí Horticultural S,A</t>
  </si>
  <si>
    <t>km 153 Carretera Norte, Esteli</t>
  </si>
  <si>
    <t xml:space="preserve">    112</t>
  </si>
  <si>
    <t xml:space="preserve">    113</t>
  </si>
  <si>
    <t xml:space="preserve">    114</t>
  </si>
  <si>
    <t xml:space="preserve">    115</t>
  </si>
  <si>
    <t xml:space="preserve">    116</t>
  </si>
  <si>
    <t xml:space="preserve">    117</t>
  </si>
  <si>
    <t xml:space="preserve">    118</t>
  </si>
  <si>
    <t xml:space="preserve">    119</t>
  </si>
  <si>
    <t xml:space="preserve">    120</t>
  </si>
  <si>
    <t xml:space="preserve">    121</t>
  </si>
  <si>
    <t xml:space="preserve">    122</t>
  </si>
  <si>
    <t xml:space="preserve">    123</t>
  </si>
  <si>
    <t xml:space="preserve">    124</t>
  </si>
  <si>
    <t>Empacadora de Camarones Santa Inés</t>
  </si>
  <si>
    <t>Honduras</t>
  </si>
  <si>
    <t xml:space="preserve">    125</t>
  </si>
  <si>
    <t xml:space="preserve">    126</t>
  </si>
  <si>
    <t xml:space="preserve">    127</t>
  </si>
  <si>
    <t xml:space="preserve">    128</t>
  </si>
  <si>
    <t xml:space="preserve">    129</t>
  </si>
  <si>
    <t xml:space="preserve">    130</t>
  </si>
  <si>
    <t xml:space="preserve">    131</t>
  </si>
  <si>
    <t xml:space="preserve">    132</t>
  </si>
  <si>
    <t xml:space="preserve">    133</t>
  </si>
  <si>
    <t xml:space="preserve">    134</t>
  </si>
  <si>
    <t xml:space="preserve">    135</t>
  </si>
  <si>
    <t xml:space="preserve">    136</t>
  </si>
  <si>
    <t xml:space="preserve">    137</t>
  </si>
  <si>
    <t xml:space="preserve">    138</t>
  </si>
  <si>
    <t xml:space="preserve">    139</t>
  </si>
  <si>
    <t xml:space="preserve">    140</t>
  </si>
  <si>
    <t xml:space="preserve">    141</t>
  </si>
  <si>
    <t>Gunnar James</t>
  </si>
  <si>
    <t>Pista Sabana Grande 150 m Sur</t>
  </si>
  <si>
    <t xml:space="preserve">    142</t>
  </si>
  <si>
    <t xml:space="preserve">    143</t>
  </si>
  <si>
    <t xml:space="preserve">    144</t>
  </si>
  <si>
    <t xml:space="preserve">    145</t>
  </si>
  <si>
    <t>Handsome Nica S,A</t>
  </si>
  <si>
    <t>Km 14,5 Carrtera Nueva a León</t>
  </si>
  <si>
    <t xml:space="preserve">    146</t>
  </si>
  <si>
    <t xml:space="preserve">    147</t>
  </si>
  <si>
    <t xml:space="preserve">    148</t>
  </si>
  <si>
    <t xml:space="preserve">    149</t>
  </si>
  <si>
    <t>Hacienda la Hammonia y Cia. Ltda</t>
  </si>
  <si>
    <t xml:space="preserve">    150</t>
  </si>
  <si>
    <t>HydroLogica S,A</t>
  </si>
  <si>
    <t>Carretera Sur Km. 8, Plaza San José, Edificio. B Módulo 2, Managua, Nicaragua</t>
  </si>
  <si>
    <t xml:space="preserve">    151</t>
  </si>
  <si>
    <t xml:space="preserve">    152</t>
  </si>
  <si>
    <t xml:space="preserve">    153</t>
  </si>
  <si>
    <t xml:space="preserve">    154</t>
  </si>
  <si>
    <t xml:space="preserve">Intertek </t>
  </si>
  <si>
    <t xml:space="preserve">Calle Nueva, de donde fue el Rest .Bohemio 50 m. Oeste Corinto, Nicaragua </t>
  </si>
  <si>
    <t xml:space="preserve">    155</t>
  </si>
  <si>
    <t xml:space="preserve"> Impexca S,A</t>
  </si>
  <si>
    <t>Frente al Restaurante El Pullazo, Las Tejas km 125, Carretera Matagalpa Sebaco</t>
  </si>
  <si>
    <t xml:space="preserve">    156</t>
  </si>
  <si>
    <t xml:space="preserve">    157</t>
  </si>
  <si>
    <t xml:space="preserve">    158</t>
  </si>
  <si>
    <t xml:space="preserve">    159</t>
  </si>
  <si>
    <t xml:space="preserve">    160</t>
  </si>
  <si>
    <t xml:space="preserve">    161</t>
  </si>
  <si>
    <t xml:space="preserve">    162</t>
  </si>
  <si>
    <t xml:space="preserve">    163</t>
  </si>
  <si>
    <t xml:space="preserve">    164</t>
  </si>
  <si>
    <t xml:space="preserve">    165</t>
  </si>
  <si>
    <t xml:space="preserve">    166</t>
  </si>
  <si>
    <t xml:space="preserve">    167</t>
  </si>
  <si>
    <t xml:space="preserve">    168</t>
  </si>
  <si>
    <t>Incasa</t>
  </si>
  <si>
    <t>km 30 Carretera Managua-Granada</t>
  </si>
  <si>
    <t xml:space="preserve">    169</t>
  </si>
  <si>
    <t xml:space="preserve">    170</t>
  </si>
  <si>
    <t xml:space="preserve">    171</t>
  </si>
  <si>
    <t xml:space="preserve">    172</t>
  </si>
  <si>
    <t>Industrias Mantica S.A.</t>
  </si>
  <si>
    <t>Costado Sur Iglesia San Sebastian, León-Nicaragua.</t>
  </si>
  <si>
    <t xml:space="preserve">    173</t>
  </si>
  <si>
    <t xml:space="preserve">    174</t>
  </si>
  <si>
    <t xml:space="preserve">    175</t>
  </si>
  <si>
    <t xml:space="preserve">    176</t>
  </si>
  <si>
    <t xml:space="preserve">    177</t>
  </si>
  <si>
    <t xml:space="preserve">    178</t>
  </si>
  <si>
    <t>Internacional de Textiles S,A</t>
  </si>
  <si>
    <t>km 12,5 Carretera Norte, Zona Franca Industrial Las Mercedes, módulos 32-33 y 45</t>
  </si>
  <si>
    <t xml:space="preserve">    179</t>
  </si>
  <si>
    <t>Industria Robelo CamachoS,A</t>
  </si>
  <si>
    <t>Banpro 100 m al Este, 10 vrs al Sur, Matagalpa-Nicaragua</t>
  </si>
  <si>
    <t xml:space="preserve">    180</t>
  </si>
  <si>
    <t xml:space="preserve">    181</t>
  </si>
  <si>
    <t xml:space="preserve">    182</t>
  </si>
  <si>
    <t xml:space="preserve">    183</t>
  </si>
  <si>
    <t xml:space="preserve">    184</t>
  </si>
  <si>
    <t xml:space="preserve">    185</t>
  </si>
  <si>
    <t xml:space="preserve">    186</t>
  </si>
  <si>
    <t xml:space="preserve">    187</t>
  </si>
  <si>
    <t xml:space="preserve">Kufferath Nicaragua, S.A.                                   </t>
  </si>
  <si>
    <t xml:space="preserve">Carretera Norte ,km 7,5 Parque Industrial El Transito, Managua
</t>
  </si>
  <si>
    <t xml:space="preserve">    188</t>
  </si>
  <si>
    <t>km 4 Carretera Norte, Managua.</t>
  </si>
  <si>
    <t xml:space="preserve">    189</t>
  </si>
  <si>
    <t xml:space="preserve">    190</t>
  </si>
  <si>
    <t xml:space="preserve">    191</t>
  </si>
  <si>
    <t xml:space="preserve">    192</t>
  </si>
  <si>
    <t xml:space="preserve">    193</t>
  </si>
  <si>
    <t xml:space="preserve">    194</t>
  </si>
  <si>
    <t>La India Gold S,A</t>
  </si>
  <si>
    <t>Mina La India, km 174 Carretera León-San Isidro</t>
  </si>
  <si>
    <t xml:space="preserve">    195</t>
  </si>
  <si>
    <t xml:space="preserve">    196</t>
  </si>
  <si>
    <t xml:space="preserve">    197</t>
  </si>
  <si>
    <t xml:space="preserve">    198</t>
  </si>
  <si>
    <t>Laboratorio Nacional de Residuos Químicos y Biológicos</t>
  </si>
  <si>
    <t>Bo. Casimiro Sotelo Enel Central 300 vrs Sur, Managua</t>
  </si>
  <si>
    <t xml:space="preserve">    199</t>
  </si>
  <si>
    <t xml:space="preserve">    200</t>
  </si>
  <si>
    <t>LALA Nicaragua S.A.</t>
  </si>
  <si>
    <t>18 y 19 Avenida Sur Oeste, Altagracia, Managua</t>
  </si>
  <si>
    <t>LALA Nicaragua S.A. (Planta San Benito)</t>
  </si>
  <si>
    <t>Carretera Panamericana Norte 35 1/2 Banda Este, San Benito Tipitapa</t>
  </si>
  <si>
    <t xml:space="preserve">    201</t>
  </si>
  <si>
    <t xml:space="preserve">    202</t>
  </si>
  <si>
    <t xml:space="preserve">    203</t>
  </si>
  <si>
    <t xml:space="preserve">    204</t>
  </si>
  <si>
    <t xml:space="preserve">    205</t>
  </si>
  <si>
    <t xml:space="preserve">    206</t>
  </si>
  <si>
    <t xml:space="preserve">    207</t>
  </si>
  <si>
    <t xml:space="preserve">    208</t>
  </si>
  <si>
    <t xml:space="preserve">    209</t>
  </si>
  <si>
    <t xml:space="preserve">    210</t>
  </si>
  <si>
    <t xml:space="preserve">    211</t>
  </si>
  <si>
    <t xml:space="preserve">    212</t>
  </si>
  <si>
    <t xml:space="preserve">    213</t>
  </si>
  <si>
    <t xml:space="preserve">    214</t>
  </si>
  <si>
    <t xml:space="preserve">    215</t>
  </si>
  <si>
    <t xml:space="preserve">    216</t>
  </si>
  <si>
    <t xml:space="preserve">    217</t>
  </si>
  <si>
    <t xml:space="preserve">    218</t>
  </si>
  <si>
    <t>Molinos de Nicaragua S.A.</t>
  </si>
  <si>
    <t>km 15,2 Carretera Masaya</t>
  </si>
  <si>
    <t xml:space="preserve">    219</t>
  </si>
  <si>
    <t xml:space="preserve">    220</t>
  </si>
  <si>
    <t xml:space="preserve">    221</t>
  </si>
  <si>
    <t xml:space="preserve">    222</t>
  </si>
  <si>
    <t xml:space="preserve">    223</t>
  </si>
  <si>
    <t xml:space="preserve">    224</t>
  </si>
  <si>
    <t xml:space="preserve">    225</t>
  </si>
  <si>
    <t xml:space="preserve">    226</t>
  </si>
  <si>
    <t xml:space="preserve">    227</t>
  </si>
  <si>
    <t xml:space="preserve">    228</t>
  </si>
  <si>
    <t xml:space="preserve">    229</t>
  </si>
  <si>
    <t xml:space="preserve">    230</t>
  </si>
  <si>
    <t xml:space="preserve">    231</t>
  </si>
  <si>
    <t>Nica Beef Packers S.A.</t>
  </si>
  <si>
    <t>km 182 Carretera Panamericana Norte, Condega, Estelí.</t>
  </si>
  <si>
    <t xml:space="preserve">    232</t>
  </si>
  <si>
    <t xml:space="preserve">    233</t>
  </si>
  <si>
    <t xml:space="preserve">    234</t>
  </si>
  <si>
    <t xml:space="preserve">    235</t>
  </si>
  <si>
    <t xml:space="preserve">    236</t>
  </si>
  <si>
    <t xml:space="preserve">    237</t>
  </si>
  <si>
    <t>Nicoz Resources S,A</t>
  </si>
  <si>
    <t>Planes de Altamira de la Embajada de Taiwan 500 m Arriba. Edificio Mina, Managua</t>
  </si>
  <si>
    <t xml:space="preserve">    238</t>
  </si>
  <si>
    <t xml:space="preserve">    239</t>
  </si>
  <si>
    <t xml:space="preserve">    240</t>
  </si>
  <si>
    <t xml:space="preserve">    241</t>
  </si>
  <si>
    <t xml:space="preserve">    242</t>
  </si>
  <si>
    <t xml:space="preserve">    243</t>
  </si>
  <si>
    <t xml:space="preserve">    244</t>
  </si>
  <si>
    <t xml:space="preserve">    245</t>
  </si>
  <si>
    <t xml:space="preserve">    246</t>
  </si>
  <si>
    <t xml:space="preserve">    247</t>
  </si>
  <si>
    <t xml:space="preserve">    248</t>
  </si>
  <si>
    <t xml:space="preserve">    249</t>
  </si>
  <si>
    <t xml:space="preserve">    250</t>
  </si>
  <si>
    <t xml:space="preserve">    251</t>
  </si>
  <si>
    <t xml:space="preserve">    252</t>
  </si>
  <si>
    <t xml:space="preserve">    253</t>
  </si>
  <si>
    <t xml:space="preserve">    254</t>
  </si>
  <si>
    <t xml:space="preserve">    255</t>
  </si>
  <si>
    <t xml:space="preserve">    256</t>
  </si>
  <si>
    <t xml:space="preserve">    257</t>
  </si>
  <si>
    <t xml:space="preserve">    258</t>
  </si>
  <si>
    <t>Productos Frescos del Mar San Carlos</t>
  </si>
  <si>
    <t>De La Aldea Santa Elena Choluteca, Honduras, km 2 Carretera hacia Balneario Cedeño</t>
  </si>
  <si>
    <t xml:space="preserve">    259</t>
  </si>
  <si>
    <t xml:space="preserve">    260</t>
  </si>
  <si>
    <t xml:space="preserve">    261</t>
  </si>
  <si>
    <t xml:space="preserve">    262</t>
  </si>
  <si>
    <t xml:space="preserve">    263</t>
  </si>
  <si>
    <t xml:space="preserve">    264</t>
  </si>
  <si>
    <t xml:space="preserve">    265</t>
  </si>
  <si>
    <t>Pacific Seafoods de Nicaragua S,A</t>
  </si>
  <si>
    <t>Corn Island, Nicaragua</t>
  </si>
  <si>
    <t xml:space="preserve">    266</t>
  </si>
  <si>
    <t>Productores de Mariscos de Nicaragua S,A</t>
  </si>
  <si>
    <t>Puerto Cabezas, Nicaragua</t>
  </si>
  <si>
    <t xml:space="preserve">    267</t>
  </si>
  <si>
    <t>Procesadora de Huevo S.A</t>
  </si>
  <si>
    <t xml:space="preserve">    268</t>
  </si>
  <si>
    <t>Puros de Estelí Nicaragua S,A</t>
  </si>
  <si>
    <t xml:space="preserve">    269</t>
  </si>
  <si>
    <t xml:space="preserve">    270</t>
  </si>
  <si>
    <t xml:space="preserve">    271</t>
  </si>
  <si>
    <t>De donde fue La Kativo, 500 m Sur</t>
  </si>
  <si>
    <t xml:space="preserve">    272</t>
  </si>
  <si>
    <t xml:space="preserve">    273</t>
  </si>
  <si>
    <t xml:space="preserve">    274</t>
  </si>
  <si>
    <t xml:space="preserve">    275</t>
  </si>
  <si>
    <t xml:space="preserve">    276</t>
  </si>
  <si>
    <t xml:space="preserve">    277</t>
  </si>
  <si>
    <t xml:space="preserve">    278</t>
  </si>
  <si>
    <t xml:space="preserve">    279</t>
  </si>
  <si>
    <t xml:space="preserve">    280</t>
  </si>
  <si>
    <t xml:space="preserve">    281</t>
  </si>
  <si>
    <t xml:space="preserve">    282</t>
  </si>
  <si>
    <t>Sahlman Seafoods of Nicaragua S.A</t>
  </si>
  <si>
    <t>Valle de Esquipulas, de las cuatro esquinas de las Enrramadas 150 m Oeste</t>
  </si>
  <si>
    <t xml:space="preserve">    283</t>
  </si>
  <si>
    <t xml:space="preserve">    284</t>
  </si>
  <si>
    <t>Salud Digna para Todos S,A</t>
  </si>
  <si>
    <t>Pista La Sabana Frente a Supermercados La Colonia a un costado del bar La Barra</t>
  </si>
  <si>
    <t xml:space="preserve">    285</t>
  </si>
  <si>
    <t xml:space="preserve">    286</t>
  </si>
  <si>
    <t>SCMI Construction INC</t>
  </si>
  <si>
    <t>Del Empalme Piedras Blancas, 5 km al Oeste Carretera a Puerto Sandino, junto a subestación Enatrel, Naragote-Nicaragua</t>
  </si>
  <si>
    <t xml:space="preserve">    287</t>
  </si>
  <si>
    <t xml:space="preserve">    288</t>
  </si>
  <si>
    <t xml:space="preserve">    289</t>
  </si>
  <si>
    <t xml:space="preserve">    290</t>
  </si>
  <si>
    <t>Servibasculas Nicaragua S.A</t>
  </si>
  <si>
    <t>km. 4,4 Carretera Norte, frente donde fue el grupo Q, sobre la calle marginal.</t>
  </si>
  <si>
    <t xml:space="preserve">    291</t>
  </si>
  <si>
    <t xml:space="preserve">    292</t>
  </si>
  <si>
    <t>Seijiro Yazawa Iwai Nicaragua S,A</t>
  </si>
  <si>
    <t>Ofiplaza El Retiro, Edificio 8, Suite 812, Rotonda del Periodista 150 m Sur</t>
  </si>
  <si>
    <t xml:space="preserve">    293</t>
  </si>
  <si>
    <t xml:space="preserve">    294</t>
  </si>
  <si>
    <t xml:space="preserve">    295</t>
  </si>
  <si>
    <t xml:space="preserve">    296</t>
  </si>
  <si>
    <t xml:space="preserve">    297</t>
  </si>
  <si>
    <t xml:space="preserve">    298</t>
  </si>
  <si>
    <t xml:space="preserve">    299</t>
  </si>
  <si>
    <t xml:space="preserve">    300</t>
  </si>
  <si>
    <t>Sol Orgánica S,A</t>
  </si>
  <si>
    <t xml:space="preserve">    301</t>
  </si>
  <si>
    <t xml:space="preserve">    302</t>
  </si>
  <si>
    <t xml:space="preserve">    303</t>
  </si>
  <si>
    <t xml:space="preserve">    304</t>
  </si>
  <si>
    <t xml:space="preserve">    305</t>
  </si>
  <si>
    <t xml:space="preserve">Tecnodiagnóstica, S.A.                                      </t>
  </si>
  <si>
    <t xml:space="preserve">Hospital Militar 100 m oeste, 100 m sur       </t>
  </si>
  <si>
    <t xml:space="preserve">    306</t>
  </si>
  <si>
    <t xml:space="preserve">    307</t>
  </si>
  <si>
    <t xml:space="preserve">    308</t>
  </si>
  <si>
    <t xml:space="preserve">    309</t>
  </si>
  <si>
    <t xml:space="preserve">    310</t>
  </si>
  <si>
    <t xml:space="preserve">    311</t>
  </si>
  <si>
    <t xml:space="preserve">    312</t>
  </si>
  <si>
    <t xml:space="preserve">    313</t>
  </si>
  <si>
    <t xml:space="preserve">    314</t>
  </si>
  <si>
    <t>Tabacos Valle de Jalapa S,A</t>
  </si>
  <si>
    <t xml:space="preserve">    315</t>
  </si>
  <si>
    <t xml:space="preserve">    316</t>
  </si>
  <si>
    <t xml:space="preserve">    317</t>
  </si>
  <si>
    <t xml:space="preserve">    318</t>
  </si>
  <si>
    <t xml:space="preserve">    319</t>
  </si>
  <si>
    <t>Monumento del centenario 500 m Este, Frente a Inversiones Karibe</t>
  </si>
  <si>
    <t xml:space="preserve">    320</t>
  </si>
  <si>
    <t>Tubal S,A.</t>
  </si>
  <si>
    <t>Nagarote</t>
  </si>
  <si>
    <t xml:space="preserve">    321</t>
  </si>
  <si>
    <t xml:space="preserve">    322</t>
  </si>
  <si>
    <t>Universidad Nacional de Ingeniería. Avenida Universitaria, frente a Escuela Nacional de la Danza. Managua Nicaragua.</t>
  </si>
  <si>
    <t xml:space="preserve">    323</t>
  </si>
  <si>
    <t xml:space="preserve">    324</t>
  </si>
  <si>
    <t xml:space="preserve">    325</t>
  </si>
  <si>
    <t xml:space="preserve">    326</t>
  </si>
  <si>
    <t>Universal Design Nicaragua S,A</t>
  </si>
  <si>
    <t xml:space="preserve">Tipitapa, complejo Astro Nicaragua módulo 8.   </t>
  </si>
  <si>
    <t xml:space="preserve">    327</t>
  </si>
  <si>
    <t>Vestas de Nicaragua S.A.</t>
  </si>
  <si>
    <t xml:space="preserve">km 114,5 Carretera Sur 2 km al Oeste camino viejo a San Juan </t>
  </si>
  <si>
    <t xml:space="preserve">    328</t>
  </si>
  <si>
    <t xml:space="preserve">    329</t>
  </si>
  <si>
    <t xml:space="preserve">    330</t>
  </si>
  <si>
    <t xml:space="preserve">    331</t>
  </si>
  <si>
    <t xml:space="preserve">    332</t>
  </si>
  <si>
    <t xml:space="preserve">    333</t>
  </si>
  <si>
    <t>NI-MC-T-XXX-2022</t>
  </si>
  <si>
    <t>2022-XX-YY</t>
  </si>
  <si>
    <t>AVICASA</t>
  </si>
  <si>
    <t>km 27,5 Carretera Vieja Tipiptapa - San Benito</t>
  </si>
  <si>
    <t>Reparto San Juan, casa #190, Gimnasio Hercules 200 m Sur, 200 m arriba, 50 m al Sur.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</si>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</sst>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\ ?0.000\ 00"/>
    <numFmt numFmtId="165" formatCode="\ ?0.00"/>
    <numFmt numFmtId="166" formatCode="0.000"/>
    <numFmt numFmtId="167" formatCode="\ ?0.000\ 0"/>
    <numFmt numFmtId="168" formatCode="\ ?0.000\ 000\ 0"/>
    <numFmt numFmtId="169" formatCode="\ ?0.00\ 000\ 0"/>
    <numFmt numFmtId="170" formatCode="\ ?0.000\ 000,"/>
    <numFmt numFmtId="171" formatCode="0.0000"/>
    <numFmt numFmtId="172" formatCode="0.000000"/>
    <numFmt numFmtId="173" formatCode="0.000000000"/>
    <numFmt numFmtId="174" formatCode="\ ?0.00\ "/>
    <numFmt numFmtId="175" formatCode="\ ?0.000\ 000\ "/>
    <numFmt numFmtId="176" formatCode="\ ?0\ "/>
    <numFmt numFmtId="177" formatCode="\ ?0.\ 000\ 0"/>
    <numFmt numFmtId="178" formatCode="\ ??????.\ 000\ ;0.00000"/>
    <numFmt numFmtId="179" formatCode="\ ?0.000\ "/>
    <numFmt numFmtId="180" formatCode="\ ?0.0\ 0"/>
    <numFmt numFmtId="181" formatCode="0.0"/>
    <numFmt numFmtId="182" formatCode="\ ?0.00\ 0"/>
    <numFmt numFmtId="183" formatCode="\ ?0.000"/>
    <numFmt numFmtId="184" formatCode="yyyy\-mm\-dd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i/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Arial"/>
      <family val="2"/>
    </font>
    <font>
      <b/>
      <u/>
      <vertAlign val="superscript"/>
      <sz val="10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i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color rgb="FF000000"/>
      <name val="Arial"/>
      <family val="2"/>
    </font>
    <font>
      <vertAlign val="subscript"/>
      <sz val="10"/>
      <color theme="1"/>
      <name val="Arial"/>
      <family val="2"/>
    </font>
    <font>
      <i/>
      <vertAlign val="subscript"/>
      <sz val="10"/>
      <color rgb="FF000000"/>
      <name val="Arial"/>
      <family val="2"/>
    </font>
    <font>
      <sz val="10"/>
      <color indexed="12"/>
      <name val="Arial"/>
      <family val="2"/>
    </font>
    <font>
      <b/>
      <sz val="10"/>
      <color rgb="FF0000FF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1" applyNumberFormat="0" applyFill="0" applyAlignment="0" applyProtection="0"/>
    <xf numFmtId="0" fontId="7" fillId="0" borderId="0"/>
    <xf numFmtId="0" fontId="38" fillId="0" borderId="0" applyNumberFormat="0" applyFill="0" applyBorder="0" applyAlignment="0" applyProtection="0"/>
  </cellStyleXfs>
  <cellXfs count="448">
    <xf numFmtId="0" fontId="0" fillId="0" borderId="0" xfId="0"/>
    <xf numFmtId="0" fontId="7" fillId="3" borderId="0" xfId="0" applyFont="1" applyFill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164" fontId="7" fillId="3" borderId="2" xfId="0" applyNumberFormat="1" applyFont="1" applyFill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168" fontId="10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5" borderId="2" xfId="0" applyFill="1" applyBorder="1"/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wrapText="1"/>
    </xf>
    <xf numFmtId="0" fontId="0" fillId="6" borderId="2" xfId="0" applyFill="1" applyBorder="1"/>
    <xf numFmtId="0" fontId="0" fillId="7" borderId="2" xfId="0" applyFill="1" applyBorder="1"/>
    <xf numFmtId="10" fontId="6" fillId="0" borderId="0" xfId="0" applyNumberFormat="1" applyFont="1" applyAlignment="1">
      <alignment horizont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wrapText="1"/>
    </xf>
    <xf numFmtId="0" fontId="0" fillId="8" borderId="0" xfId="0" applyFill="1" applyAlignment="1">
      <alignment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2" fillId="0" borderId="2" xfId="0" applyFont="1" applyBorder="1" applyAlignment="1">
      <alignment horizontal="center"/>
    </xf>
    <xf numFmtId="0" fontId="14" fillId="5" borderId="2" xfId="0" applyFont="1" applyFill="1" applyBorder="1" applyAlignment="1">
      <alignment horizontal="center" vertical="center"/>
    </xf>
    <xf numFmtId="0" fontId="16" fillId="0" borderId="2" xfId="0" applyFont="1" applyBorder="1"/>
    <xf numFmtId="0" fontId="0" fillId="5" borderId="2" xfId="0" applyFill="1" applyBorder="1" applyAlignment="1">
      <alignment horizontal="center" vertical="center"/>
    </xf>
    <xf numFmtId="0" fontId="0" fillId="0" borderId="2" xfId="0" applyBorder="1"/>
    <xf numFmtId="0" fontId="2" fillId="5" borderId="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167" fontId="7" fillId="5" borderId="5" xfId="0" applyNumberFormat="1" applyFont="1" applyFill="1" applyBorder="1" applyAlignment="1" applyProtection="1">
      <alignment horizontal="center" vertical="center"/>
      <protection locked="0"/>
    </xf>
    <xf numFmtId="167" fontId="7" fillId="5" borderId="2" xfId="0" applyNumberFormat="1" applyFont="1" applyFill="1" applyBorder="1" applyAlignment="1" applyProtection="1">
      <alignment horizontal="center" vertical="center"/>
      <protection locked="0"/>
    </xf>
    <xf numFmtId="164" fontId="8" fillId="3" borderId="0" xfId="0" applyNumberFormat="1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left"/>
    </xf>
    <xf numFmtId="164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168" fontId="18" fillId="3" borderId="0" xfId="0" applyNumberFormat="1" applyFont="1" applyFill="1" applyAlignment="1">
      <alignment horizontal="center" vertical="center" wrapText="1"/>
    </xf>
    <xf numFmtId="170" fontId="10" fillId="3" borderId="0" xfId="0" applyNumberFormat="1" applyFont="1" applyFill="1" applyAlignment="1">
      <alignment horizontal="center" vertical="center" wrapText="1"/>
    </xf>
    <xf numFmtId="0" fontId="2" fillId="11" borderId="12" xfId="0" applyFont="1" applyFill="1" applyBorder="1" applyAlignment="1">
      <alignment wrapText="1"/>
    </xf>
    <xf numFmtId="168" fontId="10" fillId="3" borderId="2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/>
    <xf numFmtId="173" fontId="7" fillId="3" borderId="2" xfId="0" applyNumberFormat="1" applyFont="1" applyFill="1" applyBorder="1" applyAlignment="1">
      <alignment horizontal="center"/>
    </xf>
    <xf numFmtId="173" fontId="7" fillId="3" borderId="0" xfId="0" applyNumberFormat="1" applyFont="1" applyFill="1" applyAlignment="1">
      <alignment horizontal="center"/>
    </xf>
    <xf numFmtId="165" fontId="7" fillId="3" borderId="0" xfId="0" applyNumberFormat="1" applyFont="1" applyFill="1" applyAlignment="1">
      <alignment horizontal="center"/>
    </xf>
    <xf numFmtId="166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8" fillId="0" borderId="2" xfId="2" applyFont="1" applyBorder="1" applyAlignment="1">
      <alignment vertical="center" wrapText="1"/>
    </xf>
    <xf numFmtId="0" fontId="8" fillId="0" borderId="2" xfId="2" applyFont="1" applyBorder="1" applyAlignment="1">
      <alignment vertical="center"/>
    </xf>
    <xf numFmtId="0" fontId="19" fillId="0" borderId="2" xfId="2" applyFont="1" applyBorder="1"/>
    <xf numFmtId="2" fontId="20" fillId="8" borderId="2" xfId="2" applyNumberFormat="1" applyFont="1" applyFill="1" applyBorder="1"/>
    <xf numFmtId="0" fontId="8" fillId="0" borderId="0" xfId="2" applyFont="1"/>
    <xf numFmtId="0" fontId="8" fillId="0" borderId="2" xfId="2" applyFont="1" applyBorder="1" applyAlignment="1">
      <alignment horizontal="center" vertical="center" wrapText="1"/>
    </xf>
    <xf numFmtId="1" fontId="19" fillId="0" borderId="0" xfId="2" applyNumberFormat="1" applyFont="1"/>
    <xf numFmtId="166" fontId="21" fillId="8" borderId="2" xfId="2" applyNumberFormat="1" applyFont="1" applyFill="1" applyBorder="1"/>
    <xf numFmtId="171" fontId="21" fillId="8" borderId="2" xfId="2" applyNumberFormat="1" applyFont="1" applyFill="1" applyBorder="1"/>
    <xf numFmtId="169" fontId="10" fillId="4" borderId="5" xfId="0" applyNumberFormat="1" applyFont="1" applyFill="1" applyBorder="1" applyAlignment="1">
      <alignment horizontal="center" vertical="center" wrapText="1"/>
    </xf>
    <xf numFmtId="166" fontId="10" fillId="4" borderId="5" xfId="0" applyNumberFormat="1" applyFont="1" applyFill="1" applyBorder="1" applyAlignment="1">
      <alignment horizontal="center" vertical="center" wrapText="1"/>
    </xf>
    <xf numFmtId="168" fontId="10" fillId="4" borderId="5" xfId="0" applyNumberFormat="1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/>
    </xf>
    <xf numFmtId="11" fontId="0" fillId="4" borderId="0" xfId="0" applyNumberFormat="1" applyFill="1"/>
    <xf numFmtId="176" fontId="10" fillId="4" borderId="2" xfId="0" applyNumberFormat="1" applyFont="1" applyFill="1" applyBorder="1" applyAlignment="1">
      <alignment horizontal="center" vertical="center"/>
    </xf>
    <xf numFmtId="176" fontId="10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0" fontId="7" fillId="3" borderId="5" xfId="0" applyFont="1" applyFill="1" applyBorder="1"/>
    <xf numFmtId="0" fontId="8" fillId="3" borderId="5" xfId="0" applyFont="1" applyFill="1" applyBorder="1"/>
    <xf numFmtId="0" fontId="7" fillId="3" borderId="15" xfId="0" applyFont="1" applyFill="1" applyBorder="1"/>
    <xf numFmtId="0" fontId="7" fillId="3" borderId="16" xfId="0" applyFont="1" applyFill="1" applyBorder="1"/>
    <xf numFmtId="166" fontId="8" fillId="3" borderId="17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7" fillId="4" borderId="2" xfId="0" applyFont="1" applyFill="1" applyBorder="1"/>
    <xf numFmtId="0" fontId="8" fillId="4" borderId="2" xfId="0" applyFont="1" applyFill="1" applyBorder="1" applyAlignment="1">
      <alignment horizontal="center"/>
    </xf>
    <xf numFmtId="169" fontId="8" fillId="4" borderId="2" xfId="0" applyNumberFormat="1" applyFont="1" applyFill="1" applyBorder="1" applyAlignment="1">
      <alignment horizontal="center" vertical="center" wrapText="1"/>
    </xf>
    <xf numFmtId="168" fontId="8" fillId="4" borderId="2" xfId="0" applyNumberFormat="1" applyFont="1" applyFill="1" applyBorder="1" applyAlignment="1">
      <alignment horizontal="left" vertical="center" wrapText="1"/>
    </xf>
    <xf numFmtId="167" fontId="7" fillId="3" borderId="0" xfId="0" applyNumberFormat="1" applyFont="1" applyFill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78" fontId="10" fillId="0" borderId="2" xfId="0" applyNumberFormat="1" applyFont="1" applyBorder="1" applyAlignment="1">
      <alignment horizontal="center" vertical="center" wrapText="1"/>
    </xf>
    <xf numFmtId="167" fontId="10" fillId="0" borderId="5" xfId="0" applyNumberFormat="1" applyFont="1" applyBorder="1" applyAlignment="1">
      <alignment horizontal="center" vertical="center" wrapText="1"/>
    </xf>
    <xf numFmtId="166" fontId="7" fillId="3" borderId="2" xfId="0" applyNumberFormat="1" applyFont="1" applyFill="1" applyBorder="1" applyAlignment="1">
      <alignment horizontal="right" vertical="center" wrapText="1"/>
    </xf>
    <xf numFmtId="179" fontId="7" fillId="3" borderId="2" xfId="0" applyNumberFormat="1" applyFont="1" applyFill="1" applyBorder="1" applyAlignment="1">
      <alignment horizontal="right" vertical="center" wrapText="1"/>
    </xf>
    <xf numFmtId="167" fontId="7" fillId="3" borderId="2" xfId="0" applyNumberFormat="1" applyFont="1" applyFill="1" applyBorder="1" applyAlignment="1">
      <alignment horizontal="right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vertical="center"/>
    </xf>
    <xf numFmtId="0" fontId="23" fillId="3" borderId="2" xfId="0" applyFont="1" applyFill="1" applyBorder="1" applyAlignment="1">
      <alignment wrapText="1"/>
    </xf>
    <xf numFmtId="0" fontId="21" fillId="3" borderId="2" xfId="0" applyFont="1" applyFill="1" applyBorder="1" applyAlignment="1">
      <alignment wrapText="1"/>
    </xf>
    <xf numFmtId="0" fontId="23" fillId="3" borderId="2" xfId="0" applyFont="1" applyFill="1" applyBorder="1"/>
    <xf numFmtId="0" fontId="23" fillId="3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wrapText="1"/>
    </xf>
    <xf numFmtId="180" fontId="7" fillId="5" borderId="5" xfId="0" applyNumberFormat="1" applyFont="1" applyFill="1" applyBorder="1" applyAlignment="1" applyProtection="1">
      <alignment horizontal="center" vertical="center"/>
      <protection locked="0"/>
    </xf>
    <xf numFmtId="180" fontId="7" fillId="5" borderId="2" xfId="0" applyNumberFormat="1" applyFont="1" applyFill="1" applyBorder="1" applyAlignment="1" applyProtection="1">
      <alignment horizontal="center" vertical="center"/>
      <protection locked="0"/>
    </xf>
    <xf numFmtId="166" fontId="8" fillId="3" borderId="7" xfId="0" applyNumberFormat="1" applyFont="1" applyFill="1" applyBorder="1" applyAlignment="1">
      <alignment horizontal="center"/>
    </xf>
    <xf numFmtId="0" fontId="5" fillId="0" borderId="0" xfId="1" applyBorder="1"/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3" borderId="2" xfId="0" applyFill="1" applyBorder="1" applyAlignment="1">
      <alignment horizontal="center" wrapText="1"/>
    </xf>
    <xf numFmtId="0" fontId="27" fillId="0" borderId="2" xfId="0" applyFont="1" applyBorder="1"/>
    <xf numFmtId="0" fontId="0" fillId="5" borderId="2" xfId="0" applyFill="1" applyBorder="1" applyAlignment="1">
      <alignment horizontal="center" wrapText="1"/>
    </xf>
    <xf numFmtId="0" fontId="0" fillId="11" borderId="2" xfId="0" applyFill="1" applyBorder="1" applyAlignment="1">
      <alignment horizontal="left" wrapText="1"/>
    </xf>
    <xf numFmtId="166" fontId="21" fillId="4" borderId="2" xfId="2" applyNumberFormat="1" applyFont="1" applyFill="1" applyBorder="1"/>
    <xf numFmtId="0" fontId="8" fillId="13" borderId="2" xfId="2" applyFon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23" xfId="0" applyBorder="1" applyAlignment="1">
      <alignment wrapText="1"/>
    </xf>
    <xf numFmtId="0" fontId="0" fillId="3" borderId="7" xfId="0" applyFill="1" applyBorder="1" applyAlignment="1">
      <alignment horizontal="center" wrapText="1"/>
    </xf>
    <xf numFmtId="10" fontId="0" fillId="3" borderId="4" xfId="0" applyNumberFormat="1" applyFill="1" applyBorder="1" applyAlignment="1">
      <alignment horizontal="center" wrapText="1"/>
    </xf>
    <xf numFmtId="166" fontId="0" fillId="5" borderId="2" xfId="0" applyNumberFormat="1" applyFill="1" applyBorder="1" applyAlignment="1">
      <alignment horizontal="center" vertical="center"/>
    </xf>
    <xf numFmtId="171" fontId="0" fillId="5" borderId="2" xfId="0" applyNumberFormat="1" applyFill="1" applyBorder="1" applyAlignment="1">
      <alignment horizontal="center" vertical="center"/>
    </xf>
    <xf numFmtId="182" fontId="7" fillId="3" borderId="2" xfId="0" applyNumberFormat="1" applyFont="1" applyFill="1" applyBorder="1" applyAlignment="1">
      <alignment horizontal="right" vertical="center" wrapText="1"/>
    </xf>
    <xf numFmtId="181" fontId="7" fillId="3" borderId="2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7" fontId="7" fillId="3" borderId="2" xfId="0" applyNumberFormat="1" applyFont="1" applyFill="1" applyBorder="1" applyAlignment="1">
      <alignment horizontal="center" vertical="center" wrapText="1"/>
    </xf>
    <xf numFmtId="181" fontId="7" fillId="3" borderId="2" xfId="0" applyNumberFormat="1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"/>
    </xf>
    <xf numFmtId="2" fontId="21" fillId="3" borderId="2" xfId="0" applyNumberFormat="1" applyFont="1" applyFill="1" applyBorder="1" applyAlignment="1">
      <alignment wrapText="1"/>
    </xf>
    <xf numFmtId="0" fontId="21" fillId="4" borderId="2" xfId="0" applyFont="1" applyFill="1" applyBorder="1"/>
    <xf numFmtId="166" fontId="21" fillId="4" borderId="2" xfId="0" applyNumberFormat="1" applyFont="1" applyFill="1" applyBorder="1"/>
    <xf numFmtId="0" fontId="1" fillId="0" borderId="0" xfId="0" applyFont="1"/>
    <xf numFmtId="0" fontId="7" fillId="0" borderId="0" xfId="2"/>
    <xf numFmtId="0" fontId="7" fillId="0" borderId="2" xfId="2" applyBorder="1"/>
    <xf numFmtId="166" fontId="7" fillId="0" borderId="2" xfId="2" applyNumberFormat="1" applyBorder="1"/>
    <xf numFmtId="166" fontId="7" fillId="12" borderId="2" xfId="2" applyNumberFormat="1" applyFill="1" applyBorder="1"/>
    <xf numFmtId="0" fontId="7" fillId="0" borderId="19" xfId="0" applyFont="1" applyBorder="1" applyAlignment="1">
      <alignment horizontal="center" wrapText="1"/>
    </xf>
    <xf numFmtId="0" fontId="21" fillId="0" borderId="0" xfId="0" applyFont="1"/>
    <xf numFmtId="0" fontId="8" fillId="3" borderId="0" xfId="0" applyFont="1" applyFill="1" applyAlignment="1">
      <alignment vertical="center" wrapText="1"/>
    </xf>
    <xf numFmtId="0" fontId="23" fillId="0" borderId="2" xfId="0" applyFont="1" applyBorder="1" applyAlignment="1">
      <alignment horizontal="center" vertical="center" wrapText="1"/>
    </xf>
    <xf numFmtId="0" fontId="21" fillId="2" borderId="2" xfId="0" applyFont="1" applyFill="1" applyBorder="1"/>
    <xf numFmtId="0" fontId="28" fillId="2" borderId="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 vertical="center"/>
    </xf>
    <xf numFmtId="10" fontId="21" fillId="4" borderId="2" xfId="0" applyNumberFormat="1" applyFont="1" applyFill="1" applyBorder="1" applyAlignment="1">
      <alignment horizontal="center"/>
    </xf>
    <xf numFmtId="0" fontId="21" fillId="0" borderId="2" xfId="0" applyFont="1" applyBorder="1"/>
    <xf numFmtId="0" fontId="3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71" fontId="21" fillId="0" borderId="2" xfId="0" applyNumberFormat="1" applyFont="1" applyBorder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/>
    </xf>
    <xf numFmtId="10" fontId="21" fillId="3" borderId="2" xfId="0" applyNumberFormat="1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/>
    </xf>
    <xf numFmtId="0" fontId="28" fillId="4" borderId="2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vertical="center"/>
    </xf>
    <xf numFmtId="177" fontId="21" fillId="0" borderId="2" xfId="0" applyNumberFormat="1" applyFont="1" applyBorder="1" applyAlignment="1">
      <alignment horizontal="center"/>
    </xf>
    <xf numFmtId="1" fontId="7" fillId="3" borderId="2" xfId="0" applyNumberFormat="1" applyFont="1" applyFill="1" applyBorder="1" applyAlignment="1">
      <alignment horizontal="center" vertical="center" wrapText="1"/>
    </xf>
    <xf numFmtId="10" fontId="21" fillId="0" borderId="2" xfId="0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/>
    </xf>
    <xf numFmtId="0" fontId="21" fillId="3" borderId="0" xfId="0" applyFont="1" applyFill="1"/>
    <xf numFmtId="0" fontId="23" fillId="9" borderId="2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33" fillId="3" borderId="5" xfId="0" applyFont="1" applyFill="1" applyBorder="1"/>
    <xf numFmtId="181" fontId="21" fillId="5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168" fontId="10" fillId="4" borderId="2" xfId="0" applyNumberFormat="1" applyFont="1" applyFill="1" applyBorder="1" applyAlignment="1">
      <alignment horizontal="center" vertical="center" wrapText="1"/>
    </xf>
    <xf numFmtId="0" fontId="34" fillId="0" borderId="0" xfId="2" applyFont="1"/>
    <xf numFmtId="0" fontId="7" fillId="3" borderId="0" xfId="0" applyFont="1" applyFill="1" applyAlignment="1">
      <alignment horizontal="center"/>
    </xf>
    <xf numFmtId="181" fontId="21" fillId="0" borderId="2" xfId="0" applyNumberFormat="1" applyFont="1" applyBorder="1" applyAlignment="1">
      <alignment horizontal="center"/>
    </xf>
    <xf numFmtId="1" fontId="21" fillId="0" borderId="0" xfId="0" applyNumberFormat="1" applyFont="1"/>
    <xf numFmtId="0" fontId="19" fillId="0" borderId="0" xfId="0" applyFont="1"/>
    <xf numFmtId="0" fontId="21" fillId="8" borderId="2" xfId="0" applyFont="1" applyFill="1" applyBorder="1"/>
    <xf numFmtId="171" fontId="21" fillId="8" borderId="2" xfId="0" applyNumberFormat="1" applyFont="1" applyFill="1" applyBorder="1"/>
    <xf numFmtId="0" fontId="8" fillId="0" borderId="18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2" fontId="21" fillId="0" borderId="22" xfId="0" applyNumberFormat="1" applyFont="1" applyBorder="1" applyAlignment="1">
      <alignment horizontal="center"/>
    </xf>
    <xf numFmtId="0" fontId="7" fillId="4" borderId="2" xfId="0" applyFont="1" applyFill="1" applyBorder="1" applyAlignment="1">
      <alignment wrapText="1"/>
    </xf>
    <xf numFmtId="0" fontId="10" fillId="4" borderId="0" xfId="0" applyFont="1" applyFill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75" fontId="10" fillId="4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175" fontId="10" fillId="3" borderId="2" xfId="0" applyNumberFormat="1" applyFont="1" applyFill="1" applyBorder="1" applyAlignment="1">
      <alignment horizontal="center" vertical="center" wrapText="1"/>
    </xf>
    <xf numFmtId="168" fontId="7" fillId="3" borderId="2" xfId="0" applyNumberFormat="1" applyFont="1" applyFill="1" applyBorder="1" applyAlignment="1">
      <alignment horizontal="center" vertical="center" wrapText="1"/>
    </xf>
    <xf numFmtId="175" fontId="10" fillId="3" borderId="3" xfId="0" applyNumberFormat="1" applyFont="1" applyFill="1" applyBorder="1" applyAlignment="1">
      <alignment horizontal="center" vertical="center" wrapText="1"/>
    </xf>
    <xf numFmtId="168" fontId="11" fillId="4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175" fontId="10" fillId="7" borderId="2" xfId="0" applyNumberFormat="1" applyFont="1" applyFill="1" applyBorder="1" applyAlignment="1">
      <alignment horizontal="center" vertical="center" wrapText="1"/>
    </xf>
    <xf numFmtId="168" fontId="7" fillId="7" borderId="2" xfId="0" applyNumberFormat="1" applyFont="1" applyFill="1" applyBorder="1" applyAlignment="1">
      <alignment horizontal="center" vertical="center" wrapText="1"/>
    </xf>
    <xf numFmtId="176" fontId="10" fillId="7" borderId="3" xfId="0" applyNumberFormat="1" applyFont="1" applyFill="1" applyBorder="1" applyAlignment="1">
      <alignment horizontal="center" vertical="center" wrapText="1"/>
    </xf>
    <xf numFmtId="168" fontId="10" fillId="7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176" fontId="10" fillId="4" borderId="3" xfId="0" applyNumberFormat="1" applyFont="1" applyFill="1" applyBorder="1" applyAlignment="1">
      <alignment horizontal="center" vertical="center" wrapText="1"/>
    </xf>
    <xf numFmtId="168" fontId="11" fillId="3" borderId="2" xfId="0" applyNumberFormat="1" applyFont="1" applyFill="1" applyBorder="1" applyAlignment="1">
      <alignment horizontal="center" vertical="center" wrapText="1"/>
    </xf>
    <xf numFmtId="1" fontId="21" fillId="10" borderId="2" xfId="0" applyNumberFormat="1" applyFont="1" applyFill="1" applyBorder="1" applyAlignment="1">
      <alignment horizontal="center"/>
    </xf>
    <xf numFmtId="0" fontId="21" fillId="10" borderId="0" xfId="0" applyFont="1" applyFill="1" applyAlignment="1">
      <alignment horizontal="center"/>
    </xf>
    <xf numFmtId="168" fontId="7" fillId="4" borderId="2" xfId="0" applyNumberFormat="1" applyFont="1" applyFill="1" applyBorder="1" applyAlignment="1">
      <alignment horizontal="center" vertical="center" wrapText="1"/>
    </xf>
    <xf numFmtId="1" fontId="10" fillId="4" borderId="2" xfId="0" applyNumberFormat="1" applyFont="1" applyFill="1" applyBorder="1" applyAlignment="1">
      <alignment horizontal="center" vertical="center" wrapText="1"/>
    </xf>
    <xf numFmtId="1" fontId="10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wrapText="1"/>
    </xf>
    <xf numFmtId="1" fontId="21" fillId="0" borderId="2" xfId="0" applyNumberFormat="1" applyFont="1" applyBorder="1" applyAlignment="1">
      <alignment horizontal="center"/>
    </xf>
    <xf numFmtId="166" fontId="21" fillId="0" borderId="2" xfId="0" applyNumberFormat="1" applyFont="1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2" fontId="21" fillId="2" borderId="2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2" fontId="21" fillId="0" borderId="0" xfId="0" applyNumberFormat="1" applyFont="1"/>
    <xf numFmtId="0" fontId="2" fillId="0" borderId="7" xfId="0" applyFont="1" applyBorder="1" applyAlignment="1">
      <alignment horizontal="center" wrapText="1"/>
    </xf>
    <xf numFmtId="0" fontId="2" fillId="11" borderId="2" xfId="0" applyFont="1" applyFill="1" applyBorder="1" applyAlignment="1">
      <alignment horizontal="center" wrapText="1"/>
    </xf>
    <xf numFmtId="0" fontId="23" fillId="0" borderId="0" xfId="0" applyFont="1" applyAlignment="1">
      <alignment horizontal="left" indent="1"/>
    </xf>
    <xf numFmtId="0" fontId="23" fillId="0" borderId="0" xfId="0" applyFont="1" applyAlignment="1">
      <alignment horizontal="left" indent="5"/>
    </xf>
    <xf numFmtId="0" fontId="23" fillId="0" borderId="0" xfId="0" applyFont="1" applyAlignment="1">
      <alignment horizontal="left" indent="3"/>
    </xf>
    <xf numFmtId="184" fontId="21" fillId="0" borderId="0" xfId="0" applyNumberFormat="1" applyFont="1"/>
    <xf numFmtId="184" fontId="21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inden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181" fontId="0" fillId="0" borderId="0" xfId="0" applyNumberFormat="1" applyAlignment="1">
      <alignment horizontal="center"/>
    </xf>
    <xf numFmtId="18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center"/>
    </xf>
    <xf numFmtId="181" fontId="21" fillId="0" borderId="0" xfId="0" applyNumberFormat="1" applyFont="1" applyAlignment="1">
      <alignment horizontal="center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justify" vertical="top" wrapText="1"/>
    </xf>
    <xf numFmtId="0" fontId="21" fillId="3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16" xfId="0" applyBorder="1"/>
    <xf numFmtId="0" fontId="21" fillId="0" borderId="0" xfId="0" applyFont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0" fillId="3" borderId="2" xfId="0" applyFill="1" applyBorder="1"/>
    <xf numFmtId="0" fontId="2" fillId="3" borderId="2" xfId="0" applyFont="1" applyFill="1" applyBorder="1"/>
    <xf numFmtId="0" fontId="0" fillId="3" borderId="2" xfId="0" applyFill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72" fontId="0" fillId="0" borderId="2" xfId="0" applyNumberFormat="1" applyBorder="1"/>
    <xf numFmtId="0" fontId="2" fillId="0" borderId="0" xfId="0" applyFont="1" applyAlignment="1">
      <alignment horizontal="left" vertical="top"/>
    </xf>
    <xf numFmtId="0" fontId="0" fillId="3" borderId="3" xfId="0" applyFill="1" applyBorder="1" applyAlignment="1">
      <alignment horizontal="center" wrapText="1"/>
    </xf>
    <xf numFmtId="49" fontId="21" fillId="0" borderId="0" xfId="0" applyNumberFormat="1" applyFont="1"/>
    <xf numFmtId="0" fontId="21" fillId="0" borderId="0" xfId="0" applyFont="1" applyAlignment="1">
      <alignment vertical="center" wrapText="1"/>
    </xf>
    <xf numFmtId="172" fontId="21" fillId="0" borderId="0" xfId="0" applyNumberFormat="1" applyFont="1"/>
    <xf numFmtId="0" fontId="36" fillId="0" borderId="0" xfId="0" applyFont="1" applyProtection="1">
      <protection locked="0"/>
    </xf>
    <xf numFmtId="0" fontId="37" fillId="15" borderId="0" xfId="0" applyFont="1" applyFill="1" applyAlignment="1" applyProtection="1">
      <alignment horizontal="center"/>
      <protection locked="0"/>
    </xf>
    <xf numFmtId="0" fontId="0" fillId="3" borderId="0" xfId="0" applyFill="1"/>
    <xf numFmtId="0" fontId="2" fillId="16" borderId="13" xfId="0" applyFont="1" applyFill="1" applyBorder="1"/>
    <xf numFmtId="0" fontId="2" fillId="0" borderId="23" xfId="0" applyFont="1" applyBorder="1" applyAlignment="1">
      <alignment horizontal="center"/>
    </xf>
    <xf numFmtId="184" fontId="2" fillId="0" borderId="23" xfId="0" applyNumberFormat="1" applyFont="1" applyBorder="1" applyAlignment="1">
      <alignment horizontal="center"/>
    </xf>
    <xf numFmtId="49" fontId="2" fillId="0" borderId="0" xfId="0" applyNumberFormat="1" applyFont="1"/>
    <xf numFmtId="49" fontId="2" fillId="0" borderId="23" xfId="0" applyNumberFormat="1" applyFont="1" applyBorder="1" applyAlignment="1">
      <alignment horizontal="center"/>
    </xf>
    <xf numFmtId="0" fontId="36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wrapText="1"/>
      <protection locked="0"/>
    </xf>
    <xf numFmtId="0" fontId="21" fillId="0" borderId="0" xfId="0" applyFont="1" applyAlignment="1" applyProtection="1">
      <alignment vertical="top" wrapText="1"/>
      <protection locked="0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vertical="top"/>
      <protection locked="0"/>
    </xf>
    <xf numFmtId="0" fontId="39" fillId="0" borderId="0" xfId="0" applyFont="1"/>
    <xf numFmtId="0" fontId="40" fillId="0" borderId="0" xfId="3" applyFont="1" applyAlignment="1">
      <alignment vertical="center"/>
    </xf>
    <xf numFmtId="0" fontId="30" fillId="0" borderId="0" xfId="0" applyFont="1"/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2" xfId="0" applyFont="1" applyFill="1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2" xfId="0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184" fontId="0" fillId="3" borderId="13" xfId="0" applyNumberFormat="1" applyFill="1" applyBorder="1" applyAlignment="1">
      <alignment horizontal="center" wrapText="1"/>
    </xf>
    <xf numFmtId="184" fontId="0" fillId="3" borderId="7" xfId="0" applyNumberForma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3" borderId="14" xfId="0" applyFill="1" applyBorder="1" applyAlignment="1">
      <alignment horizontal="center" wrapText="1"/>
    </xf>
    <xf numFmtId="0" fontId="2" fillId="0" borderId="13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2" fillId="8" borderId="1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right"/>
    </xf>
    <xf numFmtId="0" fontId="8" fillId="3" borderId="14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right"/>
    </xf>
    <xf numFmtId="0" fontId="8" fillId="4" borderId="13" xfId="0" applyFont="1" applyFill="1" applyBorder="1" applyAlignment="1">
      <alignment horizontal="right"/>
    </xf>
    <xf numFmtId="0" fontId="8" fillId="4" borderId="14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168" fontId="10" fillId="4" borderId="3" xfId="0" applyNumberFormat="1" applyFont="1" applyFill="1" applyBorder="1" applyAlignment="1">
      <alignment horizontal="center" vertical="center" wrapText="1"/>
    </xf>
    <xf numFmtId="168" fontId="10" fillId="4" borderId="5" xfId="0" applyNumberFormat="1" applyFont="1" applyFill="1" applyBorder="1" applyAlignment="1">
      <alignment horizontal="center" vertical="center" wrapText="1"/>
    </xf>
    <xf numFmtId="168" fontId="7" fillId="4" borderId="3" xfId="0" applyNumberFormat="1" applyFont="1" applyFill="1" applyBorder="1" applyAlignment="1">
      <alignment horizontal="center" vertical="center" wrapText="1"/>
    </xf>
    <xf numFmtId="168" fontId="7" fillId="4" borderId="5" xfId="0" applyNumberFormat="1" applyFont="1" applyFill="1" applyBorder="1" applyAlignment="1">
      <alignment horizontal="center" vertical="center" wrapText="1"/>
    </xf>
    <xf numFmtId="176" fontId="10" fillId="4" borderId="3" xfId="0" applyNumberFormat="1" applyFont="1" applyFill="1" applyBorder="1" applyAlignment="1">
      <alignment horizontal="center" vertical="center"/>
    </xf>
    <xf numFmtId="176" fontId="10" fillId="4" borderId="5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8" fillId="4" borderId="13" xfId="0" applyNumberFormat="1" applyFont="1" applyFill="1" applyBorder="1" applyAlignment="1">
      <alignment horizontal="center" vertical="center" wrapText="1"/>
    </xf>
    <xf numFmtId="1" fontId="8" fillId="4" borderId="14" xfId="0" applyNumberFormat="1" applyFont="1" applyFill="1" applyBorder="1" applyAlignment="1">
      <alignment horizontal="center" vertical="center" wrapText="1"/>
    </xf>
    <xf numFmtId="1" fontId="8" fillId="4" borderId="7" xfId="0" applyNumberFormat="1" applyFont="1" applyFill="1" applyBorder="1" applyAlignment="1">
      <alignment horizontal="center" vertical="center" wrapText="1"/>
    </xf>
    <xf numFmtId="174" fontId="11" fillId="3" borderId="2" xfId="0" applyNumberFormat="1" applyFont="1" applyFill="1" applyBorder="1" applyAlignment="1">
      <alignment horizontal="center" vertical="center"/>
    </xf>
    <xf numFmtId="0" fontId="34" fillId="0" borderId="16" xfId="2" applyFont="1" applyBorder="1" applyAlignment="1">
      <alignment horizontal="center"/>
    </xf>
    <xf numFmtId="0" fontId="34" fillId="0" borderId="0" xfId="2" applyFont="1" applyAlignment="1">
      <alignment horizontal="center"/>
    </xf>
    <xf numFmtId="0" fontId="23" fillId="9" borderId="2" xfId="0" applyFont="1" applyFill="1" applyBorder="1" applyAlignment="1">
      <alignment horizontal="center"/>
    </xf>
    <xf numFmtId="171" fontId="23" fillId="0" borderId="2" xfId="0" applyNumberFormat="1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8" fillId="3" borderId="17" xfId="0" applyFont="1" applyFill="1" applyBorder="1" applyAlignment="1">
      <alignment wrapText="1"/>
    </xf>
    <xf numFmtId="0" fontId="8" fillId="3" borderId="23" xfId="0" applyFont="1" applyFill="1" applyBorder="1" applyAlignment="1">
      <alignment wrapText="1"/>
    </xf>
    <xf numFmtId="0" fontId="8" fillId="9" borderId="13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1" fillId="8" borderId="2" xfId="0" applyFont="1" applyFill="1" applyBorder="1" applyAlignment="1">
      <alignment horizontal="center"/>
    </xf>
    <xf numFmtId="0" fontId="21" fillId="8" borderId="3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right" vertical="center" wrapText="1"/>
    </xf>
    <xf numFmtId="0" fontId="8" fillId="4" borderId="14" xfId="0" applyFont="1" applyFill="1" applyBorder="1" applyAlignment="1">
      <alignment horizontal="right" vertical="center" wrapText="1"/>
    </xf>
    <xf numFmtId="0" fontId="8" fillId="3" borderId="13" xfId="0" applyFont="1" applyFill="1" applyBorder="1" applyAlignment="1">
      <alignment horizontal="right" vertical="center"/>
    </xf>
    <xf numFmtId="0" fontId="8" fillId="3" borderId="14" xfId="0" applyFont="1" applyFill="1" applyBorder="1" applyAlignment="1">
      <alignment horizontal="right" vertical="center"/>
    </xf>
    <xf numFmtId="0" fontId="2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2" fontId="23" fillId="3" borderId="0" xfId="0" applyNumberFormat="1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67" fontId="7" fillId="3" borderId="2" xfId="0" applyNumberFormat="1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184" fontId="21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 wrapText="1"/>
    </xf>
    <xf numFmtId="0" fontId="23" fillId="0" borderId="17" xfId="0" applyFont="1" applyBorder="1" applyAlignment="1">
      <alignment horizontal="center" wrapText="1"/>
    </xf>
    <xf numFmtId="0" fontId="23" fillId="0" borderId="23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23" fillId="0" borderId="16" xfId="0" applyFont="1" applyBorder="1" applyAlignment="1">
      <alignment horizontal="center" wrapText="1"/>
    </xf>
    <xf numFmtId="0" fontId="23" fillId="0" borderId="6" xfId="0" applyFont="1" applyBorder="1" applyAlignment="1">
      <alignment horizontal="center" wrapText="1"/>
    </xf>
    <xf numFmtId="0" fontId="23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2" fontId="21" fillId="0" borderId="2" xfId="0" applyNumberFormat="1" applyFont="1" applyBorder="1" applyAlignment="1">
      <alignment horizontal="center"/>
    </xf>
    <xf numFmtId="0" fontId="35" fillId="14" borderId="2" xfId="0" applyFont="1" applyFill="1" applyBorder="1" applyAlignment="1">
      <alignment horizontal="center" vertical="center"/>
    </xf>
    <xf numFmtId="184" fontId="35" fillId="14" borderId="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184" fontId="26" fillId="0" borderId="2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vertical="center" wrapText="1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justify" vertical="top" wrapText="1"/>
    </xf>
    <xf numFmtId="0" fontId="2" fillId="16" borderId="0" xfId="0" applyFont="1" applyFill="1" applyAlignment="1">
      <alignment horizontal="center"/>
    </xf>
    <xf numFmtId="0" fontId="27" fillId="0" borderId="0" xfId="0" applyFont="1" applyAlignment="1" applyProtection="1">
      <alignment horizontal="center"/>
      <protection locked="0"/>
    </xf>
    <xf numFmtId="0" fontId="36" fillId="0" borderId="0" xfId="0" applyFont="1" applyAlignment="1" applyProtection="1">
      <alignment horizontal="center"/>
      <protection locked="0"/>
    </xf>
    <xf numFmtId="2" fontId="21" fillId="0" borderId="0" xfId="0" applyNumberFormat="1" applyFont="1" applyBorder="1" applyAlignment="1">
      <alignment horizontal="center"/>
    </xf>
  </cellXfs>
  <cellStyles count="4">
    <cellStyle name="Encabezado 1" xfId="1" builtinId="16"/>
    <cellStyle name="Hipervínculo" xfId="3" builtinId="8"/>
    <cellStyle name="Normal" xfId="0" builtinId="0"/>
    <cellStyle name="Normal 2" xfId="2" xr:uid="{00000000-0005-0000-0000-000003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S$5" fmlaRange="$S$7:$T$8" noThreeD="1" sel="2" val="0"/>
</file>

<file path=xl/ctrlProps/ctrlProp10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11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12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2.xml><?xml version="1.0" encoding="utf-8"?>
<formControlPr xmlns="http://schemas.microsoft.com/office/spreadsheetml/2009/9/main" objectType="Drop" dropStyle="combo" dx="16" fmlaLink="$V$5" fmlaRange="$T$13:$X$16" noThreeD="1" sel="3" val="0"/>
</file>

<file path=xl/ctrlProps/ctrlProp3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4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5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6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7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8.xml><?xml version="1.0" encoding="utf-8"?>
<formControlPr xmlns="http://schemas.microsoft.com/office/spreadsheetml/2009/9/main" objectType="Drop" dropStyle="combo" dx="16" fmlaLink="$E$66" fmlaRange="$C$69:$C$71" noThreeD="1" sel="2" val="0"/>
</file>

<file path=xl/ctrlProps/ctrlProp9.xml><?xml version="1.0" encoding="utf-8"?>
<formControlPr xmlns="http://schemas.microsoft.com/office/spreadsheetml/2009/9/main" objectType="Drop" dropStyle="combo" dx="16" fmlaLink="$E$66" fmlaRange="$C$69:$C$71" noThreeD="1" sel="2" val="0"/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758827</xdr:colOff>
      <xdr:row>4</xdr:row>
      <xdr:rowOff>40821</xdr:rowOff>
    </xdr:from>
    <xdr:to>
      <xdr:col>17</xdr:col>
      <xdr:colOff>10583</xdr:colOff>
      <xdr:row>22</xdr:row>
      <xdr:rowOff>13607</xdr:rowOff>
    </xdr:to>
    <xdr:sp macro="" textlink="">
      <xdr:nvSpPr>
        <xdr:cNvPr id="3" name="Rectángulo 5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8827" y="869496"/>
          <a:ext cx="14025031" cy="3687536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</xdr:row>
          <xdr:rowOff>182880</xdr:rowOff>
        </xdr:from>
        <xdr:to>
          <xdr:col>20</xdr:col>
          <xdr:colOff>22860</xdr:colOff>
          <xdr:row>4</xdr:row>
          <xdr:rowOff>30480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731520</xdr:colOff>
          <xdr:row>2</xdr:row>
          <xdr:rowOff>144780</xdr:rowOff>
        </xdr:from>
        <xdr:to>
          <xdr:col>22</xdr:col>
          <xdr:colOff>754380</xdr:colOff>
          <xdr:row>3</xdr:row>
          <xdr:rowOff>236220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716280</xdr:colOff>
          <xdr:row>63</xdr:row>
          <xdr:rowOff>83820</xdr:rowOff>
        </xdr:from>
        <xdr:to>
          <xdr:col>5</xdr:col>
          <xdr:colOff>22860</xdr:colOff>
          <xdr:row>65</xdr:row>
          <xdr:rowOff>30480</xdr:rowOff>
        </xdr:to>
        <xdr:sp macro="" textlink="">
          <xdr:nvSpPr>
            <xdr:cNvPr id="10247" name="Drop Down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63</xdr:row>
          <xdr:rowOff>83820</xdr:rowOff>
        </xdr:from>
        <xdr:to>
          <xdr:col>5</xdr:col>
          <xdr:colOff>7620</xdr:colOff>
          <xdr:row>65</xdr:row>
          <xdr:rowOff>30480</xdr:rowOff>
        </xdr:to>
        <xdr:sp macro="" textlink="">
          <xdr:nvSpPr>
            <xdr:cNvPr id="11271" name="Drop Dow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A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63</xdr:row>
          <xdr:rowOff>68580</xdr:rowOff>
        </xdr:from>
        <xdr:to>
          <xdr:col>5</xdr:col>
          <xdr:colOff>7620</xdr:colOff>
          <xdr:row>65</xdr:row>
          <xdr:rowOff>7620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63</xdr:row>
          <xdr:rowOff>68580</xdr:rowOff>
        </xdr:from>
        <xdr:to>
          <xdr:col>5</xdr:col>
          <xdr:colOff>487680</xdr:colOff>
          <xdr:row>65</xdr:row>
          <xdr:rowOff>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63</xdr:row>
          <xdr:rowOff>76200</xdr:rowOff>
        </xdr:from>
        <xdr:to>
          <xdr:col>4</xdr:col>
          <xdr:colOff>1066800</xdr:colOff>
          <xdr:row>65</xdr:row>
          <xdr:rowOff>22860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693420</xdr:colOff>
          <xdr:row>63</xdr:row>
          <xdr:rowOff>76200</xdr:rowOff>
        </xdr:from>
        <xdr:to>
          <xdr:col>5</xdr:col>
          <xdr:colOff>0</xdr:colOff>
          <xdr:row>65</xdr:row>
          <xdr:rowOff>22860</xdr:rowOff>
        </xdr:to>
        <xdr:sp macro="" textlink="">
          <xdr:nvSpPr>
            <xdr:cNvPr id="5127" name="Drop Down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716280</xdr:colOff>
          <xdr:row>63</xdr:row>
          <xdr:rowOff>60960</xdr:rowOff>
        </xdr:from>
        <xdr:to>
          <xdr:col>5</xdr:col>
          <xdr:colOff>22860</xdr:colOff>
          <xdr:row>65</xdr:row>
          <xdr:rowOff>0</xdr:rowOff>
        </xdr:to>
        <xdr:sp macro="" textlink="">
          <xdr:nvSpPr>
            <xdr:cNvPr id="6151" name="Drop Down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63</xdr:row>
          <xdr:rowOff>83820</xdr:rowOff>
        </xdr:from>
        <xdr:to>
          <xdr:col>4</xdr:col>
          <xdr:colOff>1059180</xdr:colOff>
          <xdr:row>65</xdr:row>
          <xdr:rowOff>30480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63</xdr:row>
          <xdr:rowOff>114300</xdr:rowOff>
        </xdr:from>
        <xdr:to>
          <xdr:col>4</xdr:col>
          <xdr:colOff>1059180</xdr:colOff>
          <xdr:row>65</xdr:row>
          <xdr:rowOff>45720</xdr:rowOff>
        </xdr:to>
        <xdr:sp macro="" textlink="">
          <xdr:nvSpPr>
            <xdr:cNvPr id="8199" name="Drop Down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7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63</xdr:row>
          <xdr:rowOff>68580</xdr:rowOff>
        </xdr:from>
        <xdr:to>
          <xdr:col>5</xdr:col>
          <xdr:colOff>7620</xdr:colOff>
          <xdr:row>65</xdr:row>
          <xdr:rowOff>7620</xdr:rowOff>
        </xdr:to>
        <xdr:sp macro="" textlink="">
          <xdr:nvSpPr>
            <xdr:cNvPr id="9223" name="Drop Dow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8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Director%20Tecnico\NI-R03-MCPR-13%20Validaciones%20de%20hojas%20de%20c&#225;lculo\2020\Validaciones%20de%20hojas%20de%20presi&#243;n\Enero\Enero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19\Dentro%20del%20Alcance\Temperatura\NI-R02-MCIT-T-01%20%20Procesamiento%20de%20datos%20calibracion%20termometros%202019-03-29%20NI-MCPT-37%20(Pozo%20Seco%209171)%20-%202019-08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calidad\Moi\Consultores%20Med%20Nic%20ISO%2017025\SG%20instructivos%20formas\Instructivos%20calibracion%20correccion%20NC\Balanzas\Versiones%20instruccion\NI-R02-MCIT-B-01%20Procesamiento%20de%20datos%20de%20equipos%20de%20pesaje%20v3%20161117.xlsx?8ECF7123" TargetMode="External"/><Relationship Id="rId1" Type="http://schemas.openxmlformats.org/officeDocument/2006/relationships/externalLinkPath" Target="file:///\\8ECF7123\NI-R02-MCIT-B-01%20Procesamiento%20de%20datos%20de%20equipos%20de%20pesaje%20v3%201611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%202019-01-18\Instrucciones\2019\Balanzas\NI-R02-MCIT-B-01%20Procesamiento%20de%20datos%20calibracion%20equipos%20de%20pesaje%202018-05-21%20-%20Nuev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calidad\Moi\Consultores%20Med%20Nic%20ISO%2017025\SG%20instructivos%20formas\Instructivos%20calibracion%20correccion%20NC\Termometros\NI-R02-MCIT-T-01%20Hoja%20electr&#243;nica%20para%20procesamiento%20de%20datos%20de%20term&#243;metros%20v2%20Septiembre%202017%20-%20CC-C.xlsx?E00BF17C" TargetMode="External"/><Relationship Id="rId1" Type="http://schemas.openxmlformats.org/officeDocument/2006/relationships/externalLinkPath" Target="file:///\\E00BF17C\NI-R02-MCIT-T-01%20Hoja%20electr&#243;nica%20para%20procesamiento%20de%20datos%20de%20term&#243;metros%20v2%20Septiembre%202017%20-%20CC-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Datos Etiquetas"/>
      <sheetName val="FA Unid-kPa (5 ptos)"/>
      <sheetName val="CMC Presión"/>
      <sheetName val="Trazabilidad"/>
      <sheetName val="BD Patron"/>
      <sheetName val="BD Clientes"/>
      <sheetName val="Enero 2020"/>
    </sheetNames>
    <sheetDataSet>
      <sheetData sheetId="0">
        <row r="3">
          <cell r="F3" t="str">
            <v>NI-MC-P-019-2020</v>
          </cell>
        </row>
        <row r="5">
          <cell r="F5" t="str">
            <v>2020-01-17</v>
          </cell>
        </row>
        <row r="6">
          <cell r="F6" t="str">
            <v>M-14</v>
          </cell>
          <cell r="I6">
            <v>20.149999999999999</v>
          </cell>
        </row>
        <row r="7">
          <cell r="F7" t="str">
            <v xml:space="preserve">Manómetro </v>
          </cell>
          <cell r="I7">
            <v>20.3</v>
          </cell>
        </row>
        <row r="8">
          <cell r="I8">
            <v>20.225000000000001</v>
          </cell>
        </row>
        <row r="9">
          <cell r="I9">
            <v>0.3</v>
          </cell>
        </row>
        <row r="13">
          <cell r="F13" t="str">
            <v>0</v>
          </cell>
          <cell r="I13">
            <v>51.05</v>
          </cell>
        </row>
        <row r="14">
          <cell r="F14" t="str">
            <v>200</v>
          </cell>
          <cell r="I14">
            <v>1.3</v>
          </cell>
        </row>
        <row r="15">
          <cell r="F15" t="str">
            <v>5</v>
          </cell>
        </row>
        <row r="18">
          <cell r="I18">
            <v>1001</v>
          </cell>
        </row>
        <row r="19">
          <cell r="I19">
            <v>2.4700000000000002</v>
          </cell>
        </row>
      </sheetData>
      <sheetData sheetId="1">
        <row r="4">
          <cell r="E4" t="str">
            <v>5</v>
          </cell>
          <cell r="I4">
            <v>0.1</v>
          </cell>
          <cell r="M4">
            <v>6.0000000000000002E-5</v>
          </cell>
        </row>
        <row r="5">
          <cell r="M5" t="str">
            <v>Aire</v>
          </cell>
        </row>
        <row r="8">
          <cell r="D8">
            <v>1</v>
          </cell>
          <cell r="E8" t="str">
            <v>psi</v>
          </cell>
        </row>
        <row r="9">
          <cell r="E9">
            <v>0</v>
          </cell>
        </row>
        <row r="52">
          <cell r="V52">
            <v>15</v>
          </cell>
          <cell r="AB52">
            <v>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Datos Etiqueta"/>
      <sheetName val="DA °C (3 ptos)"/>
      <sheetName val="DA Unidad-K (5 ptos)"/>
      <sheetName val="DA Unidad-ºC (5 ptos)"/>
      <sheetName val="FA °C (3 ptos)"/>
      <sheetName val="CMC"/>
      <sheetName val="BD Patron"/>
      <sheetName val="BD Clientes"/>
      <sheetName val="NI-R02-MCIT-T-01  Procesamiento"/>
    </sheetNames>
    <sheetDataSet>
      <sheetData sheetId="0">
        <row r="3">
          <cell r="F3" t="str">
            <v>NI-MC-T-XXX-2019</v>
          </cell>
        </row>
        <row r="5">
          <cell r="F5" t="str">
            <v>2019-XX-YY</v>
          </cell>
        </row>
        <row r="6">
          <cell r="F6" t="str">
            <v>T I-OP-FISHER-002</v>
          </cell>
        </row>
        <row r="7">
          <cell r="F7" t="str">
            <v>Termo Balanza</v>
          </cell>
        </row>
        <row r="8">
          <cell r="I8">
            <v>11</v>
          </cell>
        </row>
        <row r="9">
          <cell r="I9">
            <v>0.3</v>
          </cell>
        </row>
        <row r="11">
          <cell r="F11" t="str">
            <v>-25 °C a 150 °C</v>
          </cell>
        </row>
        <row r="13">
          <cell r="I13">
            <v>50</v>
          </cell>
        </row>
        <row r="14">
          <cell r="I14">
            <v>1.3</v>
          </cell>
        </row>
      </sheetData>
      <sheetData sheetId="1">
        <row r="4">
          <cell r="P4">
            <v>2.5000000000000001E-2</v>
          </cell>
        </row>
        <row r="5">
          <cell r="F5">
            <v>0.1</v>
          </cell>
        </row>
        <row r="6">
          <cell r="J6">
            <v>0.1</v>
          </cell>
        </row>
        <row r="7">
          <cell r="E7">
            <v>0</v>
          </cell>
          <cell r="F7" t="str">
            <v>°C</v>
          </cell>
        </row>
        <row r="9">
          <cell r="F9">
            <v>1</v>
          </cell>
        </row>
        <row r="10">
          <cell r="Q10">
            <v>2.0615528128088305E-2</v>
          </cell>
        </row>
        <row r="31">
          <cell r="C31" t="str">
            <v>°C</v>
          </cell>
          <cell r="D31" t="str">
            <v>°C</v>
          </cell>
          <cell r="E31" t="str">
            <v>°C</v>
          </cell>
          <cell r="F31" t="str">
            <v>°C</v>
          </cell>
        </row>
        <row r="40">
          <cell r="P40">
            <v>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C6" t="str">
            <v>NI-MCPPT-01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kg&amp;lb"/>
      <sheetName val="-ONA_kg "/>
      <sheetName val="&lt;200kg intercomp"/>
      <sheetName val="BD Patron"/>
      <sheetName val="BD Clientes"/>
      <sheetName val="patrones cal"/>
    </sheetNames>
    <sheetDataSet>
      <sheetData sheetId="0"/>
      <sheetData sheetId="1">
        <row r="2">
          <cell r="C2" t="str">
            <v>kg</v>
          </cell>
        </row>
        <row r="5">
          <cell r="M5" t="str">
            <v>NI-MCPM-JM-02 (20mg)</v>
          </cell>
          <cell r="R5" t="str">
            <v>NI-MCPM-JM-03 (1g ZA57A)</v>
          </cell>
          <cell r="W5" t="str">
            <v>NI-MCPM-2-01 (2 000g)</v>
          </cell>
          <cell r="AB5" t="str">
            <v>NI-MCPM-20-22 (20kg)</v>
          </cell>
        </row>
        <row r="6">
          <cell r="M6" t="str">
            <v>NI-MCPM-JM-02 (500mg)</v>
          </cell>
        </row>
        <row r="23">
          <cell r="C23" t="str">
            <v>kg</v>
          </cell>
        </row>
        <row r="28">
          <cell r="G28">
            <v>0</v>
          </cell>
        </row>
        <row r="34">
          <cell r="C34">
            <v>0</v>
          </cell>
        </row>
        <row r="35">
          <cell r="C35">
            <v>5.2004160000000005E-4</v>
          </cell>
        </row>
        <row r="36">
          <cell r="C36">
            <v>1.000026E-3</v>
          </cell>
        </row>
        <row r="37">
          <cell r="C37">
            <v>2.0000490000000002</v>
          </cell>
        </row>
        <row r="38">
          <cell r="C38">
            <v>20.000011999999998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54">
          <cell r="C5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6">
          <cell r="AM16">
            <v>20</v>
          </cell>
          <cell r="AN16">
            <v>15</v>
          </cell>
          <cell r="AO16">
            <v>10</v>
          </cell>
          <cell r="AP16">
            <v>7</v>
          </cell>
          <cell r="AQ16">
            <v>5</v>
          </cell>
          <cell r="AR16">
            <v>3</v>
          </cell>
          <cell r="AS16">
            <v>2</v>
          </cell>
          <cell r="AT16">
            <v>1</v>
          </cell>
        </row>
        <row r="17">
          <cell r="AL17">
            <v>10</v>
          </cell>
          <cell r="AM17">
            <v>0.08</v>
          </cell>
          <cell r="AN17">
            <v>0.06</v>
          </cell>
          <cell r="AO17">
            <v>0.05</v>
          </cell>
          <cell r="AP17">
            <v>0.03</v>
          </cell>
          <cell r="AQ17">
            <v>0.03</v>
          </cell>
          <cell r="AR17">
            <v>0.02</v>
          </cell>
          <cell r="AS17">
            <v>0.01</v>
          </cell>
          <cell r="AT17">
            <v>0.01</v>
          </cell>
        </row>
        <row r="18">
          <cell r="AL18">
            <v>20</v>
          </cell>
          <cell r="AM18">
            <v>0.14000000000000001</v>
          </cell>
          <cell r="AN18">
            <v>0.11</v>
          </cell>
          <cell r="AO18">
            <v>0.08</v>
          </cell>
          <cell r="AP18">
            <v>0.06</v>
          </cell>
          <cell r="AQ18">
            <v>0.05</v>
          </cell>
          <cell r="AR18">
            <v>0.03</v>
          </cell>
          <cell r="AS18">
            <v>0.02</v>
          </cell>
          <cell r="AT18">
            <v>0.01</v>
          </cell>
        </row>
        <row r="19">
          <cell r="AL19">
            <v>50</v>
          </cell>
          <cell r="AM19">
            <v>0.28999999999999998</v>
          </cell>
          <cell r="AN19">
            <v>0.23</v>
          </cell>
          <cell r="AO19">
            <v>0.17</v>
          </cell>
          <cell r="AP19">
            <v>0.12</v>
          </cell>
          <cell r="AQ19">
            <v>0.09</v>
          </cell>
          <cell r="AR19">
            <v>0.06</v>
          </cell>
          <cell r="AS19">
            <v>0.05</v>
          </cell>
          <cell r="AT19">
            <v>0.03</v>
          </cell>
        </row>
        <row r="20">
          <cell r="AL20">
            <v>100</v>
          </cell>
          <cell r="AM20">
            <v>0.51</v>
          </cell>
          <cell r="AN20">
            <v>0.4</v>
          </cell>
          <cell r="AO20">
            <v>0.28999999999999998</v>
          </cell>
          <cell r="AP20">
            <v>0.22</v>
          </cell>
          <cell r="AQ20">
            <v>0.17</v>
          </cell>
          <cell r="AR20">
            <v>0.11</v>
          </cell>
          <cell r="AS20">
            <v>0.08</v>
          </cell>
          <cell r="AT20">
            <v>0.05</v>
          </cell>
        </row>
        <row r="21">
          <cell r="AL21">
            <v>200</v>
          </cell>
          <cell r="AM21">
            <v>0.91</v>
          </cell>
          <cell r="AN21">
            <v>0.72</v>
          </cell>
          <cell r="AO21">
            <v>0.51</v>
          </cell>
          <cell r="AP21">
            <v>0.38</v>
          </cell>
          <cell r="AQ21">
            <v>0.28999999999999998</v>
          </cell>
          <cell r="AR21">
            <v>0.19</v>
          </cell>
          <cell r="AS21">
            <v>0.14000000000000001</v>
          </cell>
          <cell r="AT21">
            <v>0.08</v>
          </cell>
        </row>
        <row r="22">
          <cell r="AL22">
            <v>500</v>
          </cell>
          <cell r="AM22">
            <v>1.96</v>
          </cell>
          <cell r="AN22">
            <v>1.54</v>
          </cell>
          <cell r="AO22">
            <v>1.0900000000000001</v>
          </cell>
          <cell r="AP22">
            <v>0.81</v>
          </cell>
          <cell r="AQ22">
            <v>0.61</v>
          </cell>
          <cell r="AR22">
            <v>0.4</v>
          </cell>
          <cell r="AS22">
            <v>0.28999999999999998</v>
          </cell>
          <cell r="AT22">
            <v>0.17</v>
          </cell>
        </row>
        <row r="23">
          <cell r="AL23">
            <v>1000</v>
          </cell>
          <cell r="AM23">
            <v>3.53</v>
          </cell>
          <cell r="AN23">
            <v>2.76</v>
          </cell>
          <cell r="AO23">
            <v>1.96</v>
          </cell>
          <cell r="AP23">
            <v>1.45</v>
          </cell>
          <cell r="AQ23">
            <v>1.0900000000000001</v>
          </cell>
          <cell r="AR23">
            <v>0.72</v>
          </cell>
          <cell r="AS23">
            <v>0.51</v>
          </cell>
          <cell r="AT23">
            <v>0.28999999999999998</v>
          </cell>
        </row>
        <row r="24">
          <cell r="AL24">
            <v>2000</v>
          </cell>
          <cell r="AM24">
            <v>6.42</v>
          </cell>
          <cell r="AN24">
            <v>5.01</v>
          </cell>
          <cell r="AO24">
            <v>3.53</v>
          </cell>
          <cell r="AP24">
            <v>2.61</v>
          </cell>
          <cell r="AQ24">
            <v>1.96</v>
          </cell>
          <cell r="AR24">
            <v>1.27</v>
          </cell>
          <cell r="AS24">
            <v>0.91</v>
          </cell>
          <cell r="AT24">
            <v>0.51</v>
          </cell>
        </row>
        <row r="25">
          <cell r="AL25">
            <v>5000</v>
          </cell>
          <cell r="AM25">
            <v>14.3</v>
          </cell>
          <cell r="AN25">
            <v>11.1</v>
          </cell>
          <cell r="AO25">
            <v>7.79</v>
          </cell>
          <cell r="AP25">
            <v>5.72</v>
          </cell>
          <cell r="AQ25">
            <v>4.28</v>
          </cell>
          <cell r="AR25">
            <v>2.76</v>
          </cell>
          <cell r="AS25">
            <v>1.96</v>
          </cell>
          <cell r="AT25">
            <v>1.0900000000000001</v>
          </cell>
        </row>
        <row r="26">
          <cell r="AL26">
            <v>10000</v>
          </cell>
          <cell r="AM26">
            <v>26.43</v>
          </cell>
          <cell r="AN26">
            <v>20.47</v>
          </cell>
          <cell r="AO26">
            <v>14.3</v>
          </cell>
          <cell r="AP26">
            <v>10.45</v>
          </cell>
          <cell r="AQ26">
            <v>7.79</v>
          </cell>
          <cell r="AR26">
            <v>5.01</v>
          </cell>
          <cell r="AS26">
            <v>3.53</v>
          </cell>
          <cell r="AT26">
            <v>1.96</v>
          </cell>
        </row>
        <row r="27">
          <cell r="AL27">
            <v>20000</v>
          </cell>
          <cell r="AM27">
            <v>49.23</v>
          </cell>
          <cell r="AN27">
            <v>38</v>
          </cell>
          <cell r="AO27">
            <v>26.43</v>
          </cell>
          <cell r="AP27">
            <v>19.25</v>
          </cell>
          <cell r="AQ27">
            <v>14.3</v>
          </cell>
          <cell r="AR27">
            <v>9.14</v>
          </cell>
          <cell r="AS27">
            <v>6.42</v>
          </cell>
          <cell r="AT27">
            <v>3.53</v>
          </cell>
        </row>
        <row r="28">
          <cell r="AL28">
            <v>50000</v>
          </cell>
          <cell r="AM28">
            <v>113.23</v>
          </cell>
          <cell r="AN28">
            <v>87.06</v>
          </cell>
          <cell r="AO28">
            <v>60.23</v>
          </cell>
          <cell r="AP28">
            <v>43.65</v>
          </cell>
          <cell r="AQ28">
            <v>32.270000000000003</v>
          </cell>
          <cell r="AR28">
            <v>20.47</v>
          </cell>
          <cell r="AS28">
            <v>14.3</v>
          </cell>
          <cell r="AT28">
            <v>7.79</v>
          </cell>
        </row>
      </sheetData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lb&amp;kg"/>
      <sheetName val="+ONA_kg&amp;lb"/>
      <sheetName val="-ONA_kg"/>
      <sheetName val="-ONA_lb&amp;kg"/>
      <sheetName val="BD Patron"/>
      <sheetName val="CMC"/>
      <sheetName val="BD Clientes"/>
    </sheetNames>
    <sheetDataSet>
      <sheetData sheetId="0" refreshError="1"/>
      <sheetData sheetId="1">
        <row r="15">
          <cell r="C15" t="str">
            <v>g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DA °C (3 ptos)"/>
      <sheetName val="FA °C (3 ptos)"/>
      <sheetName val="DA Unidad-K (5 ptos)"/>
      <sheetName val="Datos de patrones"/>
      <sheetName val="Datos Etiqueta"/>
      <sheetName val="Base de datos clientes"/>
    </sheetNames>
    <sheetDataSet>
      <sheetData sheetId="0" refreshError="1"/>
      <sheetData sheetId="1">
        <row r="1">
          <cell r="C1" t="str">
            <v>NI-MC-T-202-2016</v>
          </cell>
        </row>
      </sheetData>
      <sheetData sheetId="2" refreshError="1"/>
      <sheetData sheetId="3">
        <row r="8">
          <cell r="F8" t="str">
            <v>La corrección corresponde al valor del patrón menos las indicación del equipo.</v>
          </cell>
        </row>
        <row r="9">
          <cell r="F9" t="str">
            <v>La indicación de temperatura de referencia y del equipo, corresponden al promedio de 3 mediciones 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lientes" displayName="tblClientes" ref="A5:C346" totalsRowShown="0" headerRowDxfId="3">
  <tableColumns count="3">
    <tableColumn id="1" xr3:uid="{00000000-0010-0000-0000-000001000000}" name="Clave" dataDxfId="2"/>
    <tableColumn id="2" xr3:uid="{00000000-0010-0000-0000-000002000000}" name="Nombre" dataDxfId="1"/>
    <tableColumn id="3" xr3:uid="{00000000-0010-0000-0000-000003000000}" name="Direc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retecsa.com.n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A55"/>
  <sheetViews>
    <sheetView tabSelected="1" topLeftCell="C1" zoomScale="85" zoomScaleNormal="85" workbookViewId="0">
      <selection activeCell="S10" sqref="S10"/>
    </sheetView>
  </sheetViews>
  <sheetFormatPr baseColWidth="10" defaultColWidth="11.5546875" defaultRowHeight="14.4" x14ac:dyDescent="0.3"/>
  <cols>
    <col min="2" max="2" width="21.109375" customWidth="1"/>
    <col min="3" max="3" width="20" customWidth="1"/>
    <col min="8" max="8" width="14.6640625" customWidth="1"/>
    <col min="9" max="9" width="14.109375" bestFit="1" customWidth="1"/>
    <col min="10" max="10" width="11.88671875" bestFit="1" customWidth="1"/>
  </cols>
  <sheetData>
    <row r="4" spans="1:25" ht="19.8" x14ac:dyDescent="0.4">
      <c r="B4" s="119"/>
      <c r="C4" s="119" t="s">
        <v>265</v>
      </c>
      <c r="D4" s="119"/>
      <c r="E4" s="119"/>
      <c r="F4" s="119"/>
      <c r="G4" s="119"/>
      <c r="H4" s="119"/>
      <c r="I4" s="119"/>
      <c r="J4" s="119"/>
      <c r="K4" s="119"/>
      <c r="L4" s="119" t="s">
        <v>49</v>
      </c>
      <c r="M4" s="119"/>
      <c r="N4" s="119"/>
      <c r="O4" s="119"/>
      <c r="P4" s="119"/>
      <c r="Q4" s="119"/>
    </row>
    <row r="5" spans="1:25" ht="30" customHeight="1" x14ac:dyDescent="0.3">
      <c r="B5" s="331" t="s">
        <v>50</v>
      </c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S5">
        <v>2</v>
      </c>
      <c r="V5">
        <v>3</v>
      </c>
    </row>
    <row r="6" spans="1:25" ht="19.5" customHeight="1" x14ac:dyDescent="0.3">
      <c r="B6" s="120" t="s">
        <v>273</v>
      </c>
      <c r="C6" s="340" t="s">
        <v>1296</v>
      </c>
      <c r="D6" s="341"/>
      <c r="E6" s="342"/>
      <c r="F6" s="120" t="s">
        <v>138</v>
      </c>
      <c r="G6" s="307" t="str">
        <f>VLOOKUP(C6,'Base de datos de los clientes'!B5:C305,2,FALSE)</f>
        <v>km 27,5 Carretera Vieja Tipiptapa - San Benito</v>
      </c>
      <c r="H6" s="343"/>
      <c r="I6" s="343"/>
      <c r="J6" s="343"/>
      <c r="K6" s="343"/>
      <c r="L6" s="10"/>
      <c r="M6" s="327" t="s">
        <v>145</v>
      </c>
      <c r="N6" s="327"/>
      <c r="O6" s="327"/>
      <c r="P6" s="328"/>
      <c r="Q6" s="328"/>
      <c r="S6" s="300" t="s">
        <v>85</v>
      </c>
      <c r="T6" s="300"/>
    </row>
    <row r="7" spans="1:25" ht="24.75" customHeight="1" thickBot="1" x14ac:dyDescent="0.35">
      <c r="B7" s="349" t="s">
        <v>177</v>
      </c>
      <c r="C7" s="317"/>
      <c r="D7" s="317"/>
      <c r="E7" s="317"/>
      <c r="F7" s="130"/>
      <c r="G7" s="317" t="s">
        <v>176</v>
      </c>
      <c r="H7" s="317"/>
      <c r="I7" s="317"/>
      <c r="J7" s="10"/>
      <c r="K7" s="10"/>
      <c r="L7" s="129"/>
      <c r="M7" s="302" t="s">
        <v>150</v>
      </c>
      <c r="N7" s="302"/>
      <c r="O7" s="302"/>
      <c r="P7" s="315"/>
      <c r="Q7" s="315"/>
      <c r="S7" s="300" t="s">
        <v>36</v>
      </c>
      <c r="T7" s="300"/>
    </row>
    <row r="8" spans="1:25" ht="19.5" customHeight="1" thickBot="1" x14ac:dyDescent="0.4">
      <c r="B8" s="340" t="s">
        <v>146</v>
      </c>
      <c r="C8" s="342"/>
      <c r="D8" s="138" t="s">
        <v>178</v>
      </c>
      <c r="E8" s="314"/>
      <c r="F8" s="314"/>
      <c r="G8" s="316" t="s">
        <v>139</v>
      </c>
      <c r="H8" s="316"/>
      <c r="I8" s="337" t="s">
        <v>268</v>
      </c>
      <c r="J8" s="337"/>
      <c r="K8" s="337"/>
      <c r="M8" s="324" t="s">
        <v>51</v>
      </c>
      <c r="N8" s="325"/>
      <c r="O8" s="325"/>
      <c r="S8" s="300" t="s">
        <v>86</v>
      </c>
      <c r="T8" s="300"/>
    </row>
    <row r="9" spans="1:25" x14ac:dyDescent="0.3">
      <c r="B9" s="326" t="s">
        <v>128</v>
      </c>
      <c r="C9" s="326"/>
      <c r="D9" s="243" t="s">
        <v>173</v>
      </c>
      <c r="E9" s="10"/>
      <c r="G9" s="326" t="s">
        <v>263</v>
      </c>
      <c r="H9" s="326"/>
      <c r="I9" s="75" t="s">
        <v>269</v>
      </c>
      <c r="J9" s="11"/>
      <c r="M9" s="12"/>
      <c r="N9" s="13" t="s">
        <v>52</v>
      </c>
      <c r="O9" s="14"/>
      <c r="P9" s="14"/>
      <c r="Q9" s="15"/>
    </row>
    <row r="10" spans="1:25" x14ac:dyDescent="0.3">
      <c r="A10" s="9"/>
      <c r="B10" s="326" t="s">
        <v>130</v>
      </c>
      <c r="C10" s="326"/>
      <c r="D10" s="131">
        <v>60150708</v>
      </c>
      <c r="E10" s="10"/>
      <c r="G10" s="302" t="s">
        <v>130</v>
      </c>
      <c r="H10" s="302"/>
      <c r="I10" s="122">
        <v>4562123</v>
      </c>
      <c r="J10" s="16"/>
      <c r="M10" s="17"/>
      <c r="N10" s="13" t="s">
        <v>53</v>
      </c>
      <c r="O10" s="14"/>
      <c r="P10" s="14"/>
    </row>
    <row r="11" spans="1:25" ht="15" customHeight="1" x14ac:dyDescent="0.3">
      <c r="A11" s="9"/>
      <c r="B11" s="345" t="s">
        <v>179</v>
      </c>
      <c r="C11" s="346"/>
      <c r="D11" s="139" t="s">
        <v>180</v>
      </c>
      <c r="E11" s="10"/>
      <c r="G11" s="326" t="s">
        <v>147</v>
      </c>
      <c r="H11" s="326"/>
      <c r="I11" s="122" t="s">
        <v>270</v>
      </c>
      <c r="J11" s="16"/>
      <c r="M11" s="18"/>
      <c r="N11" s="13" t="s">
        <v>54</v>
      </c>
      <c r="O11" s="14"/>
      <c r="P11" s="14"/>
      <c r="T11">
        <v>1</v>
      </c>
      <c r="U11">
        <v>2</v>
      </c>
      <c r="V11">
        <v>3</v>
      </c>
      <c r="W11" s="300">
        <v>4</v>
      </c>
      <c r="X11" s="300"/>
    </row>
    <row r="12" spans="1:25" ht="18" customHeight="1" x14ac:dyDescent="0.3">
      <c r="A12" s="9"/>
      <c r="B12" s="302" t="s">
        <v>129</v>
      </c>
      <c r="C12" s="302"/>
      <c r="D12" s="132" t="s">
        <v>175</v>
      </c>
      <c r="E12" s="9"/>
      <c r="G12" s="303" t="s">
        <v>227</v>
      </c>
      <c r="H12" s="303"/>
      <c r="I12" s="275">
        <v>514232</v>
      </c>
      <c r="J12" s="19"/>
      <c r="K12" s="20"/>
      <c r="L12" s="20"/>
      <c r="M12" s="20"/>
      <c r="N12" s="20"/>
      <c r="O12" s="20"/>
      <c r="P12" s="20"/>
      <c r="Q12" s="20"/>
      <c r="T12" s="301" t="s">
        <v>104</v>
      </c>
      <c r="U12" s="301"/>
      <c r="V12" s="75" t="s">
        <v>106</v>
      </c>
      <c r="W12" s="299" t="s">
        <v>105</v>
      </c>
      <c r="X12" s="299"/>
      <c r="Y12" s="299"/>
    </row>
    <row r="13" spans="1:25" ht="15" customHeight="1" x14ac:dyDescent="0.3">
      <c r="A13" s="9"/>
      <c r="B13" s="123" t="s">
        <v>55</v>
      </c>
      <c r="C13" s="128" t="s">
        <v>174</v>
      </c>
      <c r="D13" s="244" t="str">
        <f>IF(S5=1,"ºC",IF(S5=2,"ºC"," Error "))</f>
        <v>ºC</v>
      </c>
      <c r="E13" s="9"/>
      <c r="G13" s="326" t="s">
        <v>149</v>
      </c>
      <c r="H13" s="326"/>
      <c r="I13" s="128" t="s">
        <v>276</v>
      </c>
      <c r="J13" s="125" t="str">
        <f>IF(S5=1,"ºC",IF(S5=2,"ºF"," Error "))</f>
        <v>ºF</v>
      </c>
      <c r="K13" s="21"/>
      <c r="L13" s="21"/>
      <c r="M13" s="21"/>
      <c r="N13" s="21"/>
      <c r="O13" s="21"/>
      <c r="P13" s="21"/>
      <c r="Q13" s="21"/>
      <c r="T13" s="312" t="s">
        <v>100</v>
      </c>
      <c r="U13" s="311"/>
      <c r="V13" s="76" t="s">
        <v>169</v>
      </c>
      <c r="W13" s="313">
        <v>1.6000000000000001E-4</v>
      </c>
      <c r="X13" s="313"/>
      <c r="Y13" s="313"/>
    </row>
    <row r="14" spans="1:25" ht="15" customHeight="1" x14ac:dyDescent="0.3">
      <c r="A14" s="9"/>
      <c r="B14" s="121" t="s">
        <v>148</v>
      </c>
      <c r="C14" s="124">
        <v>1E-3</v>
      </c>
      <c r="D14" s="244" t="str">
        <f>D13</f>
        <v>ºC</v>
      </c>
      <c r="E14" s="9"/>
      <c r="G14" s="326" t="s">
        <v>56</v>
      </c>
      <c r="H14" s="326"/>
      <c r="I14" s="124">
        <v>0.2</v>
      </c>
      <c r="J14" s="125" t="str">
        <f>J13</f>
        <v>ºF</v>
      </c>
      <c r="K14" s="21"/>
      <c r="L14" s="21"/>
      <c r="M14" s="333" t="s">
        <v>57</v>
      </c>
      <c r="N14" s="333"/>
      <c r="O14" s="22">
        <v>0</v>
      </c>
      <c r="P14" s="21"/>
      <c r="Q14" s="21"/>
      <c r="T14" s="312" t="s">
        <v>101</v>
      </c>
      <c r="U14" s="311"/>
      <c r="V14" s="76" t="s">
        <v>168</v>
      </c>
      <c r="W14" s="313">
        <v>1.0399999999999999E-3</v>
      </c>
      <c r="X14" s="313"/>
      <c r="Y14" s="313"/>
    </row>
    <row r="15" spans="1:25" x14ac:dyDescent="0.3">
      <c r="B15" s="9"/>
      <c r="C15" s="10"/>
      <c r="D15" s="10"/>
      <c r="E15" s="10"/>
      <c r="G15" s="345" t="s">
        <v>266</v>
      </c>
      <c r="H15" s="346"/>
      <c r="I15" s="338" t="s">
        <v>1294</v>
      </c>
      <c r="J15" s="339"/>
      <c r="M15" s="333" t="s">
        <v>58</v>
      </c>
      <c r="N15" s="333"/>
      <c r="O15" s="23">
        <v>0</v>
      </c>
      <c r="T15" s="312" t="s">
        <v>102</v>
      </c>
      <c r="U15" s="311"/>
      <c r="V15" s="76" t="s">
        <v>170</v>
      </c>
      <c r="W15" s="313">
        <v>1.0300000000000001E-3</v>
      </c>
      <c r="X15" s="313"/>
      <c r="Y15" s="313"/>
    </row>
    <row r="16" spans="1:25" ht="15" customHeight="1" thickBot="1" x14ac:dyDescent="0.35">
      <c r="B16" s="10"/>
      <c r="C16" s="10"/>
      <c r="D16" s="10"/>
      <c r="E16" s="10"/>
      <c r="G16" s="345" t="s">
        <v>262</v>
      </c>
      <c r="H16" s="346"/>
      <c r="I16" s="347" t="s">
        <v>267</v>
      </c>
      <c r="J16" s="348"/>
      <c r="T16" s="312" t="s">
        <v>103</v>
      </c>
      <c r="U16" s="311"/>
      <c r="V16" s="76" t="s">
        <v>171</v>
      </c>
      <c r="W16" s="313">
        <v>1.4499999999999999E-3</v>
      </c>
      <c r="X16" s="313"/>
      <c r="Y16" s="313"/>
    </row>
    <row r="17" spans="1:27" ht="15.75" customHeight="1" thickBot="1" x14ac:dyDescent="0.35">
      <c r="A17" s="9"/>
      <c r="B17" s="319" t="s">
        <v>59</v>
      </c>
      <c r="C17" s="319"/>
      <c r="D17" s="320"/>
      <c r="E17" s="10"/>
      <c r="G17" s="318" t="s">
        <v>59</v>
      </c>
      <c r="H17" s="319"/>
      <c r="I17" s="319"/>
      <c r="J17" s="320"/>
      <c r="M17" s="321" t="s">
        <v>22</v>
      </c>
      <c r="N17" s="322"/>
      <c r="O17" s="322"/>
      <c r="P17" s="322"/>
      <c r="Q17" s="323"/>
    </row>
    <row r="18" spans="1:27" ht="15" customHeight="1" x14ac:dyDescent="0.3">
      <c r="A18" s="9"/>
      <c r="B18" s="11" t="s">
        <v>60</v>
      </c>
      <c r="C18" s="115" t="s">
        <v>87</v>
      </c>
      <c r="D18" s="49" t="str">
        <f>D14</f>
        <v>ºC</v>
      </c>
      <c r="G18" s="333" t="str">
        <f>B18</f>
        <v>Intervalo de medida</v>
      </c>
      <c r="H18" s="333"/>
      <c r="I18" s="115" t="str">
        <f t="shared" ref="I18:J18" si="0">C18</f>
        <v xml:space="preserve"> -20 a 150</v>
      </c>
      <c r="J18" s="49" t="str">
        <f t="shared" si="0"/>
        <v>ºC</v>
      </c>
      <c r="M18" s="24" t="s">
        <v>61</v>
      </c>
      <c r="P18" s="77">
        <f>IF(V5=1,W13,IF(V5=2,W14,IF(V5=3,W15,IF(V5=4,W16))))</f>
        <v>1.0300000000000001E-3</v>
      </c>
      <c r="Q18" t="s">
        <v>62</v>
      </c>
      <c r="T18" s="114">
        <v>1</v>
      </c>
      <c r="U18" s="114">
        <v>2</v>
      </c>
      <c r="V18" s="114">
        <v>3</v>
      </c>
      <c r="W18" s="114">
        <v>5</v>
      </c>
    </row>
    <row r="19" spans="1:27" ht="27" x14ac:dyDescent="0.3">
      <c r="A19" s="9"/>
      <c r="B19" s="266"/>
      <c r="C19" s="122"/>
      <c r="D19" s="267"/>
      <c r="E19" s="268"/>
      <c r="F19" s="268"/>
      <c r="G19" s="332" t="s">
        <v>274</v>
      </c>
      <c r="H19" s="332"/>
      <c r="I19" s="338" t="s">
        <v>275</v>
      </c>
      <c r="J19" s="344"/>
      <c r="K19" s="339"/>
      <c r="L19" s="30"/>
      <c r="M19" s="269"/>
      <c r="N19" s="269"/>
      <c r="O19" s="269"/>
      <c r="P19" s="268"/>
      <c r="Q19" s="30"/>
      <c r="T19" s="108" t="s">
        <v>140</v>
      </c>
      <c r="U19" s="109" t="s">
        <v>141</v>
      </c>
      <c r="V19" s="110" t="s">
        <v>142</v>
      </c>
      <c r="W19" s="111" t="s">
        <v>143</v>
      </c>
    </row>
    <row r="20" spans="1:27" ht="15" customHeight="1" x14ac:dyDescent="0.3">
      <c r="A20" s="9"/>
      <c r="B20" s="266"/>
      <c r="C20" s="122"/>
      <c r="D20" s="267"/>
      <c r="E20" s="270"/>
      <c r="F20" s="270"/>
      <c r="G20" s="334" t="s">
        <v>221</v>
      </c>
      <c r="H20" s="334"/>
      <c r="I20" s="335" t="s">
        <v>1295</v>
      </c>
      <c r="J20" s="336"/>
      <c r="K20" s="30"/>
      <c r="L20" s="30"/>
      <c r="M20" s="30"/>
      <c r="N20" s="30"/>
      <c r="O20" s="30"/>
      <c r="P20" s="30"/>
      <c r="Q20" s="30"/>
      <c r="T20" s="108">
        <v>1</v>
      </c>
      <c r="U20" s="111" t="s">
        <v>144</v>
      </c>
      <c r="V20" s="113"/>
      <c r="W20" s="113"/>
    </row>
    <row r="21" spans="1:27" x14ac:dyDescent="0.3">
      <c r="B21" s="271"/>
      <c r="C21" s="122"/>
      <c r="D21" s="267"/>
      <c r="E21" s="270"/>
      <c r="F21" s="270"/>
      <c r="G21" s="332" t="s">
        <v>264</v>
      </c>
      <c r="H21" s="332"/>
      <c r="I21" s="338">
        <v>562354</v>
      </c>
      <c r="J21" s="339"/>
      <c r="K21" s="30"/>
      <c r="L21" s="30"/>
      <c r="M21" s="30"/>
      <c r="N21" s="30"/>
      <c r="O21" s="272"/>
      <c r="P21" s="273"/>
      <c r="Q21" s="30"/>
      <c r="T21" s="108">
        <v>2</v>
      </c>
      <c r="U21" s="111" t="s">
        <v>141</v>
      </c>
      <c r="V21" s="113"/>
      <c r="W21" s="113"/>
    </row>
    <row r="22" spans="1:27" ht="15" customHeight="1" x14ac:dyDescent="0.3">
      <c r="A22" s="9"/>
      <c r="B22" s="9"/>
      <c r="C22" s="10"/>
      <c r="D22" s="9"/>
      <c r="E22" s="25"/>
      <c r="F22" s="10"/>
      <c r="G22" s="333"/>
      <c r="H22" s="333"/>
      <c r="I22" s="10"/>
      <c r="J22" s="9"/>
      <c r="T22" s="108">
        <v>3</v>
      </c>
      <c r="U22" s="111" t="s">
        <v>141</v>
      </c>
      <c r="V22" s="113"/>
      <c r="W22" s="113"/>
    </row>
    <row r="24" spans="1:27" x14ac:dyDescent="0.3">
      <c r="C24" s="305"/>
      <c r="D24" s="305"/>
      <c r="E24" s="305"/>
    </row>
    <row r="25" spans="1:27" x14ac:dyDescent="0.3">
      <c r="C25" s="311" t="s">
        <v>133</v>
      </c>
      <c r="D25" s="304"/>
      <c r="E25" s="304"/>
      <c r="F25" s="304">
        <f>D29</f>
        <v>0</v>
      </c>
      <c r="G25" s="304"/>
      <c r="H25" s="304">
        <f>F25</f>
        <v>0</v>
      </c>
      <c r="I25" s="304"/>
      <c r="J25" s="304">
        <f>D30</f>
        <v>0</v>
      </c>
      <c r="K25" s="304"/>
      <c r="L25" s="304">
        <f>D31</f>
        <v>0</v>
      </c>
      <c r="M25" s="304"/>
      <c r="N25" s="304" t="str">
        <f>D32</f>
        <v xml:space="preserve"> </v>
      </c>
      <c r="O25" s="304"/>
      <c r="P25" s="304">
        <f>D33</f>
        <v>0</v>
      </c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</row>
    <row r="26" spans="1:27" ht="15" customHeight="1" x14ac:dyDescent="0.3">
      <c r="B26" s="274"/>
      <c r="C26" s="30"/>
      <c r="D26" s="307" t="s">
        <v>78</v>
      </c>
      <c r="E26" s="308"/>
      <c r="F26" s="31" t="str">
        <f>D13</f>
        <v>ºC</v>
      </c>
      <c r="G26" s="31" t="str">
        <f>J13</f>
        <v>ºF</v>
      </c>
      <c r="H26" s="33" t="str">
        <f>D13</f>
        <v>ºC</v>
      </c>
      <c r="I26" s="31" t="str">
        <f>G26</f>
        <v>ºF</v>
      </c>
      <c r="J26" s="33" t="str">
        <f>D13</f>
        <v>ºC</v>
      </c>
      <c r="K26" s="31" t="str">
        <f>I26</f>
        <v>ºF</v>
      </c>
      <c r="L26" s="33" t="str">
        <f>D13</f>
        <v>ºC</v>
      </c>
      <c r="M26" s="31" t="str">
        <f>K26</f>
        <v>ºF</v>
      </c>
      <c r="N26" s="33" t="str">
        <f>D13</f>
        <v>ºC</v>
      </c>
      <c r="O26" s="31" t="str">
        <f>M26</f>
        <v>ºF</v>
      </c>
      <c r="P26" s="32" t="str">
        <f>D13</f>
        <v>ºC</v>
      </c>
      <c r="Q26" s="31" t="str">
        <f>O26</f>
        <v>ºF</v>
      </c>
      <c r="R26" s="32" t="str">
        <f>D13</f>
        <v>ºC</v>
      </c>
      <c r="S26" s="31" t="str">
        <f>Q26</f>
        <v>ºF</v>
      </c>
      <c r="T26" s="32" t="str">
        <f>D13</f>
        <v>ºC</v>
      </c>
      <c r="U26" s="31" t="str">
        <f>S26</f>
        <v>ºF</v>
      </c>
      <c r="V26" s="32" t="str">
        <f>D13</f>
        <v>ºC</v>
      </c>
      <c r="W26" s="31" t="str">
        <f>U26</f>
        <v>ºF</v>
      </c>
      <c r="X26" s="32" t="str">
        <f>D13</f>
        <v>ºC</v>
      </c>
      <c r="Y26" s="31" t="str">
        <f>W26</f>
        <v>ºF</v>
      </c>
      <c r="Z26" s="34" t="str">
        <f>D13</f>
        <v>ºC</v>
      </c>
      <c r="AA26" s="31" t="str">
        <f>Y26</f>
        <v>ºF</v>
      </c>
    </row>
    <row r="27" spans="1:27" x14ac:dyDescent="0.3">
      <c r="B27" s="274"/>
      <c r="C27" s="30"/>
      <c r="D27" s="309" t="s">
        <v>79</v>
      </c>
      <c r="E27" s="310"/>
      <c r="F27" s="329" t="s">
        <v>76</v>
      </c>
      <c r="G27" s="330"/>
      <c r="H27" s="329" t="s">
        <v>77</v>
      </c>
      <c r="I27" s="330"/>
      <c r="J27" s="329" t="s">
        <v>67</v>
      </c>
      <c r="K27" s="330"/>
      <c r="L27" s="329" t="s">
        <v>68</v>
      </c>
      <c r="M27" s="330"/>
      <c r="N27" s="329" t="s">
        <v>69</v>
      </c>
      <c r="O27" s="330"/>
      <c r="P27" s="329" t="s">
        <v>70</v>
      </c>
      <c r="Q27" s="330"/>
      <c r="R27" s="329" t="s">
        <v>71</v>
      </c>
      <c r="S27" s="330"/>
      <c r="T27" s="329" t="s">
        <v>72</v>
      </c>
      <c r="U27" s="330"/>
      <c r="V27" s="329" t="s">
        <v>73</v>
      </c>
      <c r="W27" s="330"/>
      <c r="X27" s="329" t="s">
        <v>74</v>
      </c>
      <c r="Y27" s="330"/>
      <c r="Z27" s="329" t="s">
        <v>75</v>
      </c>
      <c r="AA27" s="330"/>
    </row>
    <row r="28" spans="1:27" ht="24.6" x14ac:dyDescent="0.3">
      <c r="B28" s="274"/>
      <c r="C28" s="137"/>
      <c r="D28" s="137"/>
      <c r="E28" s="137" t="s">
        <v>64</v>
      </c>
      <c r="F28" s="27" t="s">
        <v>65</v>
      </c>
      <c r="G28" s="27" t="s">
        <v>66</v>
      </c>
      <c r="H28" s="27" t="s">
        <v>65</v>
      </c>
      <c r="I28" s="27" t="s">
        <v>66</v>
      </c>
      <c r="J28" s="27" t="s">
        <v>65</v>
      </c>
      <c r="K28" s="27" t="s">
        <v>66</v>
      </c>
      <c r="L28" s="27" t="s">
        <v>65</v>
      </c>
      <c r="M28" s="27" t="s">
        <v>66</v>
      </c>
      <c r="N28" s="27" t="s">
        <v>65</v>
      </c>
      <c r="O28" s="27" t="s">
        <v>66</v>
      </c>
      <c r="P28" s="27" t="s">
        <v>65</v>
      </c>
      <c r="Q28" s="27" t="s">
        <v>66</v>
      </c>
      <c r="R28" s="27" t="s">
        <v>65</v>
      </c>
      <c r="S28" s="27" t="s">
        <v>66</v>
      </c>
      <c r="T28" s="27" t="s">
        <v>65</v>
      </c>
      <c r="U28" s="27" t="s">
        <v>66</v>
      </c>
      <c r="V28" s="27" t="s">
        <v>65</v>
      </c>
      <c r="W28" s="27" t="s">
        <v>66</v>
      </c>
      <c r="X28" s="27" t="s">
        <v>65</v>
      </c>
      <c r="Y28" s="27" t="s">
        <v>66</v>
      </c>
      <c r="Z28" s="27" t="s">
        <v>65</v>
      </c>
      <c r="AA28" s="27" t="s">
        <v>66</v>
      </c>
    </row>
    <row r="29" spans="1:27" x14ac:dyDescent="0.3">
      <c r="B29" s="274"/>
      <c r="C29" s="28"/>
      <c r="D29" s="137"/>
      <c r="E29" s="137">
        <v>1</v>
      </c>
      <c r="F29" s="133"/>
      <c r="G29" s="29"/>
      <c r="H29" s="133"/>
      <c r="I29" s="29"/>
      <c r="J29" s="134"/>
      <c r="K29" s="134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3">
      <c r="B30" s="274"/>
      <c r="C30" s="28"/>
      <c r="D30" s="137"/>
      <c r="E30" s="137">
        <v>2</v>
      </c>
      <c r="F30" s="133"/>
      <c r="G30" s="29"/>
      <c r="H30" s="133"/>
      <c r="I30" s="29"/>
      <c r="J30" s="134"/>
      <c r="K30" s="134"/>
      <c r="L30" s="29"/>
      <c r="M30" s="29"/>
      <c r="N30" s="29"/>
      <c r="O30" s="29"/>
      <c r="P30" s="29"/>
      <c r="Q30" s="29" t="s">
        <v>1299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3">
      <c r="B31" s="274"/>
      <c r="C31" s="28"/>
      <c r="D31" s="137"/>
      <c r="E31" s="137">
        <v>3</v>
      </c>
      <c r="F31" s="133"/>
      <c r="G31" s="29"/>
      <c r="H31" s="133"/>
      <c r="I31" s="29"/>
      <c r="J31" s="134"/>
      <c r="K31" s="134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3">
      <c r="B32" s="274"/>
      <c r="C32" s="28"/>
      <c r="D32" s="137" t="s">
        <v>1299</v>
      </c>
      <c r="E32" s="137">
        <v>4</v>
      </c>
      <c r="F32" s="133"/>
      <c r="G32" s="29"/>
      <c r="H32" s="133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2:27" x14ac:dyDescent="0.3">
      <c r="B33" s="274"/>
      <c r="C33" s="28"/>
      <c r="D33" s="137"/>
      <c r="E33" s="137">
        <v>5</v>
      </c>
      <c r="F33" s="133"/>
      <c r="G33" s="29"/>
      <c r="H33" s="133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2:27" x14ac:dyDescent="0.3">
      <c r="B34" s="274"/>
      <c r="C34" s="28"/>
      <c r="D34" s="137"/>
      <c r="E34" s="137">
        <v>6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2:27" x14ac:dyDescent="0.3">
      <c r="B35" s="274"/>
      <c r="C35" s="30"/>
      <c r="D35" s="137"/>
      <c r="E35" s="137">
        <v>7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2:27" x14ac:dyDescent="0.3">
      <c r="C36" s="30"/>
      <c r="D36" s="137"/>
      <c r="E36" s="137">
        <v>8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2:27" x14ac:dyDescent="0.3">
      <c r="C37" s="30"/>
      <c r="D37" s="137"/>
      <c r="E37" s="137">
        <v>9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2:27" x14ac:dyDescent="0.3">
      <c r="C38" s="30"/>
      <c r="D38" s="137"/>
      <c r="E38" s="137">
        <v>10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x14ac:dyDescent="0.3">
      <c r="C39" s="306" t="s">
        <v>134</v>
      </c>
      <c r="D39" s="306"/>
      <c r="E39" s="306"/>
      <c r="F39" s="26" t="s">
        <v>135</v>
      </c>
      <c r="G39" s="26" t="s">
        <v>39</v>
      </c>
      <c r="H39" s="26" t="s">
        <v>135</v>
      </c>
      <c r="I39" s="26" t="s">
        <v>39</v>
      </c>
      <c r="J39" s="26" t="s">
        <v>135</v>
      </c>
      <c r="K39" s="26" t="s">
        <v>39</v>
      </c>
      <c r="L39" s="26" t="s">
        <v>135</v>
      </c>
      <c r="M39" s="26" t="s">
        <v>39</v>
      </c>
      <c r="N39" s="26" t="s">
        <v>135</v>
      </c>
      <c r="O39" s="26" t="s">
        <v>39</v>
      </c>
      <c r="P39" s="26" t="s">
        <v>135</v>
      </c>
      <c r="Q39" s="26" t="s">
        <v>39</v>
      </c>
      <c r="R39" s="26" t="s">
        <v>135</v>
      </c>
      <c r="S39" s="26" t="s">
        <v>39</v>
      </c>
      <c r="T39" s="26" t="s">
        <v>135</v>
      </c>
      <c r="U39" s="26" t="s">
        <v>39</v>
      </c>
      <c r="V39" s="26" t="s">
        <v>135</v>
      </c>
      <c r="W39" s="26" t="s">
        <v>39</v>
      </c>
      <c r="X39" s="26" t="s">
        <v>135</v>
      </c>
      <c r="Y39" s="26" t="s">
        <v>39</v>
      </c>
      <c r="Z39" s="26" t="s">
        <v>135</v>
      </c>
      <c r="AA39" s="26" t="s">
        <v>39</v>
      </c>
    </row>
    <row r="40" spans="2:27" x14ac:dyDescent="0.3">
      <c r="C40" s="306" t="s">
        <v>136</v>
      </c>
      <c r="D40" s="306"/>
      <c r="E40" s="306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2:27" x14ac:dyDescent="0.3">
      <c r="C41" s="306" t="s">
        <v>137</v>
      </c>
      <c r="D41" s="306"/>
      <c r="E41" s="306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50" spans="2:3" x14ac:dyDescent="0.3">
      <c r="B50" t="s">
        <v>860</v>
      </c>
      <c r="C50" s="288" t="s">
        <v>866</v>
      </c>
    </row>
    <row r="51" spans="2:3" x14ac:dyDescent="0.3">
      <c r="B51" t="s">
        <v>861</v>
      </c>
      <c r="C51" s="289">
        <v>43780</v>
      </c>
    </row>
    <row r="52" spans="2:3" x14ac:dyDescent="0.3">
      <c r="B52" t="s">
        <v>862</v>
      </c>
      <c r="C52" s="288">
        <v>2</v>
      </c>
    </row>
    <row r="54" spans="2:3" x14ac:dyDescent="0.3">
      <c r="B54" t="s">
        <v>863</v>
      </c>
      <c r="C54" s="289">
        <v>43780</v>
      </c>
    </row>
    <row r="55" spans="2:3" x14ac:dyDescent="0.3">
      <c r="B55" t="s">
        <v>864</v>
      </c>
      <c r="C55" s="21" t="s">
        <v>865</v>
      </c>
    </row>
  </sheetData>
  <mergeCells count="84">
    <mergeCell ref="I20:J20"/>
    <mergeCell ref="I8:K8"/>
    <mergeCell ref="I21:J21"/>
    <mergeCell ref="C6:E6"/>
    <mergeCell ref="G6:K6"/>
    <mergeCell ref="I19:K19"/>
    <mergeCell ref="G15:H15"/>
    <mergeCell ref="I15:J15"/>
    <mergeCell ref="G16:H16"/>
    <mergeCell ref="I16:J16"/>
    <mergeCell ref="B8:C8"/>
    <mergeCell ref="B7:E7"/>
    <mergeCell ref="B9:C9"/>
    <mergeCell ref="B10:C10"/>
    <mergeCell ref="B12:C12"/>
    <mergeCell ref="B11:C11"/>
    <mergeCell ref="B5:Q5"/>
    <mergeCell ref="F27:G27"/>
    <mergeCell ref="H27:I27"/>
    <mergeCell ref="J27:K27"/>
    <mergeCell ref="L27:M27"/>
    <mergeCell ref="N27:O27"/>
    <mergeCell ref="B17:D17"/>
    <mergeCell ref="G21:H21"/>
    <mergeCell ref="G22:H22"/>
    <mergeCell ref="G18:H18"/>
    <mergeCell ref="G19:H19"/>
    <mergeCell ref="G20:H20"/>
    <mergeCell ref="G13:H13"/>
    <mergeCell ref="G14:H14"/>
    <mergeCell ref="M14:N14"/>
    <mergeCell ref="M15:N15"/>
    <mergeCell ref="Z27:AA27"/>
    <mergeCell ref="P27:Q27"/>
    <mergeCell ref="R27:S27"/>
    <mergeCell ref="T27:U27"/>
    <mergeCell ref="V27:W27"/>
    <mergeCell ref="X27:Y27"/>
    <mergeCell ref="G17:J17"/>
    <mergeCell ref="M17:Q17"/>
    <mergeCell ref="S6:T6"/>
    <mergeCell ref="S7:T7"/>
    <mergeCell ref="S8:T8"/>
    <mergeCell ref="M8:O8"/>
    <mergeCell ref="G9:H9"/>
    <mergeCell ref="M6:O6"/>
    <mergeCell ref="P6:Q6"/>
    <mergeCell ref="G11:H11"/>
    <mergeCell ref="E8:F8"/>
    <mergeCell ref="M7:O7"/>
    <mergeCell ref="P7:Q7"/>
    <mergeCell ref="G8:H8"/>
    <mergeCell ref="G7:I7"/>
    <mergeCell ref="V25:W25"/>
    <mergeCell ref="X25:Y25"/>
    <mergeCell ref="T13:U13"/>
    <mergeCell ref="T15:U15"/>
    <mergeCell ref="T16:U16"/>
    <mergeCell ref="T14:U14"/>
    <mergeCell ref="W13:Y13"/>
    <mergeCell ref="W14:Y14"/>
    <mergeCell ref="W15:Y15"/>
    <mergeCell ref="W16:Y16"/>
    <mergeCell ref="Z25:AA25"/>
    <mergeCell ref="C24:E24"/>
    <mergeCell ref="C39:E39"/>
    <mergeCell ref="C40:E40"/>
    <mergeCell ref="C41:E41"/>
    <mergeCell ref="D26:E26"/>
    <mergeCell ref="D27:E27"/>
    <mergeCell ref="C25:E25"/>
    <mergeCell ref="F25:G25"/>
    <mergeCell ref="H25:I25"/>
    <mergeCell ref="J25:K25"/>
    <mergeCell ref="L25:M25"/>
    <mergeCell ref="N25:O25"/>
    <mergeCell ref="P25:Q25"/>
    <mergeCell ref="R25:S25"/>
    <mergeCell ref="T25:U25"/>
    <mergeCell ref="W12:Y12"/>
    <mergeCell ref="W11:X11"/>
    <mergeCell ref="T12:U12"/>
    <mergeCell ref="G10:H10"/>
    <mergeCell ref="G12:H1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18</xdr:col>
                    <xdr:colOff>0</xdr:colOff>
                    <xdr:row>2</xdr:row>
                    <xdr:rowOff>182880</xdr:rowOff>
                  </from>
                  <to>
                    <xdr:col>20</xdr:col>
                    <xdr:colOff>22860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20</xdr:col>
                    <xdr:colOff>731520</xdr:colOff>
                    <xdr:row>2</xdr:row>
                    <xdr:rowOff>144780</xdr:rowOff>
                  </from>
                  <to>
                    <xdr:col>22</xdr:col>
                    <xdr:colOff>754380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'Base de datos de los clientes'!$B$5:$B$305</xm:f>
          </x14:formula1>
          <xm:sqref>C6:E6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31"/>
  <sheetViews>
    <sheetView topLeftCell="A52" workbookViewId="0">
      <selection activeCell="G42" sqref="G42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/>
      <c r="B1" s="392"/>
      <c r="C1" s="392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91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DATOS!X29</f>
        <v>0</v>
      </c>
      <c r="C5" s="38">
        <f>IF(DATOS!$S$5=1,DATOS!Y29,IF(DATOS!$S$5=2,(5/9*(DATOS!Y29-32)),"error"))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DATOS!X30</f>
        <v>0</v>
      </c>
      <c r="C6" s="38">
        <f>IF(DATOS!$S$5=1,DATOS!Y30,IF(DATOS!$S$5=2,(5/9*(DATOS!Y30-32)),"error"))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DATOS!X31</f>
        <v>0</v>
      </c>
      <c r="C7" s="38">
        <f>IF(DATOS!$S$5=1,DATOS!Y31,IF(DATOS!$S$5=2,(5/9*(DATOS!Y31-32)),"error"))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>
        <f>I35^4/((I24^4/J24)+(I25^4/J25)+(I26^4/J26)+(I27^4/J27)+(I28^4/J28)+(I29^4/J29)+0+0+0)</f>
        <v>146.674375542044</v>
      </c>
      <c r="J36" s="381"/>
      <c r="K36" s="382"/>
    </row>
    <row r="37" spans="1:12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>
        <f>IF(I36&gt;20,2,HLOOKUP(I36,C97:W98,2))</f>
        <v>2</v>
      </c>
      <c r="J37" s="383"/>
      <c r="K37" s="383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93" t="s">
        <v>80</v>
      </c>
      <c r="B44" s="393"/>
      <c r="C44" s="393"/>
      <c r="D44" s="186"/>
      <c r="G44" s="6"/>
    </row>
    <row r="45" spans="1:12" x14ac:dyDescent="0.25">
      <c r="A45" s="394" t="s">
        <v>26</v>
      </c>
      <c r="B45" s="394"/>
      <c r="C45" s="395"/>
      <c r="D45" s="395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oUZV282dHXteofJjzE1It8fEtgCggIPQjfQgJcJqnT9kFAAyG8DpqFlaAFzeT/e7x+W/Eo8Mmk+XJhS0BR1lVw==" saltValue="jmdKx2Z+q4rdxarMtpGcxQ==" spinCount="100000" sheet="1" objects="1" scenarios="1"/>
  <mergeCells count="70"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  <mergeCell ref="A45:D45"/>
    <mergeCell ref="H47:J47"/>
    <mergeCell ref="K49:L49"/>
    <mergeCell ref="H53:J53"/>
    <mergeCell ref="B75:E75"/>
    <mergeCell ref="H75:K75"/>
    <mergeCell ref="H56:M56"/>
    <mergeCell ref="I62:K62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12:B115"/>
    <mergeCell ref="C112:C115"/>
    <mergeCell ref="B116:I116"/>
    <mergeCell ref="J118:J119"/>
    <mergeCell ref="K118:K119"/>
    <mergeCell ref="B118:B119"/>
    <mergeCell ref="C118:C119"/>
    <mergeCell ref="D118:D119"/>
    <mergeCell ref="E118:E119"/>
    <mergeCell ref="F118:F119"/>
    <mergeCell ref="B120:B127"/>
    <mergeCell ref="C120:C127"/>
    <mergeCell ref="B128:I128"/>
    <mergeCell ref="G118:G119"/>
    <mergeCell ref="H118:H119"/>
    <mergeCell ref="I118:I1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7" r:id="rId3" name="Drop Down 7">
              <controlPr defaultSize="0" autoLine="0" autoPict="0">
                <anchor moveWithCells="1">
                  <from>
                    <xdr:col>3</xdr:col>
                    <xdr:colOff>716280</xdr:colOff>
                    <xdr:row>63</xdr:row>
                    <xdr:rowOff>83820</xdr:rowOff>
                  </from>
                  <to>
                    <xdr:col>5</xdr:col>
                    <xdr:colOff>22860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31"/>
  <sheetViews>
    <sheetView topLeftCell="A55" workbookViewId="0">
      <selection activeCell="F73" sqref="F73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/>
      <c r="B1" s="392"/>
      <c r="C1" s="392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91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DATOS!Z29</f>
        <v>0</v>
      </c>
      <c r="C5" s="38">
        <f>IF(DATOS!$S$5=1,DATOS!AA29,IF(DATOS!$S$5=2,(5/9*(DATOS!AA29-32)),"error"))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DATOS!Z30</f>
        <v>0</v>
      </c>
      <c r="C6" s="38">
        <f>IF(DATOS!$S$5=1,DATOS!AA30,IF(DATOS!$S$5=2,(5/9*(DATOS!AA30-32)),"error"))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DATOS!Z31</f>
        <v>0</v>
      </c>
      <c r="C7" s="38">
        <f>IF(DATOS!$S$5=1,DATOS!AA31,IF(DATOS!$S$5=2,(5/9*(DATOS!AA31-32)),"error"))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>
        <f>I35^4/((I24^4/J24)+(I25^4/J25)+(I26^4/J26)+(I27^4/J27)+(I28^4/J28)+(I29^4/J29)+0+0+0)</f>
        <v>146.674375542044</v>
      </c>
      <c r="J36" s="381"/>
      <c r="K36" s="382"/>
    </row>
    <row r="37" spans="1:12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>
        <f>IF(I36&gt;20,2,HLOOKUP(I36,C97:W98,2))</f>
        <v>2</v>
      </c>
      <c r="J37" s="383"/>
      <c r="K37" s="383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93" t="s">
        <v>80</v>
      </c>
      <c r="B44" s="393"/>
      <c r="C44" s="393"/>
      <c r="D44" s="186"/>
      <c r="G44" s="6"/>
    </row>
    <row r="45" spans="1:12" x14ac:dyDescent="0.25">
      <c r="A45" s="394" t="s">
        <v>26</v>
      </c>
      <c r="B45" s="394"/>
      <c r="C45" s="395"/>
      <c r="D45" s="395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axFCI9RitHya+v2NJsos33evS/XM4RO/P8LC0Vy9p+0DK+V2f7BGj1tR/d4ZzEfyGMWeQ0PBq7ZzNTDiuxANcQ==" saltValue="EZK4Zp/QVO5m5Tof1Abb6A==" spinCount="100000" sheet="1" objects="1" scenarios="1"/>
  <mergeCells count="70"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  <mergeCell ref="A45:D45"/>
    <mergeCell ref="H47:J47"/>
    <mergeCell ref="K49:L49"/>
    <mergeCell ref="H53:J53"/>
    <mergeCell ref="B75:E75"/>
    <mergeCell ref="H75:K75"/>
    <mergeCell ref="H56:M56"/>
    <mergeCell ref="I62:K62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12:B115"/>
    <mergeCell ref="C112:C115"/>
    <mergeCell ref="B116:I116"/>
    <mergeCell ref="J118:J119"/>
    <mergeCell ref="K118:K119"/>
    <mergeCell ref="B118:B119"/>
    <mergeCell ref="C118:C119"/>
    <mergeCell ref="D118:D119"/>
    <mergeCell ref="E118:E119"/>
    <mergeCell ref="F118:F119"/>
    <mergeCell ref="B120:B127"/>
    <mergeCell ref="C120:C127"/>
    <mergeCell ref="B128:I128"/>
    <mergeCell ref="G118:G119"/>
    <mergeCell ref="H118:H119"/>
    <mergeCell ref="I118:I1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1" r:id="rId3" name="Drop Down 7">
              <controlPr defaultSize="0" autoLine="0" autoPict="0">
                <anchor moveWithCells="1">
                  <from>
                    <xdr:col>3</xdr:col>
                    <xdr:colOff>708660</xdr:colOff>
                    <xdr:row>63</xdr:row>
                    <xdr:rowOff>83820</xdr:rowOff>
                  </from>
                  <to>
                    <xdr:col>5</xdr:col>
                    <xdr:colOff>7620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O32"/>
  <sheetViews>
    <sheetView topLeftCell="C4" workbookViewId="0">
      <selection activeCell="H26" sqref="H26"/>
    </sheetView>
  </sheetViews>
  <sheetFormatPr baseColWidth="10" defaultColWidth="11.5546875" defaultRowHeight="13.2" x14ac:dyDescent="0.25"/>
  <cols>
    <col min="1" max="2" width="11.5546875" style="158"/>
    <col min="3" max="3" width="18.44140625" style="158" customWidth="1"/>
    <col min="4" max="4" width="14" style="158" bestFit="1" customWidth="1"/>
    <col min="5" max="5" width="22.33203125" style="158" customWidth="1"/>
    <col min="6" max="6" width="19.44140625" style="158" customWidth="1"/>
    <col min="7" max="7" width="15.6640625" style="158" customWidth="1"/>
    <col min="8" max="8" width="13.88671875" style="158" customWidth="1"/>
    <col min="9" max="9" width="12.109375" style="158" bestFit="1" customWidth="1"/>
    <col min="10" max="16384" width="11.5546875" style="158"/>
  </cols>
  <sheetData>
    <row r="4" spans="2:14" x14ac:dyDescent="0.25">
      <c r="B4" s="237"/>
      <c r="C4" s="238"/>
      <c r="D4" s="239" t="s">
        <v>45</v>
      </c>
      <c r="E4" s="239" t="s">
        <v>46</v>
      </c>
      <c r="F4" s="239" t="s">
        <v>47</v>
      </c>
      <c r="G4" s="240"/>
      <c r="H4" s="240"/>
      <c r="K4" s="240"/>
      <c r="L4" s="240"/>
      <c r="M4" s="240"/>
      <c r="N4" s="240"/>
    </row>
    <row r="5" spans="2:14" x14ac:dyDescent="0.25">
      <c r="B5" s="411" t="s">
        <v>131</v>
      </c>
      <c r="C5" s="411" t="s">
        <v>132</v>
      </c>
      <c r="D5" s="100" t="s">
        <v>197</v>
      </c>
      <c r="E5" s="241" t="s">
        <v>198</v>
      </c>
      <c r="F5" s="100" t="s">
        <v>199</v>
      </c>
      <c r="G5" s="101" t="s">
        <v>200</v>
      </c>
      <c r="H5" s="102" t="s">
        <v>201</v>
      </c>
      <c r="K5" s="141"/>
      <c r="L5" s="141"/>
    </row>
    <row r="6" spans="2:14" x14ac:dyDescent="0.25">
      <c r="B6" s="411"/>
      <c r="C6" s="411"/>
      <c r="D6" s="103" t="s">
        <v>36</v>
      </c>
      <c r="E6" s="103" t="s">
        <v>36</v>
      </c>
      <c r="F6" s="104" t="str">
        <f>DATOS!D13</f>
        <v>ºC</v>
      </c>
      <c r="G6" s="105" t="s">
        <v>36</v>
      </c>
      <c r="H6" s="103" t="s">
        <v>36</v>
      </c>
      <c r="K6" s="2"/>
      <c r="L6" s="2"/>
    </row>
    <row r="7" spans="2:14" x14ac:dyDescent="0.25">
      <c r="B7" s="106">
        <v>1</v>
      </c>
      <c r="C7" s="93">
        <f>DATOS!F25</f>
        <v>0</v>
      </c>
      <c r="D7" s="95">
        <f>'punto 1'!A42</f>
        <v>0</v>
      </c>
      <c r="E7" s="95">
        <f>'punto 1'!B42</f>
        <v>-3.0006777498704303E-3</v>
      </c>
      <c r="F7" s="94">
        <f>'punto 1'!C42</f>
        <v>-17.777777777777779</v>
      </c>
      <c r="G7" s="94">
        <f>'punto 1'!D42</f>
        <v>0</v>
      </c>
      <c r="H7" s="96">
        <f>'punto 1'!E42</f>
        <v>17.774777100027908</v>
      </c>
      <c r="K7" s="6"/>
      <c r="L7" s="6"/>
    </row>
    <row r="8" spans="2:14" x14ac:dyDescent="0.25">
      <c r="B8" s="106">
        <v>2</v>
      </c>
      <c r="C8" s="93">
        <f>DATOS!J25</f>
        <v>0</v>
      </c>
      <c r="D8" s="95">
        <f>'punto 2'!A42</f>
        <v>0</v>
      </c>
      <c r="E8" s="95">
        <f>'punto 2'!B42</f>
        <v>-3.0006777498704303E-3</v>
      </c>
      <c r="F8" s="94">
        <f>'punto 2'!C42</f>
        <v>-17.777777777777779</v>
      </c>
      <c r="G8" s="94">
        <f>'punto 2'!D42</f>
        <v>0</v>
      </c>
      <c r="H8" s="94">
        <f>'punto 2'!E42</f>
        <v>17.774777100027908</v>
      </c>
      <c r="K8" s="6"/>
      <c r="L8" s="6"/>
    </row>
    <row r="9" spans="2:14" x14ac:dyDescent="0.25">
      <c r="B9" s="106">
        <v>3</v>
      </c>
      <c r="C9" s="93">
        <f>DATOS!L25</f>
        <v>0</v>
      </c>
      <c r="D9" s="95">
        <f>'punto 3'!A42</f>
        <v>0</v>
      </c>
      <c r="E9" s="95">
        <f>'punto 3'!B42</f>
        <v>-3.0006777498704303E-3</v>
      </c>
      <c r="F9" s="94">
        <f>'punto 3'!C42</f>
        <v>-17.777777777777779</v>
      </c>
      <c r="G9" s="94">
        <f>'punto 3'!D42</f>
        <v>0</v>
      </c>
      <c r="H9" s="94">
        <f>'punto 3'!E42</f>
        <v>17.774777100027908</v>
      </c>
      <c r="K9" s="6"/>
      <c r="L9" s="6"/>
    </row>
    <row r="10" spans="2:14" x14ac:dyDescent="0.25">
      <c r="B10" s="106">
        <v>4</v>
      </c>
      <c r="C10" s="93" t="str">
        <f>DATOS!N25</f>
        <v xml:space="preserve"> </v>
      </c>
      <c r="D10" s="95">
        <f>'punto 4'!A42</f>
        <v>0</v>
      </c>
      <c r="E10" s="95">
        <f>'punto 4'!B42</f>
        <v>-3.0006777498704303E-3</v>
      </c>
      <c r="F10" s="94">
        <f>'punto 4'!C42</f>
        <v>-17.777777777777779</v>
      </c>
      <c r="G10" s="94">
        <f>'punto 4'!D42</f>
        <v>0</v>
      </c>
      <c r="H10" s="94">
        <f>'punto 4'!E42</f>
        <v>17.774777100027908</v>
      </c>
      <c r="K10" s="6"/>
      <c r="L10" s="6"/>
    </row>
    <row r="11" spans="2:14" x14ac:dyDescent="0.25">
      <c r="B11" s="106">
        <v>5</v>
      </c>
      <c r="C11" s="93">
        <f>DATOS!P25</f>
        <v>0</v>
      </c>
      <c r="D11" s="95">
        <f>'punto 5'!A42</f>
        <v>0</v>
      </c>
      <c r="E11" s="95">
        <f>'punto 5'!B42</f>
        <v>-3.0006777498704303E-3</v>
      </c>
      <c r="F11" s="94" t="e">
        <f>'punto 5'!C42</f>
        <v>#VALUE!</v>
      </c>
      <c r="G11" s="94">
        <f>'punto 5'!D42</f>
        <v>0</v>
      </c>
      <c r="H11" s="94" t="e">
        <f>'punto 5'!E42</f>
        <v>#VALUE!</v>
      </c>
      <c r="K11" s="6"/>
      <c r="L11" s="6"/>
    </row>
    <row r="12" spans="2:14" x14ac:dyDescent="0.25">
      <c r="B12" s="106">
        <v>6</v>
      </c>
      <c r="C12" s="93">
        <f>DATOS!R25</f>
        <v>0</v>
      </c>
      <c r="D12" s="95">
        <f>'punto 6'!A42</f>
        <v>0</v>
      </c>
      <c r="E12" s="95">
        <f>'punto 6'!B42</f>
        <v>-3.0006777498704303E-3</v>
      </c>
      <c r="F12" s="94">
        <f>'punto 6'!C42</f>
        <v>-17.777777777777779</v>
      </c>
      <c r="G12" s="94">
        <f>'punto 6'!D42</f>
        <v>0</v>
      </c>
      <c r="H12" s="94">
        <f>'punto 6'!E42</f>
        <v>17.774777100027908</v>
      </c>
      <c r="K12" s="6"/>
      <c r="L12" s="6"/>
    </row>
    <row r="13" spans="2:14" x14ac:dyDescent="0.25">
      <c r="B13" s="106">
        <v>7</v>
      </c>
      <c r="C13" s="93">
        <f>DATOS!T25</f>
        <v>0</v>
      </c>
      <c r="D13" s="95">
        <f>'punto 8'!A42</f>
        <v>0</v>
      </c>
      <c r="E13" s="95">
        <f>'punto 8'!B42</f>
        <v>-3.0006777498704303E-3</v>
      </c>
      <c r="F13" s="94">
        <f>'punto 7'!C42</f>
        <v>-17.777777777777779</v>
      </c>
      <c r="G13" s="94">
        <f>'punto 7'!D42</f>
        <v>0</v>
      </c>
      <c r="H13" s="94">
        <f>'punto 7'!E42</f>
        <v>17.774777100027908</v>
      </c>
      <c r="K13" s="6"/>
      <c r="L13" s="6"/>
    </row>
    <row r="14" spans="2:14" x14ac:dyDescent="0.25">
      <c r="B14" s="106">
        <v>8</v>
      </c>
      <c r="C14" s="168">
        <f>DATOS!V25</f>
        <v>0</v>
      </c>
      <c r="D14" s="95">
        <f>'punto 8'!A42</f>
        <v>0</v>
      </c>
      <c r="E14" s="95">
        <f>'punto 8'!B42</f>
        <v>-3.0006777498704303E-3</v>
      </c>
      <c r="F14" s="94">
        <f>'punto 8'!C42</f>
        <v>-17.777777777777779</v>
      </c>
      <c r="G14" s="94">
        <f>'punto 8'!D42</f>
        <v>0</v>
      </c>
      <c r="H14" s="94">
        <f>'punto 8'!E42</f>
        <v>17.774777100027908</v>
      </c>
    </row>
    <row r="15" spans="2:14" x14ac:dyDescent="0.25">
      <c r="B15" s="106">
        <v>9</v>
      </c>
      <c r="C15" s="168">
        <f>DATOS!X25</f>
        <v>0</v>
      </c>
      <c r="D15" s="95">
        <f>'punto 9'!A42</f>
        <v>0</v>
      </c>
      <c r="E15" s="95">
        <f>'punto 9'!B42</f>
        <v>-3.0006777498704303E-3</v>
      </c>
      <c r="F15" s="94">
        <f>'punto 9'!C42</f>
        <v>-17.777777777777779</v>
      </c>
      <c r="G15" s="94">
        <f>'punto 9'!D42</f>
        <v>0</v>
      </c>
      <c r="H15" s="94">
        <f>'punto 9'!E42</f>
        <v>17.774777100027908</v>
      </c>
    </row>
    <row r="16" spans="2:14" x14ac:dyDescent="0.25">
      <c r="B16" s="106">
        <v>10</v>
      </c>
      <c r="C16" s="168">
        <f>DATOS!Z25</f>
        <v>0</v>
      </c>
      <c r="D16" s="95">
        <f>'punto 10'!A42</f>
        <v>0</v>
      </c>
      <c r="E16" s="95">
        <f>'punto 10'!B42</f>
        <v>-3.0006777498704303E-3</v>
      </c>
      <c r="F16" s="94">
        <f>'punto 10'!C42</f>
        <v>-17.777777777777779</v>
      </c>
      <c r="G16" s="94">
        <f>'punto 10'!D42</f>
        <v>0</v>
      </c>
      <c r="H16" s="94">
        <f>'punto 10'!E42</f>
        <v>17.774777100027908</v>
      </c>
    </row>
    <row r="19" spans="2:15" x14ac:dyDescent="0.25">
      <c r="B19" s="142"/>
      <c r="C19" s="412">
        <v>1</v>
      </c>
      <c r="D19" s="412"/>
      <c r="E19" s="412">
        <v>2</v>
      </c>
      <c r="F19" s="412"/>
      <c r="G19" s="142">
        <v>3</v>
      </c>
      <c r="H19" s="142">
        <v>4</v>
      </c>
      <c r="I19" s="142">
        <v>5</v>
      </c>
      <c r="J19" s="142">
        <v>6</v>
      </c>
      <c r="K19" s="142">
        <v>7</v>
      </c>
      <c r="L19" s="142">
        <v>8</v>
      </c>
      <c r="M19" s="142">
        <v>9</v>
      </c>
    </row>
    <row r="20" spans="2:15" x14ac:dyDescent="0.25">
      <c r="B20" s="142"/>
      <c r="C20" s="411" t="s">
        <v>131</v>
      </c>
      <c r="D20" s="411"/>
      <c r="E20" s="413" t="s">
        <v>197</v>
      </c>
      <c r="F20" s="414"/>
      <c r="G20" s="415"/>
      <c r="H20" s="409" t="s">
        <v>199</v>
      </c>
      <c r="I20" s="409"/>
      <c r="J20" s="410" t="s">
        <v>201</v>
      </c>
      <c r="K20" s="410"/>
      <c r="L20" s="410" t="s">
        <v>92</v>
      </c>
      <c r="M20" s="410"/>
      <c r="O20" s="158" t="s">
        <v>181</v>
      </c>
    </row>
    <row r="21" spans="2:15" x14ac:dyDescent="0.25">
      <c r="B21" s="88"/>
      <c r="C21" s="355" t="str">
        <f>D6</f>
        <v>ºC</v>
      </c>
      <c r="D21" s="355"/>
      <c r="E21" s="405" t="s">
        <v>36</v>
      </c>
      <c r="F21" s="406"/>
      <c r="G21" s="143" t="str">
        <f>DATOS!J13</f>
        <v>ºF</v>
      </c>
      <c r="H21" s="143" t="str">
        <f>F6</f>
        <v>ºC</v>
      </c>
      <c r="I21" s="143" t="str">
        <f>G21</f>
        <v>ºF</v>
      </c>
      <c r="J21" s="143" t="str">
        <f>E21</f>
        <v>ºC</v>
      </c>
      <c r="K21" s="143" t="str">
        <f>I21</f>
        <v>ºF</v>
      </c>
      <c r="L21" s="143" t="str">
        <f>E21</f>
        <v>ºC</v>
      </c>
      <c r="M21" s="143" t="str">
        <f>K21</f>
        <v>ºF</v>
      </c>
      <c r="O21" s="158" t="str">
        <f>L21</f>
        <v>ºC</v>
      </c>
    </row>
    <row r="22" spans="2:15" x14ac:dyDescent="0.25">
      <c r="B22" s="88">
        <v>1</v>
      </c>
      <c r="C22" s="403">
        <f>C7</f>
        <v>0</v>
      </c>
      <c r="D22" s="403"/>
      <c r="E22" s="408">
        <f>D7+E7</f>
        <v>-3.0006777498704303E-3</v>
      </c>
      <c r="F22" s="408"/>
      <c r="G22" s="146">
        <f>IF(DATOS!$J$13="ºF",((9/5)*E22)+32,"")</f>
        <v>31.994598780050232</v>
      </c>
      <c r="H22" s="136">
        <f>F7+G7</f>
        <v>-17.777777777777779</v>
      </c>
      <c r="I22" s="144">
        <f>IF(DATOS!$J$13="ºF",(H22-32)/1.8,"")</f>
        <v>-27.654320987654319</v>
      </c>
      <c r="J22" s="98">
        <f>H7</f>
        <v>17.774777100027908</v>
      </c>
      <c r="K22" s="144">
        <f>IF(DATOS!$J$13="ºF",(9/5)*J22,"")</f>
        <v>31.994598780050236</v>
      </c>
      <c r="L22" s="135">
        <f>'punto 1'!I35</f>
        <v>3.5527781397503656E-2</v>
      </c>
      <c r="M22" s="144">
        <f>IF(DATOS!$J$13="ºF",(9/5)*L22,"")</f>
        <v>6.3950006515506586E-2</v>
      </c>
      <c r="O22" s="242">
        <f>L22*2</f>
        <v>7.1055562795007313E-2</v>
      </c>
    </row>
    <row r="23" spans="2:15" x14ac:dyDescent="0.25">
      <c r="B23" s="88">
        <v>2</v>
      </c>
      <c r="C23" s="403">
        <f t="shared" ref="C23:C31" si="0">C8</f>
        <v>0</v>
      </c>
      <c r="D23" s="403"/>
      <c r="E23" s="408">
        <f t="shared" ref="E23:E31" si="1">D8+E8</f>
        <v>-3.0006777498704303E-3</v>
      </c>
      <c r="F23" s="408"/>
      <c r="G23" s="146">
        <f>IF(DATOS!$J$13="ºF",((9/5)*E23)+32,"")</f>
        <v>31.994598780050232</v>
      </c>
      <c r="H23" s="136">
        <f t="shared" ref="H23:H31" si="2">F8+G8</f>
        <v>-17.777777777777779</v>
      </c>
      <c r="I23" s="144">
        <f>IF(DATOS!$J$13="ºF",(H23-32)/1.8,"")</f>
        <v>-27.654320987654319</v>
      </c>
      <c r="J23" s="98">
        <f t="shared" ref="J23:J31" si="3">H8</f>
        <v>17.774777100027908</v>
      </c>
      <c r="K23" s="144">
        <f>IF(DATOS!$J$13="ºF",(9/5)*J23,"")</f>
        <v>31.994598780050236</v>
      </c>
      <c r="L23" s="135">
        <f>'punto 2'!I35</f>
        <v>3.5527781397503656E-2</v>
      </c>
      <c r="M23" s="144">
        <f>IF(DATOS!$J$13="ºF",(9/5)*L23,"")</f>
        <v>6.3950006515506586E-2</v>
      </c>
      <c r="O23" s="242">
        <f t="shared" ref="O23:O26" si="4">L23*2</f>
        <v>7.1055562795007313E-2</v>
      </c>
    </row>
    <row r="24" spans="2:15" x14ac:dyDescent="0.25">
      <c r="B24" s="88">
        <v>3</v>
      </c>
      <c r="C24" s="403">
        <f t="shared" si="0"/>
        <v>0</v>
      </c>
      <c r="D24" s="403"/>
      <c r="E24" s="408">
        <f t="shared" si="1"/>
        <v>-3.0006777498704303E-3</v>
      </c>
      <c r="F24" s="408"/>
      <c r="G24" s="146">
        <f>IF(DATOS!$J$13="ºF",((9/5)*E24)+32,"")</f>
        <v>31.994598780050232</v>
      </c>
      <c r="H24" s="136">
        <f t="shared" si="2"/>
        <v>-17.777777777777779</v>
      </c>
      <c r="I24" s="144">
        <f>IF(DATOS!$J$13="ºF",(H24-32)/1.8,"")</f>
        <v>-27.654320987654319</v>
      </c>
      <c r="J24" s="98">
        <f t="shared" si="3"/>
        <v>17.774777100027908</v>
      </c>
      <c r="K24" s="144">
        <f>IF(DATOS!$J$13="ºF",(9/5)*J24,"")</f>
        <v>31.994598780050236</v>
      </c>
      <c r="L24" s="135">
        <f>'punto 3'!I35</f>
        <v>3.5527781397503656E-2</v>
      </c>
      <c r="M24" s="144">
        <f>IF(DATOS!$J$13="ºF",(9/5)*L24,"")</f>
        <v>6.3950006515506586E-2</v>
      </c>
      <c r="O24" s="242">
        <f t="shared" si="4"/>
        <v>7.1055562795007313E-2</v>
      </c>
    </row>
    <row r="25" spans="2:15" x14ac:dyDescent="0.25">
      <c r="B25" s="88">
        <v>4</v>
      </c>
      <c r="C25" s="403" t="str">
        <f t="shared" si="0"/>
        <v xml:space="preserve"> </v>
      </c>
      <c r="D25" s="403"/>
      <c r="E25" s="408">
        <f t="shared" si="1"/>
        <v>-3.0006777498704303E-3</v>
      </c>
      <c r="F25" s="408"/>
      <c r="G25" s="146">
        <f>IF(DATOS!$J$13="ºF",((9/5)*E25)+32,"")</f>
        <v>31.994598780050232</v>
      </c>
      <c r="H25" s="136">
        <f t="shared" si="2"/>
        <v>-17.777777777777779</v>
      </c>
      <c r="I25" s="144">
        <f>IF(DATOS!$J$13="ºF",(H25-32)/1.8,"")</f>
        <v>-27.654320987654319</v>
      </c>
      <c r="J25" s="98">
        <f t="shared" si="3"/>
        <v>17.774777100027908</v>
      </c>
      <c r="K25" s="144">
        <f>IF(DATOS!$J$13="ºF",(9/5)*J25,"")</f>
        <v>31.994598780050236</v>
      </c>
      <c r="L25" s="135">
        <f>'punto 4'!I35</f>
        <v>3.5527781397503656E-2</v>
      </c>
      <c r="M25" s="144">
        <f>IF(DATOS!$J$13="ºF",(9/5)*L25,"")</f>
        <v>6.3950006515506586E-2</v>
      </c>
      <c r="O25" s="242">
        <f t="shared" si="4"/>
        <v>7.1055562795007313E-2</v>
      </c>
    </row>
    <row r="26" spans="2:15" x14ac:dyDescent="0.25">
      <c r="B26" s="88">
        <v>5</v>
      </c>
      <c r="C26" s="403">
        <f t="shared" si="0"/>
        <v>0</v>
      </c>
      <c r="D26" s="403"/>
      <c r="E26" s="408">
        <f t="shared" si="1"/>
        <v>-3.0006777498704303E-3</v>
      </c>
      <c r="F26" s="408"/>
      <c r="G26" s="146">
        <f>IF(DATOS!$J$13="ºF",((9/5)*E26)+32,"")</f>
        <v>31.994598780050232</v>
      </c>
      <c r="H26" s="136" t="e">
        <f t="shared" si="2"/>
        <v>#VALUE!</v>
      </c>
      <c r="I26" s="144" t="e">
        <f>IF(DATOS!$J$13="ºF",(H26-32)/1.8,"")</f>
        <v>#VALUE!</v>
      </c>
      <c r="J26" s="98" t="e">
        <f t="shared" si="3"/>
        <v>#VALUE!</v>
      </c>
      <c r="K26" s="144" t="e">
        <f>IF(DATOS!$J$13="ºF",(9/5)*J26,"")</f>
        <v>#VALUE!</v>
      </c>
      <c r="L26" s="135" t="e">
        <f>'punto 5'!I35</f>
        <v>#VALUE!</v>
      </c>
      <c r="M26" s="144" t="e">
        <f>IF(DATOS!$J$13="ºF",(9/5)*L26,"")</f>
        <v>#VALUE!</v>
      </c>
      <c r="O26" s="242" t="e">
        <f t="shared" si="4"/>
        <v>#VALUE!</v>
      </c>
    </row>
    <row r="27" spans="2:15" x14ac:dyDescent="0.25">
      <c r="B27" s="88">
        <v>6</v>
      </c>
      <c r="C27" s="403">
        <f t="shared" si="0"/>
        <v>0</v>
      </c>
      <c r="D27" s="403"/>
      <c r="E27" s="407">
        <f t="shared" si="1"/>
        <v>-3.0006777498704303E-3</v>
      </c>
      <c r="F27" s="407"/>
      <c r="G27" s="146">
        <f>IF(DATOS!$J$13="ºF",((9/5)*E27)+32,"")</f>
        <v>31.994598780050232</v>
      </c>
      <c r="H27" s="97">
        <f t="shared" si="2"/>
        <v>-17.777777777777779</v>
      </c>
      <c r="I27" s="144">
        <f>IF(DATOS!$J$13="ºF",(H27-32)/1.8,"")</f>
        <v>-27.654320987654319</v>
      </c>
      <c r="J27" s="98">
        <f t="shared" si="3"/>
        <v>17.774777100027908</v>
      </c>
      <c r="K27" s="144">
        <f>IF(DATOS!$J$13="ºF",(9/5)*J27,"")</f>
        <v>31.994598780050236</v>
      </c>
      <c r="L27" s="99">
        <f>'punto 6'!I35</f>
        <v>3.5527781397503656E-2</v>
      </c>
      <c r="M27" s="144">
        <f>IF(DATOS!$J$13="ºF",(9/5)*L27,"")</f>
        <v>6.3950006515506586E-2</v>
      </c>
    </row>
    <row r="28" spans="2:15" x14ac:dyDescent="0.25">
      <c r="B28" s="88">
        <v>7</v>
      </c>
      <c r="C28" s="403">
        <f t="shared" si="0"/>
        <v>0</v>
      </c>
      <c r="D28" s="403"/>
      <c r="E28" s="407">
        <f t="shared" si="1"/>
        <v>-3.0006777498704303E-3</v>
      </c>
      <c r="F28" s="407"/>
      <c r="G28" s="146">
        <f>IF(DATOS!$J$13="ºF",((9/5)*E28)+32,"")</f>
        <v>31.994598780050232</v>
      </c>
      <c r="H28" s="97">
        <f t="shared" si="2"/>
        <v>-17.777777777777779</v>
      </c>
      <c r="I28" s="144">
        <f>IF(DATOS!$J$13="ºF",(H28-32)/1.8,"")</f>
        <v>-27.654320987654319</v>
      </c>
      <c r="J28" s="98">
        <f t="shared" si="3"/>
        <v>17.774777100027908</v>
      </c>
      <c r="K28" s="144">
        <f>IF(DATOS!$J$13="ºF",(9/5)*J28,"")</f>
        <v>31.994598780050236</v>
      </c>
      <c r="L28" s="99">
        <f>'punto 7'!I35</f>
        <v>3.5527781397503656E-2</v>
      </c>
      <c r="M28" s="144">
        <f>IF(DATOS!$J$13="ºF",(9/5)*L28,"")</f>
        <v>6.3950006515506586E-2</v>
      </c>
    </row>
    <row r="29" spans="2:15" x14ac:dyDescent="0.25">
      <c r="B29" s="88">
        <v>8</v>
      </c>
      <c r="C29" s="403">
        <f t="shared" si="0"/>
        <v>0</v>
      </c>
      <c r="D29" s="403"/>
      <c r="E29" s="407">
        <f t="shared" si="1"/>
        <v>-3.0006777498704303E-3</v>
      </c>
      <c r="F29" s="407"/>
      <c r="G29" s="146">
        <f>IF(DATOS!$J$13="ºF",((9/5)*E29)+32,"")</f>
        <v>31.994598780050232</v>
      </c>
      <c r="H29" s="97">
        <f t="shared" si="2"/>
        <v>-17.777777777777779</v>
      </c>
      <c r="I29" s="144">
        <f>IF(DATOS!$J$13="ºF",(H29-32)/1.8,"")</f>
        <v>-27.654320987654319</v>
      </c>
      <c r="J29" s="98">
        <f t="shared" si="3"/>
        <v>17.774777100027908</v>
      </c>
      <c r="K29" s="144">
        <f>IF(DATOS!$J$13="ºF",(9/5)*J29,"")</f>
        <v>31.994598780050236</v>
      </c>
      <c r="L29" s="99">
        <f>'punto 8'!I35</f>
        <v>3.5527781397503656E-2</v>
      </c>
      <c r="M29" s="144">
        <f>IF(DATOS!$J$13="ºF",(9/5)*L29,"")</f>
        <v>6.3950006515506586E-2</v>
      </c>
    </row>
    <row r="30" spans="2:15" x14ac:dyDescent="0.25">
      <c r="B30" s="88">
        <v>9</v>
      </c>
      <c r="C30" s="403">
        <f t="shared" si="0"/>
        <v>0</v>
      </c>
      <c r="D30" s="403"/>
      <c r="E30" s="407">
        <f t="shared" si="1"/>
        <v>-3.0006777498704303E-3</v>
      </c>
      <c r="F30" s="407"/>
      <c r="G30" s="146">
        <f>IF(DATOS!$J$13="ºF",((9/5)*E30)+32,"")</f>
        <v>31.994598780050232</v>
      </c>
      <c r="H30" s="97">
        <f t="shared" si="2"/>
        <v>-17.777777777777779</v>
      </c>
      <c r="I30" s="144">
        <f>IF(DATOS!$J$13="ºF",(H30-32)/1.8,"")</f>
        <v>-27.654320987654319</v>
      </c>
      <c r="J30" s="98">
        <f t="shared" si="3"/>
        <v>17.774777100027908</v>
      </c>
      <c r="K30" s="144">
        <f>IF(DATOS!$J$13="ºF",(9/5)*J30,"")</f>
        <v>31.994598780050236</v>
      </c>
      <c r="L30" s="99">
        <f>'punto 9'!I35</f>
        <v>3.5527781397503656E-2</v>
      </c>
      <c r="M30" s="144">
        <f>IF(DATOS!$J$13="ºF",(9/5)*L30,"")</f>
        <v>6.3950006515506586E-2</v>
      </c>
    </row>
    <row r="31" spans="2:15" x14ac:dyDescent="0.25">
      <c r="B31" s="88">
        <v>10</v>
      </c>
      <c r="C31" s="403">
        <f t="shared" si="0"/>
        <v>0</v>
      </c>
      <c r="D31" s="403"/>
      <c r="E31" s="407">
        <f t="shared" si="1"/>
        <v>-3.0006777498704303E-3</v>
      </c>
      <c r="F31" s="407"/>
      <c r="G31" s="146">
        <f>IF(DATOS!$J$13="ºF",((9/5)*E31)+32,"")</f>
        <v>31.994598780050232</v>
      </c>
      <c r="H31" s="97">
        <f t="shared" si="2"/>
        <v>-17.777777777777779</v>
      </c>
      <c r="I31" s="144">
        <f>IF(DATOS!$J$13="ºF",(H31-32)/1.8,"")</f>
        <v>-27.654320987654319</v>
      </c>
      <c r="J31" s="98">
        <f t="shared" si="3"/>
        <v>17.774777100027908</v>
      </c>
      <c r="K31" s="144">
        <f>IF(DATOS!$J$13="ºF",(9/5)*J31,"")</f>
        <v>31.994598780050236</v>
      </c>
      <c r="L31" s="99">
        <f>'punto 10'!I35</f>
        <v>3.5527781397503656E-2</v>
      </c>
      <c r="M31" s="144">
        <f>IF(DATOS!$J$13="ºF",(9/5)*L31,"")</f>
        <v>6.3950006515506586E-2</v>
      </c>
    </row>
    <row r="32" spans="2:15" x14ac:dyDescent="0.25">
      <c r="C32" s="404"/>
      <c r="D32" s="404"/>
    </row>
  </sheetData>
  <sheetProtection algorithmName="SHA-512" hashValue="BCuu4TnyRBGF299ia6ex1A3ajsfRSdEKiXfJu34kIrtjJQIn69EHhVFh1SWa3jAzmci6WHEa+mWzFBjbjbLHdA==" saltValue="C0+xIigIDIthkmiLyMB2pA==" spinCount="100000" sheet="1" objects="1" scenarios="1"/>
  <mergeCells count="32">
    <mergeCell ref="B5:B6"/>
    <mergeCell ref="C5:C6"/>
    <mergeCell ref="C19:D19"/>
    <mergeCell ref="E19:F19"/>
    <mergeCell ref="C20:D20"/>
    <mergeCell ref="E20:G20"/>
    <mergeCell ref="J20:K20"/>
    <mergeCell ref="L20:M20"/>
    <mergeCell ref="C21:D21"/>
    <mergeCell ref="C22:D22"/>
    <mergeCell ref="E22:F22"/>
    <mergeCell ref="C24:D24"/>
    <mergeCell ref="E24:F24"/>
    <mergeCell ref="C25:D25"/>
    <mergeCell ref="E25:F25"/>
    <mergeCell ref="H20:I20"/>
    <mergeCell ref="C30:D30"/>
    <mergeCell ref="C31:D31"/>
    <mergeCell ref="C32:D32"/>
    <mergeCell ref="C29:D29"/>
    <mergeCell ref="E21:F21"/>
    <mergeCell ref="E29:F29"/>
    <mergeCell ref="E30:F30"/>
    <mergeCell ref="E31:F31"/>
    <mergeCell ref="C26:D26"/>
    <mergeCell ref="E26:F26"/>
    <mergeCell ref="C27:D27"/>
    <mergeCell ref="E27:F27"/>
    <mergeCell ref="C28:D28"/>
    <mergeCell ref="E28:F28"/>
    <mergeCell ref="C23:D23"/>
    <mergeCell ref="E23:F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I3"/>
  <sheetViews>
    <sheetView workbookViewId="0">
      <selection activeCell="E3" sqref="E3"/>
    </sheetView>
  </sheetViews>
  <sheetFormatPr baseColWidth="10" defaultColWidth="11.44140625" defaultRowHeight="14.4" x14ac:dyDescent="0.3"/>
  <cols>
    <col min="2" max="2" width="30.109375" customWidth="1"/>
    <col min="3" max="3" width="22.6640625" customWidth="1"/>
    <col min="4" max="4" width="23" customWidth="1"/>
    <col min="5" max="5" width="22.88671875" customWidth="1"/>
  </cols>
  <sheetData>
    <row r="2" spans="2:9" x14ac:dyDescent="0.3">
      <c r="B2" s="282" t="s">
        <v>840</v>
      </c>
      <c r="C2" s="282" t="s">
        <v>853</v>
      </c>
      <c r="D2" s="282" t="s">
        <v>854</v>
      </c>
      <c r="E2" s="282" t="s">
        <v>855</v>
      </c>
      <c r="F2" s="24"/>
      <c r="G2" s="24"/>
      <c r="H2" s="24"/>
      <c r="I2" s="24"/>
    </row>
    <row r="3" spans="2:9" x14ac:dyDescent="0.3">
      <c r="B3" s="286" t="str">
        <f>DATOS!I8</f>
        <v>Termómetro de Liquido en Vidrio</v>
      </c>
      <c r="C3" s="284" t="str">
        <f>DATOS!I20</f>
        <v>2022-XX-YY</v>
      </c>
      <c r="D3" s="283">
        <f>DATOS!I12</f>
        <v>514232</v>
      </c>
      <c r="E3" s="283" t="str">
        <f>DATOS!I15</f>
        <v>NI-MC-T-XXX-2022</v>
      </c>
      <c r="F3" s="285"/>
      <c r="G3" s="24"/>
      <c r="H3" s="24"/>
      <c r="I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8:Z106"/>
  <sheetViews>
    <sheetView view="pageLayout" topLeftCell="A22" zoomScaleNormal="40" zoomScaleSheetLayoutView="100" workbookViewId="0">
      <selection activeCell="R33" sqref="R33:X33"/>
    </sheetView>
  </sheetViews>
  <sheetFormatPr baseColWidth="10" defaultColWidth="11.44140625" defaultRowHeight="14.4" x14ac:dyDescent="0.3"/>
  <cols>
    <col min="1" max="1" width="3.6640625" customWidth="1"/>
    <col min="2" max="2" width="3.109375" customWidth="1"/>
    <col min="3" max="3" width="0.109375" hidden="1" customWidth="1"/>
    <col min="4" max="4" width="12.33203125" customWidth="1"/>
    <col min="5" max="5" width="4.33203125" customWidth="1"/>
    <col min="6" max="6" width="3.6640625" customWidth="1"/>
    <col min="7" max="7" width="4.88671875" customWidth="1"/>
    <col min="8" max="9" width="3" customWidth="1"/>
    <col min="10" max="10" width="2.6640625" customWidth="1"/>
    <col min="11" max="11" width="3" customWidth="1"/>
    <col min="12" max="12" width="4.109375" customWidth="1"/>
    <col min="13" max="13" width="4.33203125" customWidth="1"/>
    <col min="14" max="15" width="2.33203125" customWidth="1"/>
    <col min="16" max="16" width="3.33203125" customWidth="1"/>
    <col min="17" max="17" width="3.44140625" customWidth="1"/>
    <col min="18" max="18" width="4" customWidth="1"/>
    <col min="19" max="20" width="2.5546875" customWidth="1"/>
    <col min="21" max="21" width="2.33203125" customWidth="1"/>
    <col min="22" max="22" width="4.5546875" customWidth="1"/>
    <col min="23" max="23" width="2.44140625" customWidth="1"/>
    <col min="24" max="24" width="4.109375" customWidth="1"/>
    <col min="25" max="25" width="6.109375" customWidth="1"/>
  </cols>
  <sheetData>
    <row r="8" spans="1:25" x14ac:dyDescent="0.3">
      <c r="A8" s="245" t="s">
        <v>219</v>
      </c>
      <c r="B8" s="246"/>
      <c r="C8" s="247"/>
      <c r="E8" s="247"/>
      <c r="F8" s="247"/>
      <c r="G8" s="152"/>
      <c r="H8" s="152"/>
      <c r="I8" s="152"/>
      <c r="J8" s="152"/>
      <c r="K8" s="152"/>
      <c r="L8" s="158"/>
      <c r="M8" s="158"/>
      <c r="N8" s="393" t="str">
        <f>DATOS!I15</f>
        <v>NI-MC-T-XXX-2022</v>
      </c>
      <c r="O8" s="393"/>
      <c r="P8" s="393"/>
      <c r="Q8" s="393"/>
      <c r="R8" s="393"/>
      <c r="S8" s="393"/>
      <c r="T8" s="393"/>
      <c r="U8" s="393"/>
      <c r="V8" s="393"/>
      <c r="W8" s="393"/>
      <c r="X8" s="393"/>
      <c r="Y8" s="393"/>
    </row>
    <row r="9" spans="1:25" x14ac:dyDescent="0.3">
      <c r="A9" s="245" t="s">
        <v>220</v>
      </c>
      <c r="B9" s="246"/>
      <c r="C9" s="247"/>
      <c r="E9" s="247"/>
      <c r="F9" s="247"/>
      <c r="G9" s="152"/>
      <c r="H9" s="152"/>
      <c r="I9" s="152"/>
      <c r="J9" s="152"/>
      <c r="K9" s="152"/>
      <c r="L9" s="158"/>
      <c r="M9" s="158"/>
      <c r="N9" s="416" t="str">
        <f>DATOS!I16</f>
        <v>NI-CS-XXXX-XX</v>
      </c>
      <c r="O9" s="416"/>
      <c r="P9" s="416"/>
      <c r="Q9" s="416"/>
      <c r="R9" s="416"/>
      <c r="S9" s="416"/>
      <c r="T9" s="416"/>
      <c r="U9" s="416"/>
      <c r="V9" s="416"/>
      <c r="W9" s="416"/>
      <c r="X9" s="416"/>
      <c r="Y9" s="416"/>
    </row>
    <row r="10" spans="1:25" x14ac:dyDescent="0.3">
      <c r="A10" s="245" t="s">
        <v>221</v>
      </c>
      <c r="B10" s="246"/>
      <c r="C10" s="246"/>
      <c r="E10" s="246"/>
      <c r="F10" s="246"/>
      <c r="G10" s="152"/>
      <c r="H10" s="152"/>
      <c r="I10" s="152"/>
      <c r="J10" s="152"/>
      <c r="K10" s="152"/>
      <c r="L10" s="248"/>
      <c r="M10" s="158"/>
      <c r="N10" s="417" t="str">
        <f>DATOS!I20</f>
        <v>2022-XX-YY</v>
      </c>
      <c r="O10" s="417"/>
      <c r="P10" s="417"/>
      <c r="Q10" s="417"/>
      <c r="R10" s="417"/>
      <c r="S10" s="417"/>
      <c r="T10" s="417"/>
      <c r="U10" s="417"/>
      <c r="V10" s="417"/>
      <c r="W10" s="417"/>
      <c r="X10" s="417"/>
      <c r="Y10" s="417"/>
    </row>
    <row r="11" spans="1:25" x14ac:dyDescent="0.3">
      <c r="A11" s="245" t="s">
        <v>222</v>
      </c>
      <c r="B11" s="246"/>
      <c r="C11" s="246"/>
      <c r="E11" s="246"/>
      <c r="F11" s="246"/>
      <c r="G11" s="152"/>
      <c r="H11" s="152"/>
      <c r="I11" s="152"/>
      <c r="J11" s="152"/>
      <c r="K11" s="152"/>
      <c r="L11" s="248"/>
      <c r="M11" s="158"/>
      <c r="N11" s="417">
        <f ca="1">NOW()</f>
        <v>45448.77144178241</v>
      </c>
      <c r="O11" s="417"/>
      <c r="P11" s="417"/>
      <c r="Q11" s="417"/>
      <c r="R11" s="417"/>
      <c r="S11" s="249"/>
      <c r="T11" s="249"/>
      <c r="U11" s="249"/>
      <c r="V11" s="249"/>
      <c r="W11" s="249"/>
      <c r="X11" s="249"/>
      <c r="Y11" s="249"/>
    </row>
    <row r="12" spans="1:25" x14ac:dyDescent="0.3">
      <c r="A12" s="245" t="s">
        <v>223</v>
      </c>
      <c r="B12" s="246"/>
      <c r="C12" s="246"/>
      <c r="E12" s="246"/>
      <c r="F12" s="246"/>
      <c r="G12" s="152"/>
      <c r="H12" s="152"/>
      <c r="I12" s="152"/>
      <c r="J12" s="152"/>
      <c r="K12" s="152"/>
      <c r="L12" s="158"/>
      <c r="M12" s="158"/>
      <c r="N12" s="418" t="str">
        <f>DATOS!I8</f>
        <v>Termómetro de Liquido en Vidrio</v>
      </c>
      <c r="O12" s="416"/>
      <c r="P12" s="416"/>
      <c r="Q12" s="416"/>
      <c r="R12" s="416"/>
      <c r="S12" s="416"/>
      <c r="T12" s="416"/>
      <c r="U12" s="416"/>
      <c r="V12" s="416"/>
      <c r="W12" s="416"/>
      <c r="X12" s="416"/>
      <c r="Y12" s="416"/>
    </row>
    <row r="13" spans="1:25" x14ac:dyDescent="0.3">
      <c r="A13" s="245" t="s">
        <v>224</v>
      </c>
      <c r="B13" s="246"/>
      <c r="C13" s="246"/>
      <c r="E13" s="246"/>
      <c r="F13" s="246"/>
      <c r="G13" s="152"/>
      <c r="H13" s="152"/>
      <c r="I13" s="152"/>
      <c r="J13" s="152"/>
      <c r="K13" s="152"/>
      <c r="L13" s="158"/>
      <c r="M13" s="158"/>
      <c r="N13" s="416" t="str">
        <f>DATOS!I9</f>
        <v>SLW</v>
      </c>
      <c r="O13" s="416"/>
      <c r="P13" s="416"/>
      <c r="Q13" s="416"/>
      <c r="R13" s="416"/>
      <c r="S13" s="416"/>
      <c r="T13" s="416"/>
      <c r="U13" s="416"/>
      <c r="V13" s="416"/>
      <c r="W13" s="416"/>
      <c r="X13" s="416"/>
      <c r="Y13" s="416"/>
    </row>
    <row r="14" spans="1:25" x14ac:dyDescent="0.3">
      <c r="A14" s="245" t="s">
        <v>130</v>
      </c>
      <c r="B14" s="246"/>
      <c r="C14" s="246"/>
      <c r="E14" s="246"/>
      <c r="F14" s="246"/>
      <c r="G14" s="152"/>
      <c r="H14" s="152"/>
      <c r="I14" s="152"/>
      <c r="J14" s="152"/>
      <c r="K14" s="152"/>
      <c r="L14" s="158"/>
      <c r="M14" s="158"/>
      <c r="N14" s="416">
        <f>DATOS!I10</f>
        <v>4562123</v>
      </c>
      <c r="O14" s="416"/>
      <c r="P14" s="416"/>
      <c r="Q14" s="416"/>
      <c r="R14" s="416"/>
      <c r="S14" s="416"/>
      <c r="T14" s="416"/>
      <c r="U14" s="416"/>
      <c r="V14" s="416"/>
      <c r="W14" s="416"/>
      <c r="X14" s="416"/>
      <c r="Y14" s="416"/>
    </row>
    <row r="15" spans="1:25" x14ac:dyDescent="0.3">
      <c r="A15" s="245" t="s">
        <v>179</v>
      </c>
      <c r="B15" s="246"/>
      <c r="C15" s="246"/>
      <c r="E15" s="246"/>
      <c r="F15" s="246"/>
      <c r="G15" s="152"/>
      <c r="H15" s="152"/>
      <c r="I15" s="152"/>
      <c r="J15" s="152"/>
      <c r="K15" s="152"/>
      <c r="L15" s="158"/>
      <c r="M15" s="158"/>
      <c r="N15" s="416">
        <f>DATOS!I21</f>
        <v>562354</v>
      </c>
      <c r="O15" s="416"/>
      <c r="P15" s="416"/>
      <c r="Q15" s="416"/>
      <c r="R15" s="416"/>
      <c r="S15" s="416"/>
      <c r="T15" s="416"/>
      <c r="U15" s="416"/>
      <c r="V15" s="416"/>
      <c r="W15" s="416"/>
      <c r="X15" s="416"/>
      <c r="Y15" s="416"/>
    </row>
    <row r="16" spans="1:25" x14ac:dyDescent="0.3">
      <c r="A16" s="245" t="s">
        <v>225</v>
      </c>
      <c r="B16" s="246"/>
      <c r="C16" s="246"/>
      <c r="E16" s="246"/>
      <c r="F16" s="246"/>
      <c r="G16" s="152"/>
      <c r="H16" s="152"/>
      <c r="I16" s="152"/>
      <c r="J16" s="152"/>
      <c r="K16" s="152"/>
      <c r="L16" s="158"/>
      <c r="M16" s="158"/>
      <c r="N16" s="276" t="s">
        <v>271</v>
      </c>
      <c r="O16" s="436" t="str">
        <f>DATOS!I13</f>
        <v>30 a 90</v>
      </c>
      <c r="P16" s="437"/>
      <c r="Q16" s="437"/>
      <c r="R16" s="437"/>
      <c r="S16" s="276" t="s">
        <v>272</v>
      </c>
      <c r="T16" s="276" t="s">
        <v>36</v>
      </c>
      <c r="U16" s="276"/>
      <c r="V16" s="276"/>
      <c r="W16" s="276"/>
      <c r="X16" s="276"/>
      <c r="Y16" s="276"/>
    </row>
    <row r="17" spans="1:25" x14ac:dyDescent="0.3">
      <c r="A17" s="245" t="s">
        <v>226</v>
      </c>
      <c r="B17" s="246"/>
      <c r="C17" s="246"/>
      <c r="E17" s="246"/>
      <c r="F17" s="246"/>
      <c r="G17" s="152"/>
      <c r="H17" s="152"/>
      <c r="I17" s="152"/>
      <c r="J17" s="152"/>
      <c r="K17" s="152"/>
      <c r="L17" s="158"/>
      <c r="M17" s="158"/>
      <c r="N17" s="437">
        <f>DATOS!I14</f>
        <v>0.2</v>
      </c>
      <c r="O17" s="437"/>
      <c r="P17" s="437"/>
      <c r="Q17" s="276" t="s">
        <v>36</v>
      </c>
      <c r="R17" s="158"/>
      <c r="S17" s="158"/>
      <c r="T17" s="158"/>
      <c r="U17" s="158"/>
      <c r="V17" s="158"/>
      <c r="W17" s="158"/>
      <c r="X17" s="158"/>
      <c r="Y17" s="158"/>
    </row>
    <row r="18" spans="1:25" x14ac:dyDescent="0.3">
      <c r="A18" s="245" t="s">
        <v>227</v>
      </c>
      <c r="B18" s="246"/>
      <c r="C18" s="246"/>
      <c r="E18" s="246"/>
      <c r="F18" s="246"/>
      <c r="G18" s="152"/>
      <c r="H18" s="152"/>
      <c r="I18" s="152"/>
      <c r="J18" s="152"/>
      <c r="K18" s="152"/>
      <c r="L18" s="158"/>
      <c r="M18" s="158"/>
      <c r="N18" s="416">
        <f>DATOS!I12</f>
        <v>514232</v>
      </c>
      <c r="O18" s="416"/>
      <c r="P18" s="416"/>
      <c r="Q18" s="416"/>
      <c r="R18" s="416"/>
      <c r="S18" s="416"/>
      <c r="T18" s="416"/>
      <c r="U18" s="416"/>
      <c r="V18" s="416"/>
      <c r="W18" s="416"/>
      <c r="X18" s="416"/>
      <c r="Y18" s="416"/>
    </row>
    <row r="19" spans="1:25" x14ac:dyDescent="0.3">
      <c r="A19" s="245" t="s">
        <v>228</v>
      </c>
      <c r="B19" s="246"/>
      <c r="C19" s="246"/>
      <c r="E19" s="246"/>
      <c r="F19" s="246"/>
      <c r="G19" s="152"/>
      <c r="H19" s="152"/>
      <c r="I19" s="152"/>
      <c r="J19" s="152"/>
      <c r="K19" s="152"/>
      <c r="L19" s="158"/>
      <c r="M19" s="158"/>
      <c r="N19" s="416" t="str">
        <f>DATOS!C6</f>
        <v>AVICASA</v>
      </c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416"/>
    </row>
    <row r="20" spans="1:25" x14ac:dyDescent="0.3">
      <c r="A20" s="250" t="s">
        <v>229</v>
      </c>
      <c r="B20" s="246"/>
      <c r="C20" s="246"/>
      <c r="E20" s="246"/>
      <c r="F20" s="246"/>
      <c r="G20" s="152"/>
      <c r="H20" s="152"/>
      <c r="I20" s="152"/>
      <c r="J20" s="152"/>
      <c r="K20" s="152"/>
      <c r="L20" s="158"/>
      <c r="M20" s="158"/>
      <c r="N20" s="416" t="str">
        <f>DATOS!G6</f>
        <v>km 27,5 Carretera Vieja Tipiptapa - San Benito</v>
      </c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</row>
    <row r="21" spans="1:25" ht="17.25" customHeight="1" x14ac:dyDescent="0.3">
      <c r="A21" s="245" t="s">
        <v>230</v>
      </c>
      <c r="C21" s="246"/>
      <c r="D21" s="246"/>
      <c r="E21" s="246"/>
      <c r="F21" s="246"/>
      <c r="G21" s="152"/>
      <c r="H21" s="152"/>
      <c r="I21" s="152"/>
      <c r="J21" s="152"/>
      <c r="K21" s="152"/>
      <c r="L21" s="251"/>
      <c r="M21" s="158"/>
      <c r="N21" s="438" t="str">
        <f>DATOS!I19</f>
        <v>Lab#1 - Metrocal</v>
      </c>
      <c r="O21" s="438"/>
      <c r="P21" s="438"/>
      <c r="Q21" s="438"/>
      <c r="R21" s="438"/>
      <c r="S21" s="438"/>
      <c r="T21" s="438"/>
      <c r="U21" s="438"/>
      <c r="V21" s="438"/>
      <c r="W21" s="438"/>
      <c r="X21" s="438"/>
      <c r="Y21" s="438"/>
    </row>
    <row r="22" spans="1:25" x14ac:dyDescent="0.3">
      <c r="A22" s="245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</row>
    <row r="23" spans="1:25" x14ac:dyDescent="0.3">
      <c r="A23" s="245" t="s">
        <v>231</v>
      </c>
      <c r="C23" s="246"/>
      <c r="D23" s="246"/>
      <c r="E23" s="246"/>
      <c r="F23" s="246"/>
    </row>
    <row r="24" spans="1:25" x14ac:dyDescent="0.3">
      <c r="A24" s="245"/>
      <c r="C24" s="246"/>
      <c r="D24" s="246"/>
      <c r="E24" s="246"/>
      <c r="F24" s="246"/>
    </row>
    <row r="25" spans="1:25" x14ac:dyDescent="0.3">
      <c r="A25" s="158"/>
      <c r="B25" s="158"/>
      <c r="C25" s="158"/>
      <c r="D25" s="419" t="s">
        <v>232</v>
      </c>
      <c r="E25" s="419"/>
      <c r="F25" s="419"/>
      <c r="G25" s="419"/>
      <c r="H25" s="419"/>
      <c r="I25" s="419"/>
      <c r="J25" s="419"/>
      <c r="K25" s="419"/>
      <c r="L25" s="419"/>
      <c r="M25" s="419"/>
      <c r="N25" s="419"/>
      <c r="O25" s="419"/>
      <c r="P25" s="419"/>
      <c r="Q25" s="419"/>
      <c r="R25" s="419"/>
      <c r="S25" s="419"/>
      <c r="T25" s="419"/>
      <c r="U25" s="419"/>
      <c r="V25" s="419"/>
      <c r="W25" s="419"/>
      <c r="X25" s="419"/>
    </row>
    <row r="26" spans="1:25" ht="15" customHeight="1" x14ac:dyDescent="0.3">
      <c r="A26" s="158"/>
      <c r="B26" s="158"/>
      <c r="C26" s="158"/>
      <c r="D26" s="420" t="s">
        <v>233</v>
      </c>
      <c r="E26" s="420"/>
      <c r="F26" s="421" t="s">
        <v>234</v>
      </c>
      <c r="G26" s="422"/>
      <c r="H26" s="422"/>
      <c r="I26" s="422"/>
      <c r="J26" s="422"/>
      <c r="K26" s="423"/>
      <c r="L26" s="427" t="s">
        <v>90</v>
      </c>
      <c r="M26" s="427"/>
      <c r="N26" s="427"/>
      <c r="O26" s="427"/>
      <c r="P26" s="427"/>
      <c r="Q26" s="427"/>
      <c r="R26" s="420" t="s">
        <v>235</v>
      </c>
      <c r="S26" s="420"/>
      <c r="T26" s="420"/>
      <c r="U26" s="420"/>
      <c r="V26" s="420"/>
      <c r="W26" s="420"/>
      <c r="X26" s="420"/>
    </row>
    <row r="27" spans="1:25" ht="14.25" customHeight="1" x14ac:dyDescent="0.3">
      <c r="A27" s="158"/>
      <c r="B27" s="158"/>
      <c r="C27" s="158"/>
      <c r="D27" s="420"/>
      <c r="E27" s="420"/>
      <c r="F27" s="424"/>
      <c r="G27" s="425"/>
      <c r="H27" s="425"/>
      <c r="I27" s="425"/>
      <c r="J27" s="425"/>
      <c r="K27" s="426"/>
      <c r="L27" s="427"/>
      <c r="M27" s="427"/>
      <c r="N27" s="427"/>
      <c r="O27" s="427"/>
      <c r="P27" s="427"/>
      <c r="Q27" s="427"/>
      <c r="R27" s="420"/>
      <c r="S27" s="420"/>
      <c r="T27" s="420"/>
      <c r="U27" s="420"/>
      <c r="V27" s="420"/>
      <c r="W27" s="420"/>
      <c r="X27" s="420"/>
    </row>
    <row r="28" spans="1:25" x14ac:dyDescent="0.3">
      <c r="A28" s="158"/>
      <c r="B28" s="158"/>
      <c r="C28" s="158"/>
      <c r="D28" s="428" t="str">
        <f>[2]Calibración!C31</f>
        <v>°C</v>
      </c>
      <c r="E28" s="428"/>
      <c r="F28" s="429" t="str">
        <f>[2]Calibración!D31</f>
        <v>°C</v>
      </c>
      <c r="G28" s="430"/>
      <c r="H28" s="430"/>
      <c r="I28" s="430"/>
      <c r="J28" s="430"/>
      <c r="K28" s="431"/>
      <c r="L28" s="428" t="str">
        <f>[2]Calibración!E31</f>
        <v>°C</v>
      </c>
      <c r="M28" s="428"/>
      <c r="N28" s="428"/>
      <c r="O28" s="428"/>
      <c r="P28" s="428"/>
      <c r="Q28" s="428"/>
      <c r="R28" s="428" t="str">
        <f>[2]Calibración!F31</f>
        <v>°C</v>
      </c>
      <c r="S28" s="428"/>
      <c r="T28" s="428"/>
      <c r="U28" s="428"/>
      <c r="V28" s="428"/>
      <c r="W28" s="428"/>
      <c r="X28" s="428"/>
    </row>
    <row r="29" spans="1:25" x14ac:dyDescent="0.3">
      <c r="A29" s="158"/>
      <c r="B29" s="158"/>
      <c r="C29" s="158"/>
      <c r="D29" s="432">
        <f>RESULTADOS!E22</f>
        <v>-3.0006777498704303E-3</v>
      </c>
      <c r="E29" s="432"/>
      <c r="F29" s="432">
        <f>RESULTADOS!H22</f>
        <v>-17.777777777777779</v>
      </c>
      <c r="G29" s="432"/>
      <c r="H29" s="432"/>
      <c r="I29" s="432"/>
      <c r="J29" s="432"/>
      <c r="K29" s="432"/>
      <c r="L29" s="432">
        <f>RESULTADOS!J22</f>
        <v>17.774777100027908</v>
      </c>
      <c r="M29" s="432"/>
      <c r="N29" s="432"/>
      <c r="O29" s="432"/>
      <c r="P29" s="432"/>
      <c r="Q29" s="432"/>
      <c r="R29" s="432">
        <f>RESULTADOS!L22*'punto 1'!I37</f>
        <v>7.1055562795007313E-2</v>
      </c>
      <c r="S29" s="432"/>
      <c r="T29" s="432"/>
      <c r="U29" s="432"/>
      <c r="V29" s="432"/>
      <c r="W29" s="432"/>
      <c r="X29" s="432"/>
    </row>
    <row r="30" spans="1:25" x14ac:dyDescent="0.3">
      <c r="A30" s="158"/>
      <c r="B30" s="158"/>
      <c r="C30" s="158"/>
      <c r="D30" s="432">
        <f>RESULTADOS!E23</f>
        <v>-3.0006777498704303E-3</v>
      </c>
      <c r="E30" s="432"/>
      <c r="F30" s="432">
        <f>RESULTADOS!H23</f>
        <v>-17.777777777777779</v>
      </c>
      <c r="G30" s="432"/>
      <c r="H30" s="432"/>
      <c r="I30" s="432"/>
      <c r="J30" s="432"/>
      <c r="K30" s="432"/>
      <c r="L30" s="432">
        <f>RESULTADOS!J23</f>
        <v>17.774777100027908</v>
      </c>
      <c r="M30" s="432"/>
      <c r="N30" s="432"/>
      <c r="O30" s="432"/>
      <c r="P30" s="432"/>
      <c r="Q30" s="432"/>
      <c r="R30" s="432">
        <f>RESULTADOS!L23*'punto 2'!I37</f>
        <v>7.1055562795007313E-2</v>
      </c>
      <c r="S30" s="432"/>
      <c r="T30" s="432"/>
      <c r="U30" s="432"/>
      <c r="V30" s="432"/>
      <c r="W30" s="432"/>
      <c r="X30" s="432"/>
    </row>
    <row r="31" spans="1:25" x14ac:dyDescent="0.3">
      <c r="A31" s="158"/>
      <c r="B31" s="158"/>
      <c r="C31" s="158"/>
      <c r="D31" s="432">
        <f>RESULTADOS!E24</f>
        <v>-3.0006777498704303E-3</v>
      </c>
      <c r="E31" s="432"/>
      <c r="F31" s="432">
        <f>RESULTADOS!H24</f>
        <v>-17.777777777777779</v>
      </c>
      <c r="G31" s="432"/>
      <c r="H31" s="432"/>
      <c r="I31" s="432"/>
      <c r="J31" s="432"/>
      <c r="K31" s="432"/>
      <c r="L31" s="432">
        <f>RESULTADOS!J24</f>
        <v>17.774777100027908</v>
      </c>
      <c r="M31" s="432"/>
      <c r="N31" s="432"/>
      <c r="O31" s="432"/>
      <c r="P31" s="432"/>
      <c r="Q31" s="432"/>
      <c r="R31" s="432">
        <f>RESULTADOS!L24*'punto 3'!I37</f>
        <v>7.1055562795007313E-2</v>
      </c>
      <c r="S31" s="432"/>
      <c r="T31" s="432"/>
      <c r="U31" s="432"/>
      <c r="V31" s="432"/>
      <c r="W31" s="432"/>
      <c r="X31" s="432"/>
    </row>
    <row r="32" spans="1:25" x14ac:dyDescent="0.3">
      <c r="D32" s="432">
        <f>RESULTADOS!E25</f>
        <v>-3.0006777498704303E-3</v>
      </c>
      <c r="E32" s="432"/>
      <c r="F32" s="432">
        <f>RESULTADOS!H25</f>
        <v>-17.777777777777779</v>
      </c>
      <c r="G32" s="432"/>
      <c r="H32" s="432"/>
      <c r="I32" s="432"/>
      <c r="J32" s="432"/>
      <c r="K32" s="432"/>
      <c r="L32" s="432">
        <f>RESULTADOS!J25</f>
        <v>17.774777100027908</v>
      </c>
      <c r="M32" s="432"/>
      <c r="N32" s="432"/>
      <c r="O32" s="432"/>
      <c r="P32" s="432"/>
      <c r="Q32" s="432"/>
      <c r="R32" s="432">
        <f>RESULTADOS!L25*'punto 4'!I37</f>
        <v>7.1055562795007313E-2</v>
      </c>
      <c r="S32" s="432"/>
      <c r="T32" s="432"/>
      <c r="U32" s="432"/>
      <c r="V32" s="432"/>
      <c r="W32" s="432"/>
      <c r="X32" s="432"/>
    </row>
    <row r="33" spans="1:24" x14ac:dyDescent="0.3">
      <c r="D33" s="432">
        <f>RESULTADOS!E26</f>
        <v>-3.0006777498704303E-3</v>
      </c>
      <c r="E33" s="432"/>
      <c r="F33" s="432" t="e">
        <f>RESULTADOS!H26</f>
        <v>#VALUE!</v>
      </c>
      <c r="G33" s="432"/>
      <c r="H33" s="432"/>
      <c r="I33" s="432"/>
      <c r="J33" s="432"/>
      <c r="K33" s="432"/>
      <c r="L33" s="432" t="e">
        <f>RESULTADOS!J26</f>
        <v>#VALUE!</v>
      </c>
      <c r="M33" s="432"/>
      <c r="N33" s="432"/>
      <c r="O33" s="432"/>
      <c r="P33" s="432"/>
      <c r="Q33" s="432"/>
      <c r="R33" s="432" t="e">
        <f>RESULTADOS!L26*'punto 5'!I37</f>
        <v>#VALUE!</v>
      </c>
      <c r="S33" s="432"/>
      <c r="T33" s="432"/>
      <c r="U33" s="432"/>
      <c r="V33" s="432"/>
      <c r="W33" s="432"/>
      <c r="X33" s="432"/>
    </row>
    <row r="34" spans="1:24" ht="14.4" hidden="1" customHeight="1" x14ac:dyDescent="0.3">
      <c r="D34" s="432">
        <f>RESULTADOS!E27</f>
        <v>-3.0006777498704303E-3</v>
      </c>
      <c r="E34" s="432"/>
      <c r="F34" s="432">
        <f>RESULTADOS!H27</f>
        <v>-17.777777777777779</v>
      </c>
      <c r="G34" s="432"/>
      <c r="H34" s="432"/>
      <c r="I34" s="432"/>
      <c r="J34" s="432"/>
      <c r="K34" s="432"/>
      <c r="L34" s="432">
        <f>RESULTADOS!J27</f>
        <v>17.774777100027908</v>
      </c>
      <c r="M34" s="432"/>
      <c r="N34" s="432"/>
      <c r="O34" s="432"/>
      <c r="P34" s="432"/>
      <c r="Q34" s="432"/>
      <c r="R34" s="432">
        <f>RESULTADOS!L27*'punto 5'!I38</f>
        <v>0</v>
      </c>
      <c r="S34" s="432"/>
      <c r="T34" s="432"/>
      <c r="U34" s="432"/>
      <c r="V34" s="432"/>
      <c r="W34" s="432"/>
      <c r="X34" s="432"/>
    </row>
    <row r="35" spans="1:24" ht="14.4" hidden="1" customHeight="1" x14ac:dyDescent="0.3">
      <c r="D35" s="432">
        <f>RESULTADOS!E28</f>
        <v>-3.0006777498704303E-3</v>
      </c>
      <c r="E35" s="432"/>
      <c r="F35" s="432">
        <f>RESULTADOS!H28</f>
        <v>-17.777777777777779</v>
      </c>
      <c r="G35" s="432"/>
      <c r="H35" s="432"/>
      <c r="I35" s="432"/>
      <c r="J35" s="432"/>
      <c r="K35" s="432"/>
      <c r="L35" s="432">
        <f>RESULTADOS!J28</f>
        <v>17.774777100027908</v>
      </c>
      <c r="M35" s="432"/>
      <c r="N35" s="432"/>
      <c r="O35" s="432"/>
      <c r="P35" s="432"/>
      <c r="Q35" s="432"/>
      <c r="R35" s="432">
        <f>RESULTADOS!L28*'punto 5'!I39</f>
        <v>0</v>
      </c>
      <c r="S35" s="432"/>
      <c r="T35" s="432"/>
      <c r="U35" s="432"/>
      <c r="V35" s="432"/>
      <c r="W35" s="432"/>
      <c r="X35" s="432"/>
    </row>
    <row r="36" spans="1:24" ht="14.4" hidden="1" customHeight="1" x14ac:dyDescent="0.3">
      <c r="D36" s="432">
        <f>RESULTADOS!E29</f>
        <v>-3.0006777498704303E-3</v>
      </c>
      <c r="E36" s="432"/>
      <c r="F36" s="432">
        <f>RESULTADOS!H29</f>
        <v>-17.777777777777779</v>
      </c>
      <c r="G36" s="432"/>
      <c r="H36" s="432"/>
      <c r="I36" s="432"/>
      <c r="J36" s="432"/>
      <c r="K36" s="432"/>
      <c r="L36" s="432">
        <f>RESULTADOS!J29</f>
        <v>17.774777100027908</v>
      </c>
      <c r="M36" s="432"/>
      <c r="N36" s="432"/>
      <c r="O36" s="432"/>
      <c r="P36" s="432"/>
      <c r="Q36" s="432"/>
      <c r="R36" s="432">
        <f>RESULTADOS!L29*'punto 5'!I40</f>
        <v>0</v>
      </c>
      <c r="S36" s="432"/>
      <c r="T36" s="432"/>
      <c r="U36" s="432"/>
      <c r="V36" s="432"/>
      <c r="W36" s="432"/>
      <c r="X36" s="432"/>
    </row>
    <row r="37" spans="1:24" ht="14.4" hidden="1" customHeight="1" x14ac:dyDescent="0.3">
      <c r="D37" s="432">
        <f>RESULTADOS!E30</f>
        <v>-3.0006777498704303E-3</v>
      </c>
      <c r="E37" s="432"/>
      <c r="F37" s="432">
        <f>RESULTADOS!H30</f>
        <v>-17.777777777777779</v>
      </c>
      <c r="G37" s="432"/>
      <c r="H37" s="432"/>
      <c r="I37" s="432"/>
      <c r="J37" s="432"/>
      <c r="K37" s="432"/>
      <c r="L37" s="432">
        <f>RESULTADOS!J30</f>
        <v>17.774777100027908</v>
      </c>
      <c r="M37" s="432"/>
      <c r="N37" s="432"/>
      <c r="O37" s="432"/>
      <c r="P37" s="432"/>
      <c r="Q37" s="432"/>
      <c r="R37" s="432">
        <f>RESULTADOS!L30*'punto 5'!I41</f>
        <v>0</v>
      </c>
      <c r="S37" s="432"/>
      <c r="T37" s="432"/>
      <c r="U37" s="432"/>
      <c r="V37" s="432"/>
      <c r="W37" s="432"/>
      <c r="X37" s="432"/>
    </row>
    <row r="38" spans="1:24" ht="14.4" hidden="1" customHeight="1" x14ac:dyDescent="0.3">
      <c r="D38" s="432">
        <f>RESULTADOS!E31</f>
        <v>-3.0006777498704303E-3</v>
      </c>
      <c r="E38" s="432"/>
      <c r="F38" s="432">
        <f>RESULTADOS!H31</f>
        <v>-17.777777777777779</v>
      </c>
      <c r="G38" s="432"/>
      <c r="H38" s="432"/>
      <c r="I38" s="432"/>
      <c r="J38" s="432"/>
      <c r="K38" s="432"/>
      <c r="L38" s="432">
        <f>RESULTADOS!J31</f>
        <v>17.774777100027908</v>
      </c>
      <c r="M38" s="432"/>
      <c r="N38" s="432"/>
      <c r="O38" s="432"/>
      <c r="P38" s="432"/>
      <c r="Q38" s="432"/>
      <c r="R38" s="432">
        <f>RESULTADOS!L31*'punto 5'!I42</f>
        <v>0</v>
      </c>
      <c r="S38" s="432"/>
      <c r="T38" s="432"/>
      <c r="U38" s="432"/>
      <c r="V38" s="432"/>
      <c r="W38" s="432"/>
      <c r="X38" s="432"/>
    </row>
    <row r="39" spans="1:24" x14ac:dyDescent="0.3">
      <c r="D39" s="432">
        <f>RESULTADOS!E32</f>
        <v>0</v>
      </c>
      <c r="E39" s="432"/>
      <c r="F39" s="432">
        <f>RESULTADOS!H32</f>
        <v>0</v>
      </c>
      <c r="G39" s="432"/>
      <c r="H39" s="432"/>
      <c r="I39" s="432"/>
      <c r="J39" s="432"/>
      <c r="K39" s="432"/>
      <c r="L39" s="432">
        <f>RESULTADOS!J32</f>
        <v>0</v>
      </c>
      <c r="M39" s="432"/>
      <c r="N39" s="432"/>
      <c r="O39" s="432"/>
      <c r="P39" s="432"/>
      <c r="Q39" s="432"/>
      <c r="R39" s="432">
        <f>RESULTADOS!L32*'punto 5'!I43</f>
        <v>0</v>
      </c>
      <c r="S39" s="432"/>
      <c r="T39" s="432"/>
      <c r="U39" s="432"/>
      <c r="V39" s="432"/>
      <c r="W39" s="432"/>
      <c r="X39" s="432"/>
    </row>
    <row r="40" spans="1:24" x14ac:dyDescent="0.3">
      <c r="D40" s="432">
        <f>RESULTADOS!E33</f>
        <v>0</v>
      </c>
      <c r="E40" s="432"/>
      <c r="F40" s="432">
        <f>RESULTADOS!H33</f>
        <v>0</v>
      </c>
      <c r="G40" s="432"/>
      <c r="H40" s="432"/>
      <c r="I40" s="432"/>
      <c r="J40" s="432"/>
      <c r="K40" s="432"/>
      <c r="L40" s="432">
        <f>RESULTADOS!J33</f>
        <v>0</v>
      </c>
      <c r="M40" s="432"/>
      <c r="N40" s="432"/>
      <c r="O40" s="432"/>
      <c r="P40" s="432"/>
      <c r="Q40" s="432"/>
      <c r="R40" s="432">
        <f>RESULTADOS!L33*'punto 5'!I44</f>
        <v>0</v>
      </c>
      <c r="S40" s="432"/>
      <c r="T40" s="432"/>
      <c r="U40" s="432"/>
      <c r="V40" s="432"/>
      <c r="W40" s="432"/>
      <c r="X40" s="432"/>
    </row>
    <row r="41" spans="1:24" x14ac:dyDescent="0.3">
      <c r="D41" s="432">
        <f>RESULTADOS!E34</f>
        <v>0</v>
      </c>
      <c r="E41" s="432"/>
      <c r="F41" s="432">
        <f>RESULTADOS!H34</f>
        <v>0</v>
      </c>
      <c r="G41" s="432"/>
      <c r="H41" s="432"/>
      <c r="I41" s="432"/>
      <c r="J41" s="432"/>
      <c r="K41" s="432"/>
      <c r="L41" s="432">
        <f>RESULTADOS!J34</f>
        <v>0</v>
      </c>
      <c r="M41" s="432"/>
      <c r="N41" s="432"/>
      <c r="O41" s="432"/>
      <c r="P41" s="432"/>
      <c r="Q41" s="432"/>
      <c r="R41" s="432">
        <f>RESULTADOS!L34*'punto 5'!I45</f>
        <v>0</v>
      </c>
      <c r="S41" s="432"/>
      <c r="T41" s="432"/>
      <c r="U41" s="432"/>
      <c r="V41" s="432"/>
      <c r="W41" s="432"/>
      <c r="X41" s="432"/>
    </row>
    <row r="42" spans="1:24" x14ac:dyDescent="0.3">
      <c r="D42" s="432">
        <f>RESULTADOS!E35</f>
        <v>0</v>
      </c>
      <c r="E42" s="432"/>
      <c r="F42" s="432">
        <f>RESULTADOS!H35</f>
        <v>0</v>
      </c>
      <c r="G42" s="432"/>
      <c r="H42" s="432"/>
      <c r="I42" s="432"/>
      <c r="J42" s="432"/>
      <c r="K42" s="432"/>
      <c r="L42" s="432">
        <f>RESULTADOS!J35</f>
        <v>0</v>
      </c>
      <c r="M42" s="432"/>
      <c r="N42" s="432"/>
      <c r="O42" s="432"/>
      <c r="P42" s="432"/>
      <c r="Q42" s="432"/>
      <c r="R42" s="432">
        <f>RESULTADOS!L35*'punto 5'!I46</f>
        <v>0</v>
      </c>
      <c r="S42" s="432"/>
      <c r="T42" s="432"/>
      <c r="U42" s="432"/>
      <c r="V42" s="432"/>
      <c r="W42" s="432"/>
      <c r="X42" s="432"/>
    </row>
    <row r="43" spans="1:24" x14ac:dyDescent="0.3">
      <c r="D43" s="432">
        <f>RESULTADOS!E36</f>
        <v>0</v>
      </c>
      <c r="E43" s="432"/>
      <c r="F43" s="432">
        <f>RESULTADOS!H36</f>
        <v>0</v>
      </c>
      <c r="G43" s="432"/>
      <c r="H43" s="432"/>
      <c r="I43" s="432"/>
      <c r="J43" s="432"/>
      <c r="K43" s="432"/>
      <c r="L43" s="432">
        <f>RESULTADOS!J36</f>
        <v>0</v>
      </c>
      <c r="M43" s="432"/>
      <c r="N43" s="432"/>
      <c r="O43" s="432"/>
      <c r="P43" s="432"/>
      <c r="Q43" s="432"/>
      <c r="R43" s="432">
        <f>RESULTADOS!L36*'punto 5'!I47</f>
        <v>0</v>
      </c>
      <c r="S43" s="432"/>
      <c r="T43" s="432"/>
      <c r="U43" s="432"/>
      <c r="V43" s="432"/>
      <c r="W43" s="432"/>
      <c r="X43" s="432"/>
    </row>
    <row r="44" spans="1:24" x14ac:dyDescent="0.3"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  <c r="X44" s="447"/>
    </row>
    <row r="45" spans="1:24" x14ac:dyDescent="0.3">
      <c r="A45" s="245" t="s">
        <v>236</v>
      </c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</row>
    <row r="46" spans="1:24" ht="16.5" customHeight="1" x14ac:dyDescent="0.3">
      <c r="A46" s="252"/>
      <c r="B46" s="441" t="s">
        <v>237</v>
      </c>
      <c r="C46" s="441"/>
      <c r="D46" s="441"/>
      <c r="E46" s="254" t="e">
        <f>AVERAGE(DATOS!F40:AA40)</f>
        <v>#DIV/0!</v>
      </c>
      <c r="F46" s="255" t="s">
        <v>238</v>
      </c>
      <c r="G46" s="256">
        <f>CertTempIncerti</f>
        <v>0.3</v>
      </c>
      <c r="H46" s="252" t="s">
        <v>239</v>
      </c>
      <c r="I46" s="158"/>
      <c r="J46" s="158"/>
      <c r="K46" s="416"/>
      <c r="L46" s="416"/>
      <c r="M46" s="158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</row>
    <row r="47" spans="1:24" x14ac:dyDescent="0.3">
      <c r="A47" s="252"/>
      <c r="B47" s="252" t="s">
        <v>240</v>
      </c>
      <c r="C47" s="252"/>
      <c r="D47" s="252"/>
      <c r="E47" s="254" t="e">
        <f>AVERAGE(DATOS!F41:AA41)</f>
        <v>#DIV/0!</v>
      </c>
      <c r="F47" s="255" t="s">
        <v>241</v>
      </c>
      <c r="G47" s="256">
        <f>CertHRIncerti</f>
        <v>1.3</v>
      </c>
      <c r="H47" s="255" t="s">
        <v>242</v>
      </c>
      <c r="I47" s="158"/>
      <c r="J47" s="158"/>
      <c r="K47" s="158"/>
      <c r="L47" s="158"/>
      <c r="M47" s="158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</row>
    <row r="48" spans="1:24" x14ac:dyDescent="0.3">
      <c r="A48" s="252"/>
      <c r="B48" s="252"/>
      <c r="C48" s="252"/>
      <c r="D48" s="252"/>
      <c r="E48" s="254"/>
      <c r="F48" s="255"/>
      <c r="G48" s="256"/>
      <c r="H48" s="255"/>
      <c r="I48" s="158"/>
      <c r="J48" s="158"/>
      <c r="K48" s="158"/>
      <c r="L48" s="158"/>
      <c r="M48" s="158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</row>
    <row r="49" spans="1:25" x14ac:dyDescent="0.3">
      <c r="A49" s="252"/>
      <c r="B49" s="252"/>
      <c r="C49" s="252"/>
      <c r="D49" s="252"/>
      <c r="E49" s="254"/>
      <c r="F49" s="255"/>
      <c r="G49" s="256"/>
      <c r="H49" s="255"/>
      <c r="I49" s="158"/>
      <c r="J49" s="158"/>
      <c r="K49" s="158"/>
      <c r="L49" s="158"/>
      <c r="M49" s="158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</row>
    <row r="50" spans="1:25" x14ac:dyDescent="0.3">
      <c r="A50" s="252"/>
      <c r="B50" s="252"/>
      <c r="C50" s="252"/>
      <c r="D50" s="252"/>
      <c r="E50" s="254"/>
      <c r="F50" s="255"/>
      <c r="G50" s="256"/>
      <c r="H50" s="255"/>
      <c r="I50" s="158"/>
      <c r="J50" s="158"/>
      <c r="K50" s="158"/>
      <c r="L50" s="158"/>
      <c r="M50" s="158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</row>
    <row r="51" spans="1:25" x14ac:dyDescent="0.3">
      <c r="A51" s="252"/>
      <c r="B51" s="252"/>
      <c r="C51" s="252"/>
      <c r="D51" s="252"/>
      <c r="E51" s="254"/>
      <c r="F51" s="255"/>
      <c r="G51" s="256"/>
      <c r="H51" s="255"/>
      <c r="I51" s="158"/>
      <c r="J51" s="158"/>
      <c r="K51" s="158"/>
      <c r="L51" s="158"/>
      <c r="M51" s="158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</row>
    <row r="52" spans="1:25" x14ac:dyDescent="0.3">
      <c r="A52" s="252"/>
      <c r="B52" s="252"/>
      <c r="C52" s="252"/>
      <c r="D52" s="252"/>
      <c r="E52" s="254"/>
      <c r="F52" s="255"/>
      <c r="G52" s="256"/>
      <c r="H52" s="255"/>
      <c r="I52" s="158"/>
      <c r="J52" s="158"/>
      <c r="K52" s="158"/>
      <c r="L52" s="158"/>
      <c r="M52" s="158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</row>
    <row r="53" spans="1:25" x14ac:dyDescent="0.3">
      <c r="A53" s="252"/>
      <c r="B53" s="252"/>
      <c r="C53" s="252"/>
      <c r="D53" s="252"/>
      <c r="E53" s="254"/>
      <c r="F53" s="255"/>
      <c r="G53" s="256"/>
      <c r="H53" s="255"/>
      <c r="I53" s="158"/>
      <c r="J53" s="158"/>
      <c r="K53" s="158"/>
      <c r="L53" s="158"/>
      <c r="M53" s="158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</row>
    <row r="54" spans="1:25" x14ac:dyDescent="0.3">
      <c r="A54" s="252"/>
      <c r="B54" s="252"/>
      <c r="C54" s="252"/>
      <c r="D54" s="252"/>
      <c r="E54" s="254"/>
      <c r="F54" s="255"/>
      <c r="G54" s="256"/>
      <c r="H54" s="255"/>
      <c r="I54" s="158"/>
      <c r="J54" s="158"/>
      <c r="K54" s="158"/>
      <c r="L54" s="158"/>
      <c r="M54" s="158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</row>
    <row r="55" spans="1:25" x14ac:dyDescent="0.3">
      <c r="A55" s="252"/>
      <c r="B55" s="252"/>
      <c r="C55" s="252"/>
      <c r="D55" s="252"/>
      <c r="E55" s="254"/>
      <c r="F55" s="255"/>
      <c r="G55" s="256"/>
      <c r="H55" s="255"/>
      <c r="I55" s="158"/>
      <c r="J55" s="158"/>
      <c r="K55" s="158"/>
      <c r="L55" s="158"/>
      <c r="M55" s="158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</row>
    <row r="56" spans="1:25" x14ac:dyDescent="0.3">
      <c r="A56" s="252"/>
      <c r="B56" s="252"/>
      <c r="C56" s="252"/>
      <c r="D56" s="252"/>
      <c r="E56" s="254"/>
      <c r="F56" s="255"/>
      <c r="G56" s="256"/>
      <c r="H56" s="255"/>
      <c r="I56" s="158"/>
      <c r="J56" s="158"/>
      <c r="K56" s="158"/>
      <c r="L56" s="158"/>
      <c r="M56" s="158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</row>
    <row r="57" spans="1:25" x14ac:dyDescent="0.3">
      <c r="A57" s="252"/>
      <c r="B57" s="252"/>
      <c r="C57" s="252"/>
      <c r="D57" s="252"/>
      <c r="E57" s="254"/>
      <c r="F57" s="255"/>
      <c r="G57" s="256"/>
      <c r="H57" s="255"/>
      <c r="I57" s="158"/>
      <c r="J57" s="158"/>
      <c r="K57" s="158"/>
      <c r="L57" s="158"/>
      <c r="M57" s="158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</row>
    <row r="58" spans="1:25" x14ac:dyDescent="0.3">
      <c r="A58" s="252"/>
      <c r="B58" s="252"/>
      <c r="C58" s="252"/>
      <c r="D58" s="252"/>
      <c r="E58" s="254"/>
      <c r="F58" s="255"/>
      <c r="G58" s="256"/>
      <c r="H58" s="255"/>
      <c r="I58" s="158"/>
      <c r="J58" s="158"/>
      <c r="K58" s="158"/>
      <c r="L58" s="158"/>
      <c r="M58" s="158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</row>
    <row r="59" spans="1:25" x14ac:dyDescent="0.3">
      <c r="A59" s="252"/>
      <c r="B59" s="252"/>
      <c r="C59" s="252"/>
      <c r="D59" s="252"/>
      <c r="E59" s="254"/>
      <c r="F59" s="255"/>
      <c r="G59" s="256"/>
      <c r="H59" s="255"/>
      <c r="I59" s="158"/>
      <c r="J59" s="158"/>
      <c r="K59" s="158"/>
      <c r="L59" s="158"/>
      <c r="M59" s="158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</row>
    <row r="60" spans="1:25" x14ac:dyDescent="0.3">
      <c r="A60" s="252"/>
      <c r="B60" s="252"/>
      <c r="C60" s="252"/>
      <c r="D60" s="252"/>
      <c r="E60" s="254"/>
      <c r="F60" s="255"/>
      <c r="G60" s="256"/>
      <c r="H60" s="255"/>
      <c r="I60" s="158"/>
      <c r="J60" s="158"/>
      <c r="K60" s="158"/>
      <c r="L60" s="158"/>
      <c r="M60" s="158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</row>
    <row r="61" spans="1:25" ht="15" customHeight="1" x14ac:dyDescent="0.3">
      <c r="D61" s="253"/>
      <c r="E61" s="253"/>
      <c r="F61" s="21"/>
      <c r="G61" s="21"/>
      <c r="H61" s="21"/>
      <c r="I61" s="21"/>
      <c r="J61" s="21"/>
      <c r="K61" s="21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</row>
    <row r="62" spans="1:25" x14ac:dyDescent="0.3">
      <c r="A62" s="245" t="s">
        <v>243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</row>
    <row r="63" spans="1:25" ht="14.4" customHeight="1" x14ac:dyDescent="0.3">
      <c r="A63" s="442" t="s">
        <v>277</v>
      </c>
      <c r="B63" s="442"/>
      <c r="C63" s="442"/>
      <c r="D63" s="442"/>
      <c r="E63" s="442"/>
      <c r="F63" s="442"/>
      <c r="G63" s="442"/>
      <c r="H63" s="442"/>
      <c r="I63" s="442"/>
      <c r="J63" s="442"/>
      <c r="K63" s="442"/>
      <c r="L63" s="442"/>
      <c r="M63" s="442"/>
      <c r="N63" s="442"/>
      <c r="O63" s="442"/>
      <c r="P63" s="442"/>
      <c r="Q63" s="442"/>
      <c r="R63" s="442"/>
      <c r="S63" s="442"/>
      <c r="T63" s="442"/>
      <c r="U63" s="442"/>
      <c r="V63" s="442"/>
      <c r="W63" s="442"/>
      <c r="X63" s="442"/>
      <c r="Y63" s="257"/>
    </row>
    <row r="64" spans="1:25" x14ac:dyDescent="0.3">
      <c r="A64" s="257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</row>
    <row r="65" spans="1:26" x14ac:dyDescent="0.3"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</row>
    <row r="66" spans="1:26" x14ac:dyDescent="0.3">
      <c r="A66" s="245" t="s">
        <v>244</v>
      </c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</row>
    <row r="67" spans="1:26" x14ac:dyDescent="0.3">
      <c r="A67" s="443" t="s">
        <v>245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443"/>
      <c r="P67" s="443"/>
      <c r="Q67" s="443"/>
      <c r="R67" s="443"/>
      <c r="S67" s="443"/>
      <c r="T67" s="443"/>
      <c r="U67" s="443"/>
      <c r="V67" s="443"/>
      <c r="W67" s="443"/>
      <c r="X67" s="443"/>
      <c r="Y67" s="443"/>
    </row>
    <row r="68" spans="1:26" x14ac:dyDescent="0.3">
      <c r="A68" s="443"/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443"/>
      <c r="P68" s="443"/>
      <c r="Q68" s="443"/>
      <c r="R68" s="443"/>
      <c r="S68" s="443"/>
      <c r="T68" s="443"/>
      <c r="U68" s="443"/>
      <c r="V68" s="443"/>
      <c r="W68" s="443"/>
      <c r="X68" s="443"/>
      <c r="Y68" s="443"/>
    </row>
    <row r="69" spans="1:26" x14ac:dyDescent="0.3">
      <c r="A69" s="443"/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443"/>
      <c r="P69" s="443"/>
      <c r="Q69" s="443"/>
      <c r="R69" s="443"/>
      <c r="S69" s="443"/>
      <c r="T69" s="443"/>
      <c r="U69" s="443"/>
      <c r="V69" s="443"/>
      <c r="W69" s="443"/>
      <c r="X69" s="443"/>
      <c r="Y69" s="443"/>
    </row>
    <row r="70" spans="1:26" x14ac:dyDescent="0.3">
      <c r="A70" s="443"/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/>
      <c r="O70" s="443"/>
      <c r="P70" s="443"/>
      <c r="Q70" s="443"/>
      <c r="R70" s="443"/>
      <c r="S70" s="443"/>
      <c r="T70" s="443"/>
      <c r="U70" s="443"/>
      <c r="V70" s="443"/>
      <c r="W70" s="443"/>
      <c r="X70" s="443"/>
      <c r="Y70" s="443"/>
      <c r="Z70" s="158"/>
    </row>
    <row r="71" spans="1:26" x14ac:dyDescent="0.3">
      <c r="A71" s="443"/>
      <c r="B71" s="443"/>
      <c r="C71" s="443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443"/>
      <c r="P71" s="443"/>
      <c r="Q71" s="443"/>
      <c r="R71" s="443"/>
      <c r="S71" s="443"/>
      <c r="T71" s="443"/>
      <c r="U71" s="443"/>
      <c r="V71" s="443"/>
      <c r="W71" s="443"/>
      <c r="X71" s="443"/>
      <c r="Y71" s="443"/>
    </row>
    <row r="72" spans="1:26" x14ac:dyDescent="0.3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</row>
    <row r="73" spans="1:26" x14ac:dyDescent="0.3">
      <c r="A73" s="258"/>
      <c r="B73" s="258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</row>
    <row r="74" spans="1:26" ht="21" customHeight="1" x14ac:dyDescent="0.3">
      <c r="A74" s="258"/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</row>
    <row r="75" spans="1:26" ht="21" customHeight="1" x14ac:dyDescent="0.3">
      <c r="A75" s="258"/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</row>
    <row r="76" spans="1:26" ht="21" customHeight="1" x14ac:dyDescent="0.3">
      <c r="A76" s="258"/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</row>
    <row r="77" spans="1:26" x14ac:dyDescent="0.3">
      <c r="A77" s="258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</row>
    <row r="78" spans="1:26" x14ac:dyDescent="0.3">
      <c r="A78" s="258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</row>
    <row r="79" spans="1:26" x14ac:dyDescent="0.3"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</row>
    <row r="80" spans="1:26" x14ac:dyDescent="0.3">
      <c r="A80" s="245" t="s">
        <v>219</v>
      </c>
      <c r="B80" s="158"/>
      <c r="C80" s="246"/>
      <c r="D80" s="247"/>
      <c r="E80" s="247"/>
      <c r="F80" s="247"/>
      <c r="G80" s="158"/>
      <c r="H80" s="158"/>
      <c r="I80" s="158"/>
      <c r="J80" s="158"/>
      <c r="K80" s="158"/>
      <c r="L80" s="158"/>
      <c r="M80" s="158"/>
      <c r="N80" s="393" t="str">
        <f>N8</f>
        <v>NI-MC-T-XXX-2022</v>
      </c>
      <c r="O80" s="393"/>
      <c r="P80" s="393"/>
      <c r="Q80" s="393"/>
      <c r="R80" s="393"/>
      <c r="S80" s="393"/>
      <c r="T80" s="393"/>
      <c r="U80" s="393"/>
      <c r="V80" s="393"/>
      <c r="W80" s="393"/>
      <c r="X80" s="393"/>
      <c r="Y80" s="393"/>
    </row>
    <row r="81" spans="1:25" x14ac:dyDescent="0.3">
      <c r="A81" s="245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</row>
    <row r="82" spans="1:25" x14ac:dyDescent="0.3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</row>
    <row r="83" spans="1:25" x14ac:dyDescent="0.3">
      <c r="A83" s="245" t="s">
        <v>246</v>
      </c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</row>
    <row r="84" spans="1:25" x14ac:dyDescent="0.3">
      <c r="A84" s="433" t="s">
        <v>107</v>
      </c>
      <c r="B84" s="433"/>
      <c r="C84" s="433"/>
      <c r="D84" s="433"/>
      <c r="E84" s="433" t="s">
        <v>247</v>
      </c>
      <c r="F84" s="433"/>
      <c r="G84" s="433"/>
      <c r="H84" s="433" t="s">
        <v>248</v>
      </c>
      <c r="I84" s="433"/>
      <c r="J84" s="433"/>
      <c r="K84" s="433"/>
      <c r="L84" s="433"/>
      <c r="M84" s="433"/>
      <c r="N84" s="433" t="s">
        <v>249</v>
      </c>
      <c r="O84" s="433"/>
      <c r="P84" s="433"/>
      <c r="Q84" s="433"/>
      <c r="R84" s="433"/>
      <c r="S84" s="433"/>
      <c r="T84" s="433"/>
      <c r="U84" s="433"/>
      <c r="V84" s="433"/>
      <c r="W84" s="433"/>
      <c r="X84" s="434" t="s">
        <v>250</v>
      </c>
      <c r="Y84" s="434"/>
    </row>
    <row r="85" spans="1:25" ht="28.2" customHeight="1" x14ac:dyDescent="0.3">
      <c r="A85" s="440" t="s">
        <v>251</v>
      </c>
      <c r="B85" s="440"/>
      <c r="C85" s="440"/>
      <c r="D85" s="440"/>
      <c r="E85" s="440" t="s">
        <v>846</v>
      </c>
      <c r="F85" s="440"/>
      <c r="G85" s="440"/>
      <c r="H85" s="440" t="s">
        <v>844</v>
      </c>
      <c r="I85" s="440"/>
      <c r="J85" s="440"/>
      <c r="K85" s="440"/>
      <c r="L85" s="440"/>
      <c r="M85" s="440"/>
      <c r="N85" s="440" t="s">
        <v>851</v>
      </c>
      <c r="O85" s="440"/>
      <c r="P85" s="440"/>
      <c r="Q85" s="440"/>
      <c r="R85" s="440"/>
      <c r="S85" s="440"/>
      <c r="T85" s="440"/>
      <c r="U85" s="440"/>
      <c r="V85" s="440"/>
      <c r="W85" s="440"/>
      <c r="X85" s="439">
        <v>44696</v>
      </c>
      <c r="Y85" s="439"/>
    </row>
    <row r="86" spans="1:25" ht="25.95" customHeight="1" x14ac:dyDescent="0.3">
      <c r="A86" s="440" t="s">
        <v>279</v>
      </c>
      <c r="B86" s="440"/>
      <c r="C86" s="440"/>
      <c r="D86" s="440"/>
      <c r="E86" s="440" t="s">
        <v>280</v>
      </c>
      <c r="F86" s="440"/>
      <c r="G86" s="440"/>
      <c r="H86" s="440" t="s">
        <v>278</v>
      </c>
      <c r="I86" s="440"/>
      <c r="J86" s="440"/>
      <c r="K86" s="440"/>
      <c r="L86" s="440"/>
      <c r="M86" s="440"/>
      <c r="N86" s="440" t="s">
        <v>281</v>
      </c>
      <c r="O86" s="440"/>
      <c r="P86" s="440"/>
      <c r="Q86" s="440"/>
      <c r="R86" s="440"/>
      <c r="S86" s="440"/>
      <c r="T86" s="440"/>
      <c r="U86" s="440"/>
      <c r="V86" s="440"/>
      <c r="W86" s="440"/>
      <c r="X86" s="439">
        <v>43961</v>
      </c>
      <c r="Y86" s="439"/>
    </row>
    <row r="87" spans="1:25" ht="22.95" customHeight="1" x14ac:dyDescent="0.3">
      <c r="A87" s="440" t="s">
        <v>282</v>
      </c>
      <c r="B87" s="440"/>
      <c r="C87" s="440"/>
      <c r="D87" s="440"/>
      <c r="E87" s="440" t="s">
        <v>173</v>
      </c>
      <c r="F87" s="440"/>
      <c r="G87" s="440"/>
      <c r="H87" s="440" t="s">
        <v>175</v>
      </c>
      <c r="I87" s="440"/>
      <c r="J87" s="440"/>
      <c r="K87" s="440"/>
      <c r="L87" s="440"/>
      <c r="M87" s="440"/>
      <c r="N87" s="440" t="s">
        <v>283</v>
      </c>
      <c r="O87" s="440"/>
      <c r="P87" s="440"/>
      <c r="Q87" s="440"/>
      <c r="R87" s="440"/>
      <c r="S87" s="440"/>
      <c r="T87" s="440"/>
      <c r="U87" s="440"/>
      <c r="V87" s="440"/>
      <c r="W87" s="440"/>
      <c r="X87" s="439">
        <v>44157</v>
      </c>
      <c r="Y87" s="439"/>
    </row>
    <row r="89" spans="1:25" x14ac:dyDescent="0.3">
      <c r="A89" s="245" t="s">
        <v>252</v>
      </c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</row>
    <row r="90" spans="1:25" x14ac:dyDescent="0.3">
      <c r="A90" s="259" t="s">
        <v>253</v>
      </c>
      <c r="B90" s="158"/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158"/>
    </row>
    <row r="91" spans="1:25" x14ac:dyDescent="0.3">
      <c r="A91" s="260" t="str">
        <f>'[7]Salida de Datos'!$F$8</f>
        <v>La corrección corresponde al valor del patrón menos las indicación del equipo.</v>
      </c>
      <c r="B91" s="158"/>
      <c r="C91" s="257"/>
      <c r="D91" s="257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158"/>
    </row>
    <row r="92" spans="1:25" x14ac:dyDescent="0.3">
      <c r="A92" s="260" t="str">
        <f>'[7]Salida de Datos'!$F$9</f>
        <v>La indicación de temperatura de referencia y del equipo, corresponden al promedio de 3 mediciones .</v>
      </c>
      <c r="B92" s="257"/>
      <c r="C92" s="257"/>
      <c r="D92" s="257"/>
      <c r="E92" s="257"/>
      <c r="F92" s="257"/>
      <c r="G92" s="257"/>
      <c r="H92" s="257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</row>
    <row r="93" spans="1:25" x14ac:dyDescent="0.3">
      <c r="A93" s="259" t="s">
        <v>254</v>
      </c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</row>
    <row r="94" spans="1:25" x14ac:dyDescent="0.3">
      <c r="A94" s="259" t="s">
        <v>255</v>
      </c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</row>
    <row r="95" spans="1:25" x14ac:dyDescent="0.3">
      <c r="A95" s="158" t="s">
        <v>256</v>
      </c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257"/>
      <c r="S95" s="257"/>
      <c r="T95" s="158"/>
      <c r="U95" s="158"/>
      <c r="V95" s="158"/>
      <c r="W95" s="158"/>
      <c r="X95" s="158"/>
      <c r="Y95" s="158"/>
    </row>
    <row r="96" spans="1:25" x14ac:dyDescent="0.3">
      <c r="A96" s="158" t="s">
        <v>257</v>
      </c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261"/>
      <c r="S96" s="261"/>
      <c r="T96" s="261"/>
      <c r="U96" s="261"/>
      <c r="V96" s="261"/>
      <c r="Y96" s="158"/>
    </row>
    <row r="100" spans="8:16" x14ac:dyDescent="0.3">
      <c r="H100" s="262"/>
      <c r="I100" s="262"/>
      <c r="J100" s="262"/>
      <c r="K100" s="262"/>
      <c r="L100" s="262"/>
    </row>
    <row r="101" spans="8:16" x14ac:dyDescent="0.3">
      <c r="J101" s="263"/>
      <c r="K101" s="263"/>
      <c r="L101" s="263" t="s">
        <v>258</v>
      </c>
      <c r="M101" s="264"/>
      <c r="N101" s="264"/>
      <c r="O101" s="264"/>
      <c r="P101" s="264"/>
    </row>
    <row r="102" spans="8:16" x14ac:dyDescent="0.3">
      <c r="I102" s="435" t="s">
        <v>259</v>
      </c>
      <c r="J102" s="435"/>
      <c r="K102" s="435"/>
      <c r="L102" s="435"/>
      <c r="M102" s="435"/>
      <c r="N102" s="435"/>
      <c r="O102" s="435"/>
      <c r="P102" s="263"/>
    </row>
    <row r="103" spans="8:16" x14ac:dyDescent="0.3">
      <c r="J103" s="265"/>
      <c r="K103" s="265"/>
      <c r="L103" s="265" t="s">
        <v>260</v>
      </c>
      <c r="M103" s="265"/>
      <c r="N103" s="265"/>
      <c r="O103" s="265"/>
      <c r="P103" s="265"/>
    </row>
    <row r="105" spans="8:16" x14ac:dyDescent="0.3">
      <c r="J105" s="255"/>
      <c r="K105" s="255"/>
      <c r="L105" s="255"/>
      <c r="M105" s="255"/>
      <c r="N105" s="255"/>
      <c r="O105" s="255"/>
      <c r="P105" s="255"/>
    </row>
    <row r="106" spans="8:16" x14ac:dyDescent="0.3">
      <c r="L106" s="255" t="s">
        <v>261</v>
      </c>
    </row>
  </sheetData>
  <mergeCells count="109">
    <mergeCell ref="R39:X39"/>
    <mergeCell ref="R40:X40"/>
    <mergeCell ref="R41:X41"/>
    <mergeCell ref="R42:X42"/>
    <mergeCell ref="R43:X43"/>
    <mergeCell ref="L39:Q39"/>
    <mergeCell ref="L40:Q40"/>
    <mergeCell ref="L41:Q41"/>
    <mergeCell ref="L42:Q42"/>
    <mergeCell ref="L43:Q43"/>
    <mergeCell ref="F39:K39"/>
    <mergeCell ref="F40:K40"/>
    <mergeCell ref="F41:K41"/>
    <mergeCell ref="F42:K42"/>
    <mergeCell ref="F43:K43"/>
    <mergeCell ref="D39:E39"/>
    <mergeCell ref="D40:E40"/>
    <mergeCell ref="D41:E41"/>
    <mergeCell ref="D42:E42"/>
    <mergeCell ref="D43:E43"/>
    <mergeCell ref="D38:E38"/>
    <mergeCell ref="F38:K38"/>
    <mergeCell ref="L38:Q38"/>
    <mergeCell ref="R38:X38"/>
    <mergeCell ref="D36:E36"/>
    <mergeCell ref="F36:K36"/>
    <mergeCell ref="L36:Q36"/>
    <mergeCell ref="R36:X36"/>
    <mergeCell ref="D37:E37"/>
    <mergeCell ref="F37:K37"/>
    <mergeCell ref="L37:Q37"/>
    <mergeCell ref="R37:X37"/>
    <mergeCell ref="D34:E34"/>
    <mergeCell ref="F34:K34"/>
    <mergeCell ref="L34:Q34"/>
    <mergeCell ref="R34:X34"/>
    <mergeCell ref="D35:E35"/>
    <mergeCell ref="F35:K35"/>
    <mergeCell ref="L35:Q35"/>
    <mergeCell ref="R35:X35"/>
    <mergeCell ref="F33:K33"/>
    <mergeCell ref="L33:Q33"/>
    <mergeCell ref="R33:X33"/>
    <mergeCell ref="A63:X63"/>
    <mergeCell ref="A87:D87"/>
    <mergeCell ref="E87:G87"/>
    <mergeCell ref="H87:M87"/>
    <mergeCell ref="N87:W87"/>
    <mergeCell ref="X87:Y87"/>
    <mergeCell ref="A85:D85"/>
    <mergeCell ref="E85:G85"/>
    <mergeCell ref="H85:M85"/>
    <mergeCell ref="N85:W85"/>
    <mergeCell ref="K46:L46"/>
    <mergeCell ref="A67:Y71"/>
    <mergeCell ref="N80:Y80"/>
    <mergeCell ref="I102:O102"/>
    <mergeCell ref="O16:R16"/>
    <mergeCell ref="N17:P17"/>
    <mergeCell ref="N21:Y21"/>
    <mergeCell ref="D32:E32"/>
    <mergeCell ref="F32:K32"/>
    <mergeCell ref="L32:Q32"/>
    <mergeCell ref="R32:X32"/>
    <mergeCell ref="D33:E33"/>
    <mergeCell ref="X85:Y85"/>
    <mergeCell ref="A86:D86"/>
    <mergeCell ref="E86:G86"/>
    <mergeCell ref="H86:M86"/>
    <mergeCell ref="N86:W86"/>
    <mergeCell ref="X86:Y86"/>
    <mergeCell ref="B46:D46"/>
    <mergeCell ref="A84:D84"/>
    <mergeCell ref="E84:G84"/>
    <mergeCell ref="H84:M84"/>
    <mergeCell ref="N84:W84"/>
    <mergeCell ref="X84:Y84"/>
    <mergeCell ref="D30:E30"/>
    <mergeCell ref="F30:K30"/>
    <mergeCell ref="L30:Q30"/>
    <mergeCell ref="R30:X30"/>
    <mergeCell ref="D31:E31"/>
    <mergeCell ref="F31:K31"/>
    <mergeCell ref="L31:Q31"/>
    <mergeCell ref="R31:X31"/>
    <mergeCell ref="D28:E28"/>
    <mergeCell ref="F28:K28"/>
    <mergeCell ref="L28:Q28"/>
    <mergeCell ref="R28:X28"/>
    <mergeCell ref="D29:E29"/>
    <mergeCell ref="F29:K29"/>
    <mergeCell ref="L29:Q29"/>
    <mergeCell ref="R29:X29"/>
    <mergeCell ref="N20:Y20"/>
    <mergeCell ref="D25:X25"/>
    <mergeCell ref="D26:E27"/>
    <mergeCell ref="F26:K27"/>
    <mergeCell ref="L26:Q27"/>
    <mergeCell ref="R26:X27"/>
    <mergeCell ref="N14:Y14"/>
    <mergeCell ref="N15:Y15"/>
    <mergeCell ref="N18:Y18"/>
    <mergeCell ref="N19:Y19"/>
    <mergeCell ref="N8:Y8"/>
    <mergeCell ref="N9:Y9"/>
    <mergeCell ref="N10:Y10"/>
    <mergeCell ref="N11:R11"/>
    <mergeCell ref="N12:Y12"/>
    <mergeCell ref="N13:Y13"/>
  </mergeCells>
  <conditionalFormatting sqref="A95">
    <cfRule type="cellIs" priority="1" operator="equal">
      <formula>$D$25</formula>
    </cfRule>
  </conditionalFormatting>
  <conditionalFormatting sqref="A96">
    <cfRule type="cellIs" priority="2" operator="equal">
      <formula>$F$27</formula>
    </cfRule>
  </conditionalFormatting>
  <printOptions horizontalCentered="1"/>
  <pageMargins left="0.51" right="0.51" top="0.51" bottom="0.51" header="0" footer="0.31"/>
  <pageSetup orientation="portrait" horizontalDpi="4294967293" verticalDpi="4294967293" r:id="rId1"/>
  <headerFooter>
    <oddHeader>&amp;C
&amp;G</oddHeader>
    <oddFooter xml:space="preserve">&amp;C&amp;G&amp;R&amp;"Arial,Normal"&amp;8Página &amp;Pde&amp;N
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5:Y16"/>
  <sheetViews>
    <sheetView view="pageLayout" topLeftCell="A4" zoomScaleNormal="40" zoomScaleSheetLayoutView="100" workbookViewId="0">
      <selection activeCell="A12" sqref="A12:Y12"/>
    </sheetView>
  </sheetViews>
  <sheetFormatPr baseColWidth="10" defaultColWidth="11.44140625" defaultRowHeight="14.4" x14ac:dyDescent="0.3"/>
  <cols>
    <col min="1" max="1" width="3.6640625" style="281" customWidth="1"/>
    <col min="2" max="2" width="3.109375" style="281" customWidth="1"/>
    <col min="3" max="3" width="0.109375" style="281" hidden="1" customWidth="1"/>
    <col min="4" max="4" width="14.33203125" style="281" customWidth="1"/>
    <col min="5" max="5" width="4.33203125" style="281" customWidth="1"/>
    <col min="6" max="6" width="3.6640625" style="281" customWidth="1"/>
    <col min="7" max="7" width="5.88671875" style="281" customWidth="1"/>
    <col min="8" max="8" width="3" style="281" customWidth="1"/>
    <col min="9" max="9" width="3.44140625" style="281" customWidth="1"/>
    <col min="10" max="10" width="2.6640625" style="281" customWidth="1"/>
    <col min="11" max="11" width="4.109375" style="281" customWidth="1"/>
    <col min="12" max="12" width="1.88671875" style="281" customWidth="1"/>
    <col min="13" max="13" width="1" style="281" customWidth="1"/>
    <col min="14" max="15" width="2.33203125" style="281" customWidth="1"/>
    <col min="16" max="16" width="3.33203125" style="281" customWidth="1"/>
    <col min="17" max="17" width="4.88671875" style="281" customWidth="1"/>
    <col min="18" max="18" width="4" style="281" customWidth="1"/>
    <col min="19" max="19" width="2.109375" style="281" customWidth="1"/>
    <col min="20" max="20" width="3.33203125" style="281" customWidth="1"/>
    <col min="21" max="21" width="3.44140625" style="281" customWidth="1"/>
    <col min="22" max="22" width="1.88671875" style="281" customWidth="1"/>
    <col min="23" max="23" width="3.88671875" style="281" customWidth="1"/>
    <col min="24" max="24" width="8.6640625" style="281" customWidth="1"/>
    <col min="25" max="25" width="7.5546875" style="281" customWidth="1"/>
    <col min="26" max="16384" width="11.44140625" style="281"/>
  </cols>
  <sheetData>
    <row r="5" spans="1:25" x14ac:dyDescent="0.3">
      <c r="A5" s="444" t="s">
        <v>839</v>
      </c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4"/>
      <c r="R5" s="444"/>
      <c r="S5" s="444"/>
      <c r="T5" s="444"/>
      <c r="U5" s="444"/>
      <c r="V5" s="444"/>
      <c r="W5" s="444"/>
      <c r="X5" s="444"/>
    </row>
    <row r="6" spans="1:25" x14ac:dyDescent="0.3">
      <c r="A6" s="187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</row>
    <row r="7" spans="1:25" x14ac:dyDescent="0.3">
      <c r="A7" s="245" t="s">
        <v>246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/>
    </row>
    <row r="8" spans="1:25" x14ac:dyDescent="0.3">
      <c r="A8" s="433" t="s">
        <v>107</v>
      </c>
      <c r="B8" s="433"/>
      <c r="C8" s="433"/>
      <c r="D8" s="433"/>
      <c r="E8" s="433" t="s">
        <v>247</v>
      </c>
      <c r="F8" s="433"/>
      <c r="G8" s="433"/>
      <c r="H8" s="433" t="s">
        <v>248</v>
      </c>
      <c r="I8" s="433"/>
      <c r="J8" s="433"/>
      <c r="K8" s="433"/>
      <c r="L8" s="433"/>
      <c r="M8" s="433"/>
      <c r="N8" s="433" t="s">
        <v>249</v>
      </c>
      <c r="O8" s="433"/>
      <c r="P8" s="433"/>
      <c r="Q8" s="433"/>
      <c r="R8" s="433"/>
      <c r="S8" s="433"/>
      <c r="T8" s="433"/>
      <c r="U8" s="433"/>
      <c r="V8" s="433"/>
      <c r="W8" s="433"/>
      <c r="X8" s="434" t="s">
        <v>250</v>
      </c>
      <c r="Y8" s="434"/>
    </row>
    <row r="9" spans="1:25" ht="21" customHeight="1" x14ac:dyDescent="0.3">
      <c r="A9" s="440" t="s">
        <v>251</v>
      </c>
      <c r="B9" s="440"/>
      <c r="C9" s="440"/>
      <c r="D9" s="440"/>
      <c r="E9" s="440" t="s">
        <v>846</v>
      </c>
      <c r="F9" s="440"/>
      <c r="G9" s="440"/>
      <c r="H9" s="440" t="s">
        <v>841</v>
      </c>
      <c r="I9" s="440"/>
      <c r="J9" s="440"/>
      <c r="K9" s="440"/>
      <c r="L9" s="440"/>
      <c r="M9" s="440"/>
      <c r="N9" s="440" t="s">
        <v>847</v>
      </c>
      <c r="O9" s="440"/>
      <c r="P9" s="440"/>
      <c r="Q9" s="440"/>
      <c r="R9" s="440"/>
      <c r="S9" s="440"/>
      <c r="T9" s="440"/>
      <c r="U9" s="440"/>
      <c r="V9" s="440"/>
      <c r="W9" s="440"/>
      <c r="X9" s="439">
        <v>44158</v>
      </c>
      <c r="Y9" s="439"/>
    </row>
    <row r="10" spans="1:25" ht="27" customHeight="1" x14ac:dyDescent="0.3">
      <c r="A10" s="440" t="s">
        <v>251</v>
      </c>
      <c r="B10" s="440"/>
      <c r="C10" s="440"/>
      <c r="D10" s="440"/>
      <c r="E10" s="440" t="s">
        <v>846</v>
      </c>
      <c r="F10" s="440"/>
      <c r="G10" s="440"/>
      <c r="H10" s="440" t="s">
        <v>842</v>
      </c>
      <c r="I10" s="440"/>
      <c r="J10" s="440"/>
      <c r="K10" s="440"/>
      <c r="L10" s="440"/>
      <c r="M10" s="440"/>
      <c r="N10" s="440" t="s">
        <v>849</v>
      </c>
      <c r="O10" s="440"/>
      <c r="P10" s="440"/>
      <c r="Q10" s="440"/>
      <c r="R10" s="440"/>
      <c r="S10" s="440"/>
      <c r="T10" s="440"/>
      <c r="U10" s="440"/>
      <c r="V10" s="440"/>
      <c r="W10" s="440"/>
      <c r="X10" s="439">
        <v>44331</v>
      </c>
      <c r="Y10" s="439"/>
    </row>
    <row r="11" spans="1:25" ht="26.25" customHeight="1" x14ac:dyDescent="0.3">
      <c r="A11" s="440" t="s">
        <v>251</v>
      </c>
      <c r="B11" s="440"/>
      <c r="C11" s="440"/>
      <c r="D11" s="440"/>
      <c r="E11" s="440" t="s">
        <v>846</v>
      </c>
      <c r="F11" s="440"/>
      <c r="G11" s="440"/>
      <c r="H11" s="440" t="s">
        <v>843</v>
      </c>
      <c r="I11" s="440"/>
      <c r="J11" s="440"/>
      <c r="K11" s="440"/>
      <c r="L11" s="440"/>
      <c r="M11" s="440"/>
      <c r="N11" s="440" t="s">
        <v>850</v>
      </c>
      <c r="O11" s="440"/>
      <c r="P11" s="440"/>
      <c r="Q11" s="440"/>
      <c r="R11" s="440"/>
      <c r="S11" s="440"/>
      <c r="T11" s="440"/>
      <c r="U11" s="440"/>
      <c r="V11" s="440"/>
      <c r="W11" s="440"/>
      <c r="X11" s="439">
        <v>44331</v>
      </c>
      <c r="Y11" s="439"/>
    </row>
    <row r="12" spans="1:25" ht="24" customHeight="1" x14ac:dyDescent="0.3">
      <c r="A12" s="440" t="s">
        <v>251</v>
      </c>
      <c r="B12" s="440"/>
      <c r="C12" s="440"/>
      <c r="D12" s="440"/>
      <c r="E12" s="440" t="s">
        <v>846</v>
      </c>
      <c r="F12" s="440"/>
      <c r="G12" s="440"/>
      <c r="H12" s="440" t="s">
        <v>844</v>
      </c>
      <c r="I12" s="440"/>
      <c r="J12" s="440"/>
      <c r="K12" s="440"/>
      <c r="L12" s="440"/>
      <c r="M12" s="440"/>
      <c r="N12" s="440" t="s">
        <v>851</v>
      </c>
      <c r="O12" s="440"/>
      <c r="P12" s="440"/>
      <c r="Q12" s="440"/>
      <c r="R12" s="440"/>
      <c r="S12" s="440"/>
      <c r="T12" s="440"/>
      <c r="U12" s="440"/>
      <c r="V12" s="440"/>
      <c r="W12" s="440"/>
      <c r="X12" s="439">
        <v>44331</v>
      </c>
      <c r="Y12" s="439"/>
    </row>
    <row r="13" spans="1:25" ht="23.25" customHeight="1" x14ac:dyDescent="0.3">
      <c r="A13" s="440" t="s">
        <v>251</v>
      </c>
      <c r="B13" s="440"/>
      <c r="C13" s="440"/>
      <c r="D13" s="440"/>
      <c r="E13" s="440" t="s">
        <v>848</v>
      </c>
      <c r="F13" s="440"/>
      <c r="G13" s="440"/>
      <c r="H13" s="440" t="s">
        <v>845</v>
      </c>
      <c r="I13" s="440"/>
      <c r="J13" s="440"/>
      <c r="K13" s="440"/>
      <c r="L13" s="440"/>
      <c r="M13" s="440"/>
      <c r="N13" s="440" t="s">
        <v>852</v>
      </c>
      <c r="O13" s="440"/>
      <c r="P13" s="440"/>
      <c r="Q13" s="440"/>
      <c r="R13" s="440"/>
      <c r="S13" s="440"/>
      <c r="T13" s="440"/>
      <c r="U13" s="440"/>
      <c r="V13" s="440"/>
      <c r="W13" s="440"/>
      <c r="X13" s="439">
        <v>44331</v>
      </c>
      <c r="Y13" s="439"/>
    </row>
    <row r="14" spans="1:25" ht="23.25" customHeight="1" x14ac:dyDescent="0.3">
      <c r="A14" s="440" t="s">
        <v>279</v>
      </c>
      <c r="B14" s="440"/>
      <c r="C14" s="440"/>
      <c r="D14" s="440"/>
      <c r="E14" s="440" t="s">
        <v>280</v>
      </c>
      <c r="F14" s="440"/>
      <c r="G14" s="440"/>
      <c r="H14" s="440" t="s">
        <v>278</v>
      </c>
      <c r="I14" s="440"/>
      <c r="J14" s="440"/>
      <c r="K14" s="440"/>
      <c r="L14" s="440"/>
      <c r="M14" s="440"/>
      <c r="N14" s="440" t="s">
        <v>281</v>
      </c>
      <c r="O14" s="440"/>
      <c r="P14" s="440"/>
      <c r="Q14" s="440"/>
      <c r="R14" s="440"/>
      <c r="S14" s="440"/>
      <c r="T14" s="440"/>
      <c r="U14" s="440"/>
      <c r="V14" s="440"/>
      <c r="W14" s="440"/>
      <c r="X14" s="439">
        <v>43961</v>
      </c>
      <c r="Y14" s="439"/>
    </row>
    <row r="15" spans="1:25" ht="24.75" customHeight="1" x14ac:dyDescent="0.3">
      <c r="A15" s="440" t="s">
        <v>856</v>
      </c>
      <c r="B15" s="440"/>
      <c r="C15" s="440"/>
      <c r="D15" s="440"/>
      <c r="E15" s="440" t="s">
        <v>857</v>
      </c>
      <c r="F15" s="440"/>
      <c r="G15" s="440"/>
      <c r="H15" s="440" t="s">
        <v>859</v>
      </c>
      <c r="I15" s="440"/>
      <c r="J15" s="440"/>
      <c r="K15" s="440"/>
      <c r="L15" s="440"/>
      <c r="M15" s="440"/>
      <c r="N15" s="440" t="s">
        <v>858</v>
      </c>
      <c r="O15" s="440"/>
      <c r="P15" s="440"/>
      <c r="Q15" s="440"/>
      <c r="R15" s="440"/>
      <c r="S15" s="440"/>
      <c r="T15" s="440"/>
      <c r="U15" s="440"/>
      <c r="V15" s="440"/>
      <c r="W15" s="440"/>
      <c r="X15" s="439">
        <v>43961</v>
      </c>
      <c r="Y15" s="439"/>
    </row>
    <row r="16" spans="1:25" ht="23.25" customHeight="1" x14ac:dyDescent="0.3">
      <c r="A16" s="440" t="s">
        <v>282</v>
      </c>
      <c r="B16" s="440"/>
      <c r="C16" s="440"/>
      <c r="D16" s="440"/>
      <c r="E16" s="440" t="s">
        <v>173</v>
      </c>
      <c r="F16" s="440"/>
      <c r="G16" s="440"/>
      <c r="H16" s="440" t="s">
        <v>175</v>
      </c>
      <c r="I16" s="440"/>
      <c r="J16" s="440"/>
      <c r="K16" s="440"/>
      <c r="L16" s="440"/>
      <c r="M16" s="440"/>
      <c r="N16" s="440" t="s">
        <v>283</v>
      </c>
      <c r="O16" s="440"/>
      <c r="P16" s="440"/>
      <c r="Q16" s="440"/>
      <c r="R16" s="440"/>
      <c r="S16" s="440"/>
      <c r="T16" s="440"/>
      <c r="U16" s="440"/>
      <c r="V16" s="440"/>
      <c r="W16" s="440"/>
      <c r="X16" s="439">
        <v>44157</v>
      </c>
      <c r="Y16" s="439"/>
    </row>
  </sheetData>
  <mergeCells count="46">
    <mergeCell ref="A5:X5"/>
    <mergeCell ref="A8:D8"/>
    <mergeCell ref="E8:G8"/>
    <mergeCell ref="H8:M8"/>
    <mergeCell ref="N8:W8"/>
    <mergeCell ref="X8:Y8"/>
    <mergeCell ref="A14:D14"/>
    <mergeCell ref="E14:G14"/>
    <mergeCell ref="H14:M14"/>
    <mergeCell ref="N14:W14"/>
    <mergeCell ref="X14:Y14"/>
    <mergeCell ref="A9:D9"/>
    <mergeCell ref="E9:G9"/>
    <mergeCell ref="H9:M9"/>
    <mergeCell ref="N9:W9"/>
    <mergeCell ref="X9:Y9"/>
    <mergeCell ref="A15:D15"/>
    <mergeCell ref="E15:G15"/>
    <mergeCell ref="H15:M15"/>
    <mergeCell ref="N15:W15"/>
    <mergeCell ref="X15:Y15"/>
    <mergeCell ref="A10:D10"/>
    <mergeCell ref="E10:G10"/>
    <mergeCell ref="H10:M10"/>
    <mergeCell ref="N10:W10"/>
    <mergeCell ref="X10:Y10"/>
    <mergeCell ref="A16:D16"/>
    <mergeCell ref="E16:G16"/>
    <mergeCell ref="H16:M16"/>
    <mergeCell ref="N16:W16"/>
    <mergeCell ref="X16:Y16"/>
    <mergeCell ref="A12:D12"/>
    <mergeCell ref="E12:G12"/>
    <mergeCell ref="H12:M12"/>
    <mergeCell ref="N12:W12"/>
    <mergeCell ref="X12:Y12"/>
    <mergeCell ref="A11:D11"/>
    <mergeCell ref="E11:G11"/>
    <mergeCell ref="H11:M11"/>
    <mergeCell ref="N11:W11"/>
    <mergeCell ref="X11:Y11"/>
    <mergeCell ref="A13:D13"/>
    <mergeCell ref="E13:G13"/>
    <mergeCell ref="H13:M13"/>
    <mergeCell ref="N13:W13"/>
    <mergeCell ref="X13:Y13"/>
  </mergeCells>
  <printOptions horizontalCentered="1"/>
  <pageMargins left="0.13541666666666666" right="0.375" top="0.51" bottom="0.51" header="0" footer="0.31"/>
  <pageSetup orientation="portrait" verticalDpi="4294967293" r:id="rId1"/>
  <headerFooter>
    <oddFooter xml:space="preserve">&amp;C&amp;G&amp;R&amp;"Arial,Normal"&amp;7Página &amp;Pde&amp;N&amp;8
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H346"/>
  <sheetViews>
    <sheetView topLeftCell="A235" workbookViewId="0">
      <selection activeCell="B265" sqref="B265"/>
    </sheetView>
  </sheetViews>
  <sheetFormatPr baseColWidth="10" defaultColWidth="11.44140625" defaultRowHeight="14.4" x14ac:dyDescent="0.3"/>
  <cols>
    <col min="1" max="1" width="7.109375" customWidth="1"/>
    <col min="2" max="2" width="62" bestFit="1" customWidth="1"/>
    <col min="3" max="3" width="84.44140625" bestFit="1" customWidth="1"/>
  </cols>
  <sheetData>
    <row r="2" spans="1:7" x14ac:dyDescent="0.3">
      <c r="A2" s="445" t="s">
        <v>284</v>
      </c>
      <c r="B2" s="445"/>
      <c r="C2" s="445"/>
    </row>
    <row r="3" spans="1:7" x14ac:dyDescent="0.3">
      <c r="A3" s="279"/>
      <c r="B3" s="446" t="s">
        <v>285</v>
      </c>
      <c r="C3" s="446"/>
    </row>
    <row r="4" spans="1:7" ht="6" customHeight="1" x14ac:dyDescent="0.3">
      <c r="A4" s="279"/>
      <c r="B4" s="287"/>
      <c r="C4" s="287"/>
    </row>
    <row r="5" spans="1:7" x14ac:dyDescent="0.3">
      <c r="A5" s="280" t="s">
        <v>286</v>
      </c>
      <c r="B5" s="280" t="s">
        <v>287</v>
      </c>
      <c r="C5" s="280" t="s">
        <v>288</v>
      </c>
    </row>
    <row r="6" spans="1:7" x14ac:dyDescent="0.3">
      <c r="A6" s="290" t="s">
        <v>867</v>
      </c>
      <c r="B6" s="290" t="s">
        <v>289</v>
      </c>
      <c r="C6" s="290" t="s">
        <v>290</v>
      </c>
      <c r="D6" s="158"/>
      <c r="E6" s="158"/>
      <c r="F6" s="158"/>
      <c r="G6" s="158"/>
    </row>
    <row r="7" spans="1:7" x14ac:dyDescent="0.3">
      <c r="A7" s="290" t="s">
        <v>868</v>
      </c>
      <c r="B7" s="290" t="s">
        <v>291</v>
      </c>
      <c r="C7" s="290" t="s">
        <v>292</v>
      </c>
      <c r="D7" s="158"/>
      <c r="E7" s="158"/>
      <c r="F7" s="158"/>
      <c r="G7" s="158"/>
    </row>
    <row r="8" spans="1:7" x14ac:dyDescent="0.3">
      <c r="A8" s="290" t="s">
        <v>869</v>
      </c>
      <c r="B8" s="290" t="s">
        <v>293</v>
      </c>
      <c r="C8" s="290" t="s">
        <v>294</v>
      </c>
      <c r="D8" s="158"/>
      <c r="E8" s="158"/>
      <c r="F8" s="158"/>
      <c r="G8" s="158"/>
    </row>
    <row r="9" spans="1:7" x14ac:dyDescent="0.3">
      <c r="A9" s="290" t="s">
        <v>870</v>
      </c>
      <c r="B9" s="290" t="s">
        <v>295</v>
      </c>
      <c r="C9" s="290" t="s">
        <v>296</v>
      </c>
      <c r="D9" s="158"/>
      <c r="E9" s="158"/>
      <c r="F9" s="158"/>
      <c r="G9" s="158"/>
    </row>
    <row r="10" spans="1:7" x14ac:dyDescent="0.3">
      <c r="A10" s="290" t="s">
        <v>871</v>
      </c>
      <c r="B10" s="290" t="s">
        <v>297</v>
      </c>
      <c r="C10" s="290" t="s">
        <v>298</v>
      </c>
      <c r="D10" s="158"/>
      <c r="E10" s="158"/>
      <c r="F10" s="158"/>
      <c r="G10" s="158"/>
    </row>
    <row r="11" spans="1:7" x14ac:dyDescent="0.3">
      <c r="A11" s="290" t="s">
        <v>872</v>
      </c>
      <c r="B11" s="290" t="s">
        <v>873</v>
      </c>
      <c r="C11" s="290" t="s">
        <v>874</v>
      </c>
      <c r="D11" s="158"/>
      <c r="E11" s="158"/>
      <c r="F11" s="158"/>
      <c r="G11" s="158"/>
    </row>
    <row r="12" spans="1:7" x14ac:dyDescent="0.3">
      <c r="A12" s="290" t="s">
        <v>875</v>
      </c>
      <c r="B12" s="290" t="s">
        <v>299</v>
      </c>
      <c r="C12" s="290" t="s">
        <v>300</v>
      </c>
      <c r="D12" s="158"/>
      <c r="E12" s="158"/>
      <c r="F12" s="158"/>
      <c r="G12" s="158"/>
    </row>
    <row r="13" spans="1:7" x14ac:dyDescent="0.3">
      <c r="A13" s="290" t="s">
        <v>876</v>
      </c>
      <c r="B13" s="290" t="s">
        <v>301</v>
      </c>
      <c r="C13" s="290" t="s">
        <v>302</v>
      </c>
      <c r="D13" s="158"/>
      <c r="E13" s="158"/>
      <c r="F13" s="158"/>
      <c r="G13" s="158"/>
    </row>
    <row r="14" spans="1:7" x14ac:dyDescent="0.3">
      <c r="A14" s="290" t="s">
        <v>877</v>
      </c>
      <c r="B14" s="290" t="s">
        <v>303</v>
      </c>
      <c r="C14" s="290" t="s">
        <v>304</v>
      </c>
      <c r="D14" s="158"/>
      <c r="E14" s="158"/>
      <c r="F14" s="158"/>
      <c r="G14" s="158"/>
    </row>
    <row r="15" spans="1:7" x14ac:dyDescent="0.3">
      <c r="A15" s="290" t="s">
        <v>878</v>
      </c>
      <c r="B15" s="290" t="s">
        <v>305</v>
      </c>
      <c r="C15" s="291" t="s">
        <v>306</v>
      </c>
      <c r="D15" s="158"/>
      <c r="E15" s="158"/>
      <c r="F15" s="158"/>
      <c r="G15" s="158"/>
    </row>
    <row r="16" spans="1:7" x14ac:dyDescent="0.3">
      <c r="A16" s="290" t="s">
        <v>879</v>
      </c>
      <c r="B16" s="290" t="s">
        <v>307</v>
      </c>
      <c r="C16" s="290" t="s">
        <v>308</v>
      </c>
      <c r="D16" s="158"/>
      <c r="E16" s="158"/>
      <c r="F16" s="158"/>
      <c r="G16" s="158"/>
    </row>
    <row r="17" spans="1:7" x14ac:dyDescent="0.3">
      <c r="A17" s="290" t="s">
        <v>880</v>
      </c>
      <c r="B17" s="290" t="s">
        <v>309</v>
      </c>
      <c r="C17" s="290" t="s">
        <v>310</v>
      </c>
      <c r="D17" s="158"/>
      <c r="E17" s="158"/>
      <c r="F17" s="158"/>
      <c r="G17" s="158"/>
    </row>
    <row r="18" spans="1:7" x14ac:dyDescent="0.3">
      <c r="A18" s="290" t="s">
        <v>881</v>
      </c>
      <c r="B18" s="290" t="s">
        <v>311</v>
      </c>
      <c r="C18" s="290" t="s">
        <v>312</v>
      </c>
      <c r="D18" s="158"/>
      <c r="E18" s="158"/>
      <c r="F18" s="158"/>
      <c r="G18" s="158"/>
    </row>
    <row r="19" spans="1:7" x14ac:dyDescent="0.3">
      <c r="A19" s="290" t="s">
        <v>882</v>
      </c>
      <c r="B19" s="290" t="s">
        <v>313</v>
      </c>
      <c r="C19" s="290" t="s">
        <v>314</v>
      </c>
      <c r="D19" s="158"/>
      <c r="E19" s="158"/>
      <c r="F19" s="158"/>
      <c r="G19" s="158"/>
    </row>
    <row r="20" spans="1:7" x14ac:dyDescent="0.3">
      <c r="A20" s="290" t="s">
        <v>883</v>
      </c>
      <c r="B20" s="290" t="s">
        <v>315</v>
      </c>
      <c r="C20" s="290" t="s">
        <v>316</v>
      </c>
      <c r="D20" s="158"/>
      <c r="E20" s="158"/>
      <c r="F20" s="158"/>
      <c r="G20" s="158"/>
    </row>
    <row r="21" spans="1:7" x14ac:dyDescent="0.3">
      <c r="A21" s="290" t="s">
        <v>884</v>
      </c>
      <c r="B21" s="290" t="s">
        <v>317</v>
      </c>
      <c r="C21" s="290" t="s">
        <v>885</v>
      </c>
      <c r="D21" s="158"/>
      <c r="E21" s="158"/>
      <c r="F21" s="158"/>
      <c r="G21" s="158"/>
    </row>
    <row r="22" spans="1:7" x14ac:dyDescent="0.3">
      <c r="A22" s="290" t="s">
        <v>886</v>
      </c>
      <c r="B22" s="290" t="s">
        <v>318</v>
      </c>
      <c r="C22" s="290" t="s">
        <v>319</v>
      </c>
      <c r="D22" s="158"/>
      <c r="E22" s="158"/>
      <c r="F22" s="158"/>
      <c r="G22" s="158"/>
    </row>
    <row r="23" spans="1:7" x14ac:dyDescent="0.3">
      <c r="A23" s="290" t="s">
        <v>887</v>
      </c>
      <c r="B23" s="290" t="s">
        <v>320</v>
      </c>
      <c r="C23" s="290" t="s">
        <v>321</v>
      </c>
      <c r="D23" s="158"/>
      <c r="E23" s="158"/>
      <c r="F23" s="158"/>
      <c r="G23" s="158"/>
    </row>
    <row r="24" spans="1:7" x14ac:dyDescent="0.3">
      <c r="A24" s="290" t="s">
        <v>888</v>
      </c>
      <c r="B24" s="290" t="s">
        <v>322</v>
      </c>
      <c r="C24" s="290" t="s">
        <v>323</v>
      </c>
      <c r="D24" s="158"/>
      <c r="E24" s="158"/>
      <c r="F24" s="158"/>
      <c r="G24" s="158"/>
    </row>
    <row r="25" spans="1:7" ht="26.4" x14ac:dyDescent="0.3">
      <c r="A25" s="290" t="s">
        <v>889</v>
      </c>
      <c r="B25" s="290" t="s">
        <v>890</v>
      </c>
      <c r="C25" s="292" t="s">
        <v>891</v>
      </c>
      <c r="D25" s="158"/>
      <c r="E25" s="158"/>
      <c r="F25" s="158"/>
      <c r="G25" s="158"/>
    </row>
    <row r="26" spans="1:7" x14ac:dyDescent="0.3">
      <c r="A26" s="290" t="s">
        <v>892</v>
      </c>
      <c r="B26" s="290" t="s">
        <v>324</v>
      </c>
      <c r="C26" s="292" t="s">
        <v>319</v>
      </c>
      <c r="D26" s="158"/>
      <c r="E26" s="158"/>
      <c r="F26" s="158"/>
      <c r="G26" s="158"/>
    </row>
    <row r="27" spans="1:7" x14ac:dyDescent="0.3">
      <c r="A27" s="290" t="s">
        <v>893</v>
      </c>
      <c r="B27" s="290" t="s">
        <v>325</v>
      </c>
      <c r="C27" s="290" t="s">
        <v>326</v>
      </c>
      <c r="D27" s="158"/>
      <c r="E27" s="158"/>
      <c r="F27" s="158"/>
      <c r="G27" s="158"/>
    </row>
    <row r="28" spans="1:7" x14ac:dyDescent="0.3">
      <c r="A28" s="290" t="s">
        <v>894</v>
      </c>
      <c r="B28" s="290" t="s">
        <v>327</v>
      </c>
      <c r="C28" s="290" t="s">
        <v>328</v>
      </c>
      <c r="D28" s="158"/>
      <c r="E28" s="158"/>
      <c r="F28" s="158"/>
      <c r="G28" s="158"/>
    </row>
    <row r="29" spans="1:7" x14ac:dyDescent="0.3">
      <c r="A29" s="290" t="s">
        <v>895</v>
      </c>
      <c r="B29" s="290" t="s">
        <v>329</v>
      </c>
      <c r="C29" s="290" t="s">
        <v>330</v>
      </c>
      <c r="D29" s="158"/>
      <c r="E29" s="158"/>
      <c r="F29" s="158"/>
      <c r="G29" s="158"/>
    </row>
    <row r="30" spans="1:7" x14ac:dyDescent="0.3">
      <c r="A30" s="290" t="s">
        <v>896</v>
      </c>
      <c r="B30" s="290" t="s">
        <v>331</v>
      </c>
      <c r="C30" s="290" t="s">
        <v>332</v>
      </c>
      <c r="D30" s="158"/>
      <c r="E30" s="158"/>
      <c r="F30" s="158"/>
      <c r="G30" s="158"/>
    </row>
    <row r="31" spans="1:7" ht="26.4" x14ac:dyDescent="0.3">
      <c r="A31" s="290" t="s">
        <v>897</v>
      </c>
      <c r="B31" s="293" t="s">
        <v>333</v>
      </c>
      <c r="C31" s="294" t="s">
        <v>898</v>
      </c>
      <c r="D31" s="158"/>
      <c r="E31" s="158"/>
      <c r="F31" s="158"/>
      <c r="G31" s="158"/>
    </row>
    <row r="32" spans="1:7" x14ac:dyDescent="0.3">
      <c r="A32" s="290" t="s">
        <v>899</v>
      </c>
      <c r="B32" s="293" t="s">
        <v>334</v>
      </c>
      <c r="C32" s="294" t="s">
        <v>335</v>
      </c>
      <c r="D32" s="158"/>
      <c r="E32" s="158"/>
      <c r="F32" s="158"/>
      <c r="G32" s="158"/>
    </row>
    <row r="33" spans="1:7" x14ac:dyDescent="0.3">
      <c r="A33" s="290" t="s">
        <v>900</v>
      </c>
      <c r="B33" s="293" t="s">
        <v>336</v>
      </c>
      <c r="C33" s="294" t="s">
        <v>337</v>
      </c>
      <c r="D33" s="158"/>
      <c r="E33" s="158"/>
      <c r="F33" s="158"/>
      <c r="G33" s="158"/>
    </row>
    <row r="34" spans="1:7" x14ac:dyDescent="0.3">
      <c r="A34" s="290" t="s">
        <v>901</v>
      </c>
      <c r="B34" s="293" t="s">
        <v>338</v>
      </c>
      <c r="C34" s="294" t="s">
        <v>339</v>
      </c>
      <c r="D34" s="158"/>
      <c r="E34" s="158"/>
      <c r="F34" s="158"/>
      <c r="G34" s="158"/>
    </row>
    <row r="35" spans="1:7" x14ac:dyDescent="0.3">
      <c r="A35" s="290" t="s">
        <v>902</v>
      </c>
      <c r="B35" s="293" t="s">
        <v>903</v>
      </c>
      <c r="C35" s="294" t="s">
        <v>904</v>
      </c>
      <c r="D35" s="158"/>
      <c r="E35" s="158"/>
      <c r="F35" s="158"/>
      <c r="G35" s="158"/>
    </row>
    <row r="36" spans="1:7" x14ac:dyDescent="0.3">
      <c r="A36" s="290" t="s">
        <v>905</v>
      </c>
      <c r="B36" s="293" t="s">
        <v>906</v>
      </c>
      <c r="C36" s="294" t="s">
        <v>907</v>
      </c>
      <c r="D36" s="158"/>
      <c r="E36" s="158"/>
      <c r="F36" s="158"/>
      <c r="G36" s="158"/>
    </row>
    <row r="37" spans="1:7" x14ac:dyDescent="0.3">
      <c r="A37" s="290" t="s">
        <v>908</v>
      </c>
      <c r="B37" s="293" t="s">
        <v>340</v>
      </c>
      <c r="C37" s="294" t="s">
        <v>341</v>
      </c>
      <c r="D37" s="158"/>
      <c r="E37" s="158"/>
      <c r="F37" s="158"/>
      <c r="G37" s="158"/>
    </row>
    <row r="38" spans="1:7" x14ac:dyDescent="0.3">
      <c r="A38" s="290" t="s">
        <v>909</v>
      </c>
      <c r="B38" s="293" t="s">
        <v>342</v>
      </c>
      <c r="C38" s="294" t="s">
        <v>343</v>
      </c>
      <c r="D38" s="158"/>
      <c r="E38" s="158"/>
      <c r="F38" s="158"/>
      <c r="G38" s="158"/>
    </row>
    <row r="39" spans="1:7" x14ac:dyDescent="0.3">
      <c r="A39" s="295"/>
      <c r="B39" s="293" t="s">
        <v>1296</v>
      </c>
      <c r="C39" s="294" t="s">
        <v>1297</v>
      </c>
      <c r="D39" s="158"/>
      <c r="E39" s="158"/>
      <c r="F39" s="158"/>
      <c r="G39" s="158"/>
    </row>
    <row r="40" spans="1:7" x14ac:dyDescent="0.3">
      <c r="A40" s="290" t="s">
        <v>910</v>
      </c>
      <c r="B40" s="290" t="s">
        <v>911</v>
      </c>
      <c r="C40" s="290" t="s">
        <v>912</v>
      </c>
      <c r="D40" s="158"/>
      <c r="E40" s="158"/>
      <c r="F40" s="158"/>
      <c r="G40" s="158"/>
    </row>
    <row r="41" spans="1:7" x14ac:dyDescent="0.3">
      <c r="A41" s="290" t="s">
        <v>913</v>
      </c>
      <c r="B41" s="290" t="s">
        <v>344</v>
      </c>
      <c r="C41" s="290" t="s">
        <v>345</v>
      </c>
      <c r="D41" s="158"/>
      <c r="E41" s="158"/>
      <c r="F41" s="158"/>
      <c r="G41" s="158"/>
    </row>
    <row r="42" spans="1:7" x14ac:dyDescent="0.3">
      <c r="A42" s="290" t="s">
        <v>914</v>
      </c>
      <c r="B42" s="290" t="s">
        <v>346</v>
      </c>
      <c r="C42" s="290" t="s">
        <v>347</v>
      </c>
      <c r="D42" s="158"/>
      <c r="E42" s="158"/>
      <c r="F42" s="158"/>
      <c r="G42" s="158"/>
    </row>
    <row r="43" spans="1:7" x14ac:dyDescent="0.3">
      <c r="A43" s="290" t="s">
        <v>915</v>
      </c>
      <c r="B43" s="290" t="s">
        <v>348</v>
      </c>
      <c r="C43" s="290" t="s">
        <v>349</v>
      </c>
      <c r="D43" s="158"/>
      <c r="E43" s="158"/>
      <c r="F43" s="158"/>
      <c r="G43" s="158"/>
    </row>
    <row r="44" spans="1:7" x14ac:dyDescent="0.3">
      <c r="A44" s="290" t="s">
        <v>916</v>
      </c>
      <c r="B44" s="290" t="s">
        <v>350</v>
      </c>
      <c r="C44" s="290" t="s">
        <v>351</v>
      </c>
      <c r="D44" s="158"/>
      <c r="E44" s="158"/>
      <c r="F44" s="158"/>
      <c r="G44" s="158"/>
    </row>
    <row r="45" spans="1:7" x14ac:dyDescent="0.3">
      <c r="A45" s="290" t="s">
        <v>917</v>
      </c>
      <c r="B45" s="290" t="s">
        <v>352</v>
      </c>
      <c r="C45" s="290" t="s">
        <v>353</v>
      </c>
      <c r="D45" s="158"/>
      <c r="E45" s="158"/>
      <c r="F45" s="158"/>
      <c r="G45" s="158"/>
    </row>
    <row r="46" spans="1:7" x14ac:dyDescent="0.3">
      <c r="A46" s="290" t="s">
        <v>918</v>
      </c>
      <c r="B46" s="290" t="s">
        <v>354</v>
      </c>
      <c r="C46" s="290" t="s">
        <v>355</v>
      </c>
      <c r="D46" s="158"/>
      <c r="E46" s="158"/>
      <c r="F46" s="158"/>
      <c r="G46" s="158"/>
    </row>
    <row r="47" spans="1:7" x14ac:dyDescent="0.3">
      <c r="A47" s="290" t="s">
        <v>919</v>
      </c>
      <c r="B47" s="290" t="s">
        <v>356</v>
      </c>
      <c r="C47" s="290" t="s">
        <v>357</v>
      </c>
      <c r="D47" s="158"/>
      <c r="E47" s="158"/>
      <c r="F47" s="158"/>
      <c r="G47" s="158"/>
    </row>
    <row r="48" spans="1:7" x14ac:dyDescent="0.3">
      <c r="A48" s="290" t="s">
        <v>920</v>
      </c>
      <c r="B48" s="290" t="s">
        <v>921</v>
      </c>
      <c r="C48" s="290" t="s">
        <v>358</v>
      </c>
      <c r="D48" s="158"/>
      <c r="E48" s="158"/>
      <c r="F48" s="158"/>
      <c r="G48" s="158"/>
    </row>
    <row r="49" spans="1:7" x14ac:dyDescent="0.3">
      <c r="A49" s="290" t="s">
        <v>922</v>
      </c>
      <c r="B49" s="290" t="s">
        <v>359</v>
      </c>
      <c r="C49" s="290" t="s">
        <v>360</v>
      </c>
      <c r="D49" s="158"/>
      <c r="E49" s="158"/>
      <c r="F49" s="158"/>
      <c r="G49" s="158"/>
    </row>
    <row r="50" spans="1:7" x14ac:dyDescent="0.3">
      <c r="A50" s="290" t="s">
        <v>923</v>
      </c>
      <c r="B50" s="290" t="s">
        <v>361</v>
      </c>
      <c r="C50" s="290" t="s">
        <v>362</v>
      </c>
      <c r="D50" s="158"/>
      <c r="E50" s="158"/>
      <c r="F50" s="158"/>
      <c r="G50" s="158"/>
    </row>
    <row r="51" spans="1:7" x14ac:dyDescent="0.3">
      <c r="A51" s="290" t="s">
        <v>924</v>
      </c>
      <c r="B51" s="290" t="s">
        <v>363</v>
      </c>
      <c r="C51" s="290" t="s">
        <v>328</v>
      </c>
      <c r="D51" s="158"/>
      <c r="E51" s="158"/>
      <c r="F51" s="158"/>
      <c r="G51" s="158"/>
    </row>
    <row r="52" spans="1:7" x14ac:dyDescent="0.3">
      <c r="A52" s="290" t="s">
        <v>925</v>
      </c>
      <c r="B52" s="290" t="s">
        <v>364</v>
      </c>
      <c r="C52" s="290" t="s">
        <v>365</v>
      </c>
      <c r="D52" s="158"/>
      <c r="E52" s="158"/>
      <c r="F52" s="158"/>
      <c r="G52" s="158"/>
    </row>
    <row r="53" spans="1:7" x14ac:dyDescent="0.3">
      <c r="A53" s="290" t="s">
        <v>926</v>
      </c>
      <c r="B53" s="290" t="s">
        <v>366</v>
      </c>
      <c r="C53" s="290" t="s">
        <v>367</v>
      </c>
      <c r="D53" s="158"/>
      <c r="E53" s="158"/>
      <c r="F53" s="158"/>
      <c r="G53" s="158"/>
    </row>
    <row r="54" spans="1:7" x14ac:dyDescent="0.3">
      <c r="A54" s="290" t="s">
        <v>927</v>
      </c>
      <c r="B54" s="290" t="s">
        <v>368</v>
      </c>
      <c r="C54" s="290" t="s">
        <v>369</v>
      </c>
      <c r="D54" s="158"/>
      <c r="E54" s="158"/>
      <c r="F54" s="158"/>
      <c r="G54" s="158"/>
    </row>
    <row r="55" spans="1:7" x14ac:dyDescent="0.3">
      <c r="A55" s="290" t="s">
        <v>928</v>
      </c>
      <c r="B55" s="290" t="s">
        <v>370</v>
      </c>
      <c r="C55" s="290" t="s">
        <v>371</v>
      </c>
      <c r="D55" s="158"/>
      <c r="E55" s="158"/>
      <c r="F55" s="158"/>
      <c r="G55" s="158"/>
    </row>
    <row r="56" spans="1:7" x14ac:dyDescent="0.3">
      <c r="A56" s="290" t="s">
        <v>929</v>
      </c>
      <c r="B56" s="290" t="s">
        <v>372</v>
      </c>
      <c r="C56" s="290" t="s">
        <v>373</v>
      </c>
      <c r="D56" s="158"/>
      <c r="E56" s="158"/>
      <c r="F56" s="158"/>
      <c r="G56" s="158"/>
    </row>
    <row r="57" spans="1:7" x14ac:dyDescent="0.3">
      <c r="A57" s="290" t="s">
        <v>930</v>
      </c>
      <c r="B57" s="290" t="s">
        <v>374</v>
      </c>
      <c r="C57" s="290" t="s">
        <v>375</v>
      </c>
      <c r="D57" s="158"/>
      <c r="E57" s="158"/>
      <c r="F57" s="158"/>
      <c r="G57" s="158"/>
    </row>
    <row r="58" spans="1:7" x14ac:dyDescent="0.3">
      <c r="A58" s="290" t="s">
        <v>931</v>
      </c>
      <c r="B58" s="290" t="s">
        <v>376</v>
      </c>
      <c r="C58" s="290" t="s">
        <v>377</v>
      </c>
      <c r="D58" s="158"/>
      <c r="E58" s="158"/>
      <c r="F58" s="158"/>
      <c r="G58" s="158"/>
    </row>
    <row r="59" spans="1:7" x14ac:dyDescent="0.3">
      <c r="A59" s="290" t="s">
        <v>932</v>
      </c>
      <c r="B59" s="290" t="s">
        <v>378</v>
      </c>
      <c r="C59" s="290" t="s">
        <v>379</v>
      </c>
      <c r="D59" s="158"/>
      <c r="E59" s="158"/>
      <c r="F59" s="158"/>
      <c r="G59" s="158"/>
    </row>
    <row r="60" spans="1:7" x14ac:dyDescent="0.3">
      <c r="A60" s="290" t="s">
        <v>933</v>
      </c>
      <c r="B60" s="290" t="s">
        <v>380</v>
      </c>
      <c r="C60" s="290" t="s">
        <v>381</v>
      </c>
      <c r="D60" s="158"/>
      <c r="E60" s="158"/>
      <c r="F60" s="158"/>
      <c r="G60" s="158"/>
    </row>
    <row r="61" spans="1:7" x14ac:dyDescent="0.3">
      <c r="A61" s="290" t="s">
        <v>934</v>
      </c>
      <c r="B61" s="290" t="s">
        <v>382</v>
      </c>
      <c r="C61" s="290" t="s">
        <v>383</v>
      </c>
      <c r="D61" s="158"/>
      <c r="E61" s="158"/>
      <c r="F61" s="158"/>
      <c r="G61" s="158"/>
    </row>
    <row r="62" spans="1:7" x14ac:dyDescent="0.3">
      <c r="A62" s="290" t="s">
        <v>935</v>
      </c>
      <c r="B62" s="290" t="s">
        <v>384</v>
      </c>
      <c r="C62" s="290" t="s">
        <v>385</v>
      </c>
      <c r="D62" s="158"/>
      <c r="E62" s="158"/>
      <c r="F62" s="158"/>
      <c r="G62" s="158"/>
    </row>
    <row r="63" spans="1:7" x14ac:dyDescent="0.3">
      <c r="A63" s="290" t="s">
        <v>936</v>
      </c>
      <c r="B63" s="290" t="s">
        <v>386</v>
      </c>
      <c r="C63" s="290" t="s">
        <v>387</v>
      </c>
      <c r="D63" s="158"/>
      <c r="E63" s="158"/>
      <c r="F63" s="158"/>
      <c r="G63" s="158"/>
    </row>
    <row r="64" spans="1:7" x14ac:dyDescent="0.3">
      <c r="A64" s="290" t="s">
        <v>937</v>
      </c>
      <c r="B64" s="290" t="s">
        <v>388</v>
      </c>
      <c r="C64" s="290" t="s">
        <v>389</v>
      </c>
      <c r="D64" s="158"/>
      <c r="E64" s="158"/>
      <c r="F64" s="158"/>
      <c r="G64" s="158"/>
    </row>
    <row r="65" spans="1:7" x14ac:dyDescent="0.3">
      <c r="A65" s="290" t="s">
        <v>938</v>
      </c>
      <c r="B65" s="290" t="s">
        <v>390</v>
      </c>
      <c r="C65" s="290" t="s">
        <v>391</v>
      </c>
      <c r="D65" s="158"/>
      <c r="E65" s="158"/>
      <c r="F65" s="158"/>
      <c r="G65" s="158"/>
    </row>
    <row r="66" spans="1:7" x14ac:dyDescent="0.3">
      <c r="A66" s="290" t="s">
        <v>939</v>
      </c>
      <c r="B66" s="290" t="s">
        <v>392</v>
      </c>
      <c r="C66" s="290" t="s">
        <v>393</v>
      </c>
      <c r="D66" s="158"/>
      <c r="E66" s="158"/>
      <c r="F66" s="158"/>
      <c r="G66" s="158"/>
    </row>
    <row r="67" spans="1:7" x14ac:dyDescent="0.3">
      <c r="A67" s="290" t="s">
        <v>940</v>
      </c>
      <c r="B67" s="290" t="s">
        <v>394</v>
      </c>
      <c r="C67" s="290" t="s">
        <v>395</v>
      </c>
      <c r="D67" s="158"/>
      <c r="E67" s="158"/>
      <c r="F67" s="158"/>
      <c r="G67" s="158"/>
    </row>
    <row r="68" spans="1:7" x14ac:dyDescent="0.3">
      <c r="A68" s="290" t="s">
        <v>941</v>
      </c>
      <c r="B68" s="290" t="s">
        <v>396</v>
      </c>
      <c r="C68" s="290" t="s">
        <v>328</v>
      </c>
      <c r="D68" s="158"/>
      <c r="E68" s="158"/>
      <c r="F68" s="158"/>
      <c r="G68" s="158"/>
    </row>
    <row r="69" spans="1:7" x14ac:dyDescent="0.3">
      <c r="A69" s="290" t="s">
        <v>942</v>
      </c>
      <c r="B69" s="290" t="s">
        <v>397</v>
      </c>
      <c r="C69" s="290" t="s">
        <v>398</v>
      </c>
      <c r="D69" s="158"/>
      <c r="E69" s="158"/>
      <c r="F69" s="158"/>
      <c r="G69" s="158"/>
    </row>
    <row r="70" spans="1:7" x14ac:dyDescent="0.3">
      <c r="A70" s="290" t="s">
        <v>943</v>
      </c>
      <c r="B70" s="290" t="s">
        <v>399</v>
      </c>
      <c r="C70" s="290" t="s">
        <v>400</v>
      </c>
      <c r="D70" s="158"/>
      <c r="E70" s="158"/>
      <c r="F70" s="158"/>
      <c r="G70" s="158"/>
    </row>
    <row r="71" spans="1:7" x14ac:dyDescent="0.3">
      <c r="A71" s="290" t="s">
        <v>944</v>
      </c>
      <c r="B71" s="290" t="s">
        <v>401</v>
      </c>
      <c r="C71" s="290" t="s">
        <v>402</v>
      </c>
      <c r="D71" s="158"/>
      <c r="E71" s="158"/>
      <c r="F71" s="158"/>
      <c r="G71" s="158"/>
    </row>
    <row r="72" spans="1:7" x14ac:dyDescent="0.3">
      <c r="A72" s="290" t="s">
        <v>945</v>
      </c>
      <c r="B72" s="290" t="s">
        <v>403</v>
      </c>
      <c r="C72" s="290" t="s">
        <v>404</v>
      </c>
      <c r="D72" s="158"/>
      <c r="E72" s="158"/>
      <c r="F72" s="158"/>
      <c r="G72" s="158"/>
    </row>
    <row r="73" spans="1:7" x14ac:dyDescent="0.3">
      <c r="A73" s="290" t="s">
        <v>946</v>
      </c>
      <c r="B73" s="290" t="s">
        <v>405</v>
      </c>
      <c r="C73" s="290" t="s">
        <v>406</v>
      </c>
      <c r="D73" s="158"/>
      <c r="E73" s="158"/>
      <c r="F73" s="158"/>
      <c r="G73" s="158"/>
    </row>
    <row r="74" spans="1:7" x14ac:dyDescent="0.3">
      <c r="A74" s="290" t="s">
        <v>947</v>
      </c>
      <c r="B74" s="290" t="s">
        <v>407</v>
      </c>
      <c r="C74" s="290" t="s">
        <v>408</v>
      </c>
      <c r="D74" s="158"/>
      <c r="E74" s="158"/>
      <c r="F74" s="158"/>
      <c r="G74" s="158"/>
    </row>
    <row r="75" spans="1:7" x14ac:dyDescent="0.3">
      <c r="A75" s="290" t="s">
        <v>948</v>
      </c>
      <c r="B75" s="290" t="s">
        <v>409</v>
      </c>
      <c r="C75" s="290" t="s">
        <v>410</v>
      </c>
      <c r="D75" s="158"/>
      <c r="E75" s="158"/>
      <c r="F75" s="158"/>
      <c r="G75" s="158"/>
    </row>
    <row r="76" spans="1:7" x14ac:dyDescent="0.3">
      <c r="A76" s="290" t="s">
        <v>949</v>
      </c>
      <c r="B76" s="290" t="s">
        <v>411</v>
      </c>
      <c r="C76" s="290" t="s">
        <v>412</v>
      </c>
      <c r="D76" s="158"/>
      <c r="E76" s="158"/>
      <c r="F76" s="158"/>
      <c r="G76" s="158"/>
    </row>
    <row r="77" spans="1:7" x14ac:dyDescent="0.3">
      <c r="A77" s="290" t="s">
        <v>950</v>
      </c>
      <c r="B77" s="290" t="s">
        <v>413</v>
      </c>
      <c r="C77" s="290" t="s">
        <v>414</v>
      </c>
      <c r="D77" s="158"/>
      <c r="E77" s="158"/>
      <c r="F77" s="158"/>
      <c r="G77" s="158"/>
    </row>
    <row r="78" spans="1:7" x14ac:dyDescent="0.3">
      <c r="A78" s="290" t="s">
        <v>951</v>
      </c>
      <c r="B78" s="290" t="s">
        <v>415</v>
      </c>
      <c r="C78" s="290" t="s">
        <v>416</v>
      </c>
      <c r="D78" s="158"/>
      <c r="E78" s="158"/>
      <c r="F78" s="158"/>
      <c r="G78" s="158"/>
    </row>
    <row r="79" spans="1:7" x14ac:dyDescent="0.3">
      <c r="A79" s="290" t="s">
        <v>952</v>
      </c>
      <c r="B79" s="290" t="s">
        <v>417</v>
      </c>
      <c r="C79" s="290" t="s">
        <v>418</v>
      </c>
      <c r="D79" s="158"/>
      <c r="E79" s="158"/>
      <c r="F79" s="158"/>
      <c r="G79" s="158"/>
    </row>
    <row r="80" spans="1:7" x14ac:dyDescent="0.3">
      <c r="A80" s="290" t="s">
        <v>953</v>
      </c>
      <c r="B80" s="290" t="s">
        <v>954</v>
      </c>
      <c r="C80" s="290" t="s">
        <v>955</v>
      </c>
      <c r="D80" s="158"/>
      <c r="E80" s="158"/>
      <c r="F80" s="158"/>
      <c r="G80" s="158"/>
    </row>
    <row r="81" spans="1:7" x14ac:dyDescent="0.3">
      <c r="A81" s="290" t="s">
        <v>956</v>
      </c>
      <c r="B81" s="290" t="s">
        <v>419</v>
      </c>
      <c r="C81" s="290" t="s">
        <v>335</v>
      </c>
      <c r="D81" s="158"/>
      <c r="E81" s="158"/>
      <c r="F81" s="158"/>
      <c r="G81" s="158"/>
    </row>
    <row r="82" spans="1:7" x14ac:dyDescent="0.3">
      <c r="A82" s="290" t="s">
        <v>957</v>
      </c>
      <c r="B82" s="290" t="s">
        <v>420</v>
      </c>
      <c r="C82" s="290" t="s">
        <v>421</v>
      </c>
      <c r="D82" s="158"/>
      <c r="E82" s="158"/>
      <c r="F82" s="158"/>
      <c r="G82" s="158"/>
    </row>
    <row r="83" spans="1:7" x14ac:dyDescent="0.3">
      <c r="A83" s="290" t="s">
        <v>958</v>
      </c>
      <c r="B83" s="290" t="s">
        <v>422</v>
      </c>
      <c r="C83" s="290" t="s">
        <v>423</v>
      </c>
      <c r="D83" s="158"/>
      <c r="E83" s="158"/>
      <c r="F83" s="158"/>
      <c r="G83" s="158"/>
    </row>
    <row r="84" spans="1:7" x14ac:dyDescent="0.3">
      <c r="A84" s="290" t="s">
        <v>959</v>
      </c>
      <c r="B84" s="290" t="s">
        <v>424</v>
      </c>
      <c r="C84" s="290" t="s">
        <v>425</v>
      </c>
      <c r="D84" s="158"/>
      <c r="E84" s="158"/>
      <c r="F84" s="158"/>
      <c r="G84" s="158"/>
    </row>
    <row r="85" spans="1:7" x14ac:dyDescent="0.3">
      <c r="A85" s="290" t="s">
        <v>960</v>
      </c>
      <c r="B85" s="290" t="s">
        <v>426</v>
      </c>
      <c r="C85" s="290" t="s">
        <v>427</v>
      </c>
      <c r="D85" s="158"/>
      <c r="E85" s="158"/>
      <c r="F85" s="158"/>
      <c r="G85" s="158"/>
    </row>
    <row r="86" spans="1:7" x14ac:dyDescent="0.3">
      <c r="A86" s="290" t="s">
        <v>961</v>
      </c>
      <c r="B86" s="290" t="s">
        <v>428</v>
      </c>
      <c r="C86" s="290" t="s">
        <v>429</v>
      </c>
      <c r="D86" s="158"/>
      <c r="E86" s="158"/>
      <c r="F86" s="158"/>
      <c r="G86" s="158"/>
    </row>
    <row r="87" spans="1:7" x14ac:dyDescent="0.3">
      <c r="A87" s="290" t="s">
        <v>962</v>
      </c>
      <c r="B87" s="290" t="s">
        <v>430</v>
      </c>
      <c r="C87" s="290" t="s">
        <v>328</v>
      </c>
      <c r="D87" s="158"/>
      <c r="E87" s="158"/>
      <c r="F87" s="158"/>
      <c r="G87" s="158"/>
    </row>
    <row r="88" spans="1:7" x14ac:dyDescent="0.3">
      <c r="A88" s="290" t="s">
        <v>963</v>
      </c>
      <c r="B88" s="290" t="s">
        <v>964</v>
      </c>
      <c r="C88" s="290" t="s">
        <v>965</v>
      </c>
      <c r="D88" s="158"/>
      <c r="E88" s="158"/>
      <c r="F88" s="158"/>
      <c r="G88" s="158"/>
    </row>
    <row r="89" spans="1:7" x14ac:dyDescent="0.3">
      <c r="A89" s="290" t="s">
        <v>966</v>
      </c>
      <c r="B89" s="290" t="s">
        <v>431</v>
      </c>
      <c r="C89" s="290" t="s">
        <v>432</v>
      </c>
      <c r="D89" s="158"/>
      <c r="E89" s="158"/>
      <c r="F89" s="158"/>
      <c r="G89" s="158"/>
    </row>
    <row r="90" spans="1:7" x14ac:dyDescent="0.3">
      <c r="A90" s="290" t="s">
        <v>967</v>
      </c>
      <c r="B90" s="290" t="s">
        <v>433</v>
      </c>
      <c r="C90" s="290" t="s">
        <v>434</v>
      </c>
      <c r="D90" s="158"/>
      <c r="E90" s="158"/>
      <c r="F90" s="158"/>
      <c r="G90" s="158"/>
    </row>
    <row r="91" spans="1:7" x14ac:dyDescent="0.3">
      <c r="A91" s="290" t="s">
        <v>968</v>
      </c>
      <c r="B91" s="290" t="s">
        <v>435</v>
      </c>
      <c r="C91" s="290" t="s">
        <v>436</v>
      </c>
      <c r="D91" s="158"/>
      <c r="E91" s="158"/>
      <c r="F91" s="158"/>
      <c r="G91" s="158"/>
    </row>
    <row r="92" spans="1:7" x14ac:dyDescent="0.3">
      <c r="A92" s="290" t="s">
        <v>969</v>
      </c>
      <c r="B92" s="290" t="s">
        <v>970</v>
      </c>
      <c r="C92" s="290" t="s">
        <v>437</v>
      </c>
      <c r="D92" s="158"/>
      <c r="E92" s="158"/>
      <c r="F92" s="158"/>
      <c r="G92" s="158"/>
    </row>
    <row r="93" spans="1:7" x14ac:dyDescent="0.3">
      <c r="A93" s="290" t="s">
        <v>971</v>
      </c>
      <c r="B93" s="290" t="s">
        <v>438</v>
      </c>
      <c r="C93" s="290" t="s">
        <v>439</v>
      </c>
      <c r="D93" s="158"/>
      <c r="E93" s="158"/>
      <c r="F93" s="158"/>
      <c r="G93" s="158"/>
    </row>
    <row r="94" spans="1:7" x14ac:dyDescent="0.3">
      <c r="A94" s="290" t="s">
        <v>972</v>
      </c>
      <c r="B94" s="290" t="s">
        <v>440</v>
      </c>
      <c r="C94" s="290" t="s">
        <v>328</v>
      </c>
      <c r="D94" s="158"/>
      <c r="E94" s="158"/>
      <c r="F94" s="158"/>
      <c r="G94" s="158"/>
    </row>
    <row r="95" spans="1:7" x14ac:dyDescent="0.3">
      <c r="A95" s="290" t="s">
        <v>973</v>
      </c>
      <c r="B95" s="290" t="s">
        <v>441</v>
      </c>
      <c r="C95" s="290" t="s">
        <v>442</v>
      </c>
      <c r="D95" s="158"/>
      <c r="E95" s="158"/>
      <c r="F95" s="158"/>
      <c r="G95" s="158"/>
    </row>
    <row r="96" spans="1:7" x14ac:dyDescent="0.3">
      <c r="A96" s="290" t="s">
        <v>974</v>
      </c>
      <c r="B96" s="290" t="s">
        <v>443</v>
      </c>
      <c r="C96" s="290" t="s">
        <v>444</v>
      </c>
      <c r="D96" s="158"/>
      <c r="E96" s="158"/>
      <c r="F96" s="158"/>
      <c r="G96" s="158"/>
    </row>
    <row r="97" spans="1:7" x14ac:dyDescent="0.3">
      <c r="A97" s="290" t="s">
        <v>975</v>
      </c>
      <c r="B97" s="290" t="s">
        <v>445</v>
      </c>
      <c r="C97" s="290" t="s">
        <v>446</v>
      </c>
      <c r="D97" s="158"/>
      <c r="E97" s="158"/>
      <c r="F97" s="158"/>
      <c r="G97" s="158"/>
    </row>
    <row r="98" spans="1:7" x14ac:dyDescent="0.3">
      <c r="A98" s="290" t="s">
        <v>976</v>
      </c>
      <c r="B98" s="290" t="s">
        <v>977</v>
      </c>
      <c r="C98" s="290" t="s">
        <v>978</v>
      </c>
      <c r="D98" s="158"/>
      <c r="E98" s="158"/>
      <c r="F98" s="158"/>
      <c r="G98" s="158"/>
    </row>
    <row r="99" spans="1:7" x14ac:dyDescent="0.3">
      <c r="A99" s="290" t="s">
        <v>979</v>
      </c>
      <c r="B99" s="290" t="s">
        <v>447</v>
      </c>
      <c r="C99" s="290" t="s">
        <v>448</v>
      </c>
      <c r="D99" s="158"/>
      <c r="E99" s="158"/>
      <c r="F99" s="158"/>
      <c r="G99" s="158"/>
    </row>
    <row r="100" spans="1:7" x14ac:dyDescent="0.3">
      <c r="A100" s="290" t="s">
        <v>980</v>
      </c>
      <c r="B100" s="290" t="s">
        <v>981</v>
      </c>
      <c r="C100" s="290" t="s">
        <v>982</v>
      </c>
      <c r="D100" s="158"/>
      <c r="E100" s="158"/>
      <c r="F100" s="158"/>
      <c r="G100" s="158"/>
    </row>
    <row r="101" spans="1:7" x14ac:dyDescent="0.3">
      <c r="A101" s="290" t="s">
        <v>983</v>
      </c>
      <c r="B101" s="290" t="s">
        <v>449</v>
      </c>
      <c r="C101" s="290" t="s">
        <v>450</v>
      </c>
      <c r="D101" s="158"/>
      <c r="E101" s="158"/>
      <c r="F101" s="158"/>
      <c r="G101" s="158"/>
    </row>
    <row r="102" spans="1:7" x14ac:dyDescent="0.3">
      <c r="A102" s="290" t="s">
        <v>984</v>
      </c>
      <c r="B102" s="290" t="s">
        <v>451</v>
      </c>
      <c r="C102" s="290" t="s">
        <v>452</v>
      </c>
      <c r="D102" s="158"/>
      <c r="E102" s="158"/>
      <c r="F102" s="158"/>
      <c r="G102" s="158"/>
    </row>
    <row r="103" spans="1:7" x14ac:dyDescent="0.3">
      <c r="A103" s="290" t="s">
        <v>985</v>
      </c>
      <c r="B103" s="290" t="s">
        <v>453</v>
      </c>
      <c r="C103" s="290" t="s">
        <v>454</v>
      </c>
      <c r="D103" s="158"/>
      <c r="E103" s="158"/>
      <c r="F103" s="158"/>
      <c r="G103" s="158"/>
    </row>
    <row r="104" spans="1:7" x14ac:dyDescent="0.3">
      <c r="A104" s="290" t="s">
        <v>986</v>
      </c>
      <c r="B104" s="290" t="s">
        <v>455</v>
      </c>
      <c r="C104" s="290" t="s">
        <v>328</v>
      </c>
      <c r="D104" s="158"/>
      <c r="E104" s="158"/>
      <c r="F104" s="158"/>
      <c r="G104" s="158"/>
    </row>
    <row r="105" spans="1:7" x14ac:dyDescent="0.3">
      <c r="A105" s="290" t="s">
        <v>987</v>
      </c>
      <c r="B105" s="290" t="s">
        <v>456</v>
      </c>
      <c r="C105" s="290" t="s">
        <v>457</v>
      </c>
      <c r="D105" s="158"/>
      <c r="E105" s="158"/>
      <c r="F105" s="158"/>
      <c r="G105" s="158"/>
    </row>
    <row r="106" spans="1:7" x14ac:dyDescent="0.3">
      <c r="A106" s="290" t="s">
        <v>988</v>
      </c>
      <c r="B106" s="290" t="s">
        <v>458</v>
      </c>
      <c r="C106" s="290" t="s">
        <v>459</v>
      </c>
      <c r="D106" s="158"/>
      <c r="E106" s="158"/>
      <c r="F106" s="158"/>
      <c r="G106" s="158"/>
    </row>
    <row r="107" spans="1:7" x14ac:dyDescent="0.3">
      <c r="A107" s="290" t="s">
        <v>989</v>
      </c>
      <c r="B107" s="290" t="s">
        <v>460</v>
      </c>
      <c r="C107" s="290" t="s">
        <v>461</v>
      </c>
      <c r="D107" s="158"/>
      <c r="E107" s="158"/>
      <c r="F107" s="158"/>
      <c r="G107" s="158"/>
    </row>
    <row r="108" spans="1:7" x14ac:dyDescent="0.3">
      <c r="A108" s="290" t="s">
        <v>990</v>
      </c>
      <c r="B108" s="290" t="s">
        <v>462</v>
      </c>
      <c r="C108" s="290" t="s">
        <v>463</v>
      </c>
      <c r="D108" s="158"/>
      <c r="E108" s="158"/>
      <c r="F108" s="158"/>
      <c r="G108" s="158"/>
    </row>
    <row r="109" spans="1:7" x14ac:dyDescent="0.3">
      <c r="A109" s="290" t="s">
        <v>991</v>
      </c>
      <c r="B109" s="290" t="s">
        <v>464</v>
      </c>
      <c r="C109" s="290" t="s">
        <v>465</v>
      </c>
      <c r="D109" s="158"/>
      <c r="E109" s="158"/>
      <c r="F109" s="158"/>
      <c r="G109" s="158"/>
    </row>
    <row r="110" spans="1:7" x14ac:dyDescent="0.3">
      <c r="A110" s="290" t="s">
        <v>992</v>
      </c>
      <c r="B110" s="290" t="s">
        <v>466</v>
      </c>
      <c r="C110" s="290" t="s">
        <v>467</v>
      </c>
      <c r="D110" s="158"/>
      <c r="E110" s="158"/>
      <c r="F110" s="158"/>
      <c r="G110" s="158"/>
    </row>
    <row r="111" spans="1:7" x14ac:dyDescent="0.3">
      <c r="A111" s="290" t="s">
        <v>993</v>
      </c>
      <c r="B111" s="290" t="s">
        <v>468</v>
      </c>
      <c r="C111" s="290" t="s">
        <v>328</v>
      </c>
      <c r="D111" s="158"/>
      <c r="E111" s="158"/>
      <c r="F111" s="158"/>
      <c r="G111" s="158"/>
    </row>
    <row r="112" spans="1:7" x14ac:dyDescent="0.3">
      <c r="A112" s="290" t="s">
        <v>994</v>
      </c>
      <c r="B112" s="290" t="s">
        <v>469</v>
      </c>
      <c r="C112" s="290" t="s">
        <v>470</v>
      </c>
      <c r="D112" s="158"/>
      <c r="E112" s="158"/>
      <c r="F112" s="158"/>
      <c r="G112" s="158"/>
    </row>
    <row r="113" spans="1:7" x14ac:dyDescent="0.3">
      <c r="A113" s="290" t="s">
        <v>995</v>
      </c>
      <c r="B113" s="290" t="s">
        <v>471</v>
      </c>
      <c r="C113" s="290" t="s">
        <v>472</v>
      </c>
      <c r="D113" s="158"/>
      <c r="E113" s="158"/>
      <c r="F113" s="158"/>
      <c r="G113" s="158"/>
    </row>
    <row r="114" spans="1:7" x14ac:dyDescent="0.3">
      <c r="A114" s="290" t="s">
        <v>996</v>
      </c>
      <c r="B114" s="290" t="s">
        <v>473</v>
      </c>
      <c r="C114" s="290" t="s">
        <v>474</v>
      </c>
      <c r="D114" s="158"/>
      <c r="E114" s="158"/>
      <c r="F114" s="158"/>
      <c r="G114" s="158"/>
    </row>
    <row r="115" spans="1:7" x14ac:dyDescent="0.3">
      <c r="A115" s="290" t="s">
        <v>997</v>
      </c>
      <c r="B115" s="290" t="s">
        <v>998</v>
      </c>
      <c r="C115" s="290" t="s">
        <v>502</v>
      </c>
      <c r="D115" s="158"/>
      <c r="E115" s="158"/>
      <c r="F115" s="158"/>
      <c r="G115" s="158"/>
    </row>
    <row r="116" spans="1:7" x14ac:dyDescent="0.3">
      <c r="A116" s="290" t="s">
        <v>999</v>
      </c>
      <c r="B116" s="290" t="s">
        <v>475</v>
      </c>
      <c r="C116" s="290" t="s">
        <v>476</v>
      </c>
      <c r="D116" s="158"/>
      <c r="E116" s="158"/>
      <c r="F116" s="158"/>
      <c r="G116" s="158"/>
    </row>
    <row r="117" spans="1:7" x14ac:dyDescent="0.3">
      <c r="A117" s="290" t="s">
        <v>1000</v>
      </c>
      <c r="B117" s="290" t="s">
        <v>1001</v>
      </c>
      <c r="C117" s="290" t="s">
        <v>1002</v>
      </c>
      <c r="D117" s="158"/>
      <c r="E117" s="158"/>
      <c r="F117" s="158"/>
      <c r="G117" s="158"/>
    </row>
    <row r="118" spans="1:7" x14ac:dyDescent="0.3">
      <c r="A118" s="290" t="s">
        <v>1003</v>
      </c>
      <c r="B118" s="290" t="s">
        <v>477</v>
      </c>
      <c r="C118" s="290" t="s">
        <v>478</v>
      </c>
      <c r="D118" s="158"/>
      <c r="E118" s="158"/>
      <c r="F118" s="158"/>
      <c r="G118" s="158"/>
    </row>
    <row r="119" spans="1:7" x14ac:dyDescent="0.3">
      <c r="A119" s="290" t="s">
        <v>1004</v>
      </c>
      <c r="B119" s="290" t="s">
        <v>479</v>
      </c>
      <c r="C119" s="290" t="s">
        <v>480</v>
      </c>
      <c r="D119" s="158"/>
      <c r="E119" s="158"/>
      <c r="F119" s="158"/>
      <c r="G119" s="158"/>
    </row>
    <row r="120" spans="1:7" x14ac:dyDescent="0.3">
      <c r="A120" s="290" t="s">
        <v>1005</v>
      </c>
      <c r="B120" s="158" t="s">
        <v>481</v>
      </c>
      <c r="C120" s="158" t="s">
        <v>482</v>
      </c>
      <c r="D120" s="158"/>
      <c r="E120" s="158"/>
      <c r="F120" s="158"/>
      <c r="G120" s="158"/>
    </row>
    <row r="121" spans="1:7" x14ac:dyDescent="0.3">
      <c r="A121" s="290" t="s">
        <v>1006</v>
      </c>
      <c r="B121" s="290" t="s">
        <v>483</v>
      </c>
      <c r="C121" s="290" t="s">
        <v>484</v>
      </c>
      <c r="D121" s="158"/>
      <c r="E121" s="158"/>
      <c r="F121" s="158"/>
      <c r="G121" s="158"/>
    </row>
    <row r="122" spans="1:7" x14ac:dyDescent="0.3">
      <c r="A122" s="290" t="s">
        <v>1007</v>
      </c>
      <c r="B122" s="290" t="s">
        <v>485</v>
      </c>
      <c r="C122" s="290" t="s">
        <v>486</v>
      </c>
      <c r="D122" s="158"/>
      <c r="E122" s="158"/>
      <c r="F122" s="158"/>
      <c r="G122" s="158"/>
    </row>
    <row r="123" spans="1:7" x14ac:dyDescent="0.3">
      <c r="A123" s="290" t="s">
        <v>1008</v>
      </c>
      <c r="B123" s="290" t="s">
        <v>487</v>
      </c>
      <c r="C123" s="290" t="s">
        <v>488</v>
      </c>
      <c r="D123" s="158"/>
      <c r="E123" s="158"/>
      <c r="F123" s="158"/>
      <c r="G123" s="158"/>
    </row>
    <row r="124" spans="1:7" x14ac:dyDescent="0.3">
      <c r="A124" s="290" t="s">
        <v>1009</v>
      </c>
      <c r="B124" s="290" t="s">
        <v>489</v>
      </c>
      <c r="C124" s="290" t="s">
        <v>490</v>
      </c>
      <c r="D124" s="158"/>
      <c r="E124" s="158"/>
      <c r="F124" s="158"/>
      <c r="G124" s="158"/>
    </row>
    <row r="125" spans="1:7" x14ac:dyDescent="0.3">
      <c r="A125" s="290" t="s">
        <v>1010</v>
      </c>
      <c r="B125" s="290" t="s">
        <v>491</v>
      </c>
      <c r="C125" s="290" t="s">
        <v>492</v>
      </c>
      <c r="D125" s="158"/>
      <c r="E125" s="158"/>
      <c r="F125" s="158"/>
      <c r="G125" s="158"/>
    </row>
    <row r="126" spans="1:7" x14ac:dyDescent="0.3">
      <c r="A126" s="290" t="s">
        <v>1011</v>
      </c>
      <c r="B126" s="290" t="s">
        <v>493</v>
      </c>
      <c r="C126" s="290" t="s">
        <v>494</v>
      </c>
      <c r="D126" s="158"/>
      <c r="E126" s="158"/>
      <c r="F126" s="158"/>
      <c r="G126" s="158"/>
    </row>
    <row r="127" spans="1:7" x14ac:dyDescent="0.3">
      <c r="A127" s="290" t="s">
        <v>1012</v>
      </c>
      <c r="B127" s="290" t="s">
        <v>495</v>
      </c>
      <c r="C127" s="290" t="s">
        <v>496</v>
      </c>
      <c r="D127" s="158"/>
      <c r="E127" s="158"/>
      <c r="F127" s="158"/>
      <c r="G127" s="158"/>
    </row>
    <row r="128" spans="1:7" x14ac:dyDescent="0.3">
      <c r="A128" s="290" t="s">
        <v>1013</v>
      </c>
      <c r="B128" s="290" t="s">
        <v>497</v>
      </c>
      <c r="C128" s="290" t="s">
        <v>498</v>
      </c>
      <c r="D128" s="158"/>
      <c r="E128" s="158"/>
      <c r="F128" s="158"/>
      <c r="G128" s="158"/>
    </row>
    <row r="129" spans="1:7" x14ac:dyDescent="0.3">
      <c r="A129" s="290" t="s">
        <v>1014</v>
      </c>
      <c r="B129" s="290" t="s">
        <v>499</v>
      </c>
      <c r="C129" s="290" t="s">
        <v>500</v>
      </c>
      <c r="D129" s="158"/>
      <c r="E129" s="158"/>
      <c r="F129" s="158"/>
      <c r="G129" s="158"/>
    </row>
    <row r="130" spans="1:7" x14ac:dyDescent="0.3">
      <c r="A130" s="290" t="s">
        <v>1015</v>
      </c>
      <c r="B130" s="290" t="s">
        <v>1016</v>
      </c>
      <c r="C130" s="290" t="s">
        <v>1017</v>
      </c>
      <c r="D130" s="158"/>
      <c r="E130" s="158"/>
      <c r="F130" s="158"/>
      <c r="G130" s="158"/>
    </row>
    <row r="131" spans="1:7" x14ac:dyDescent="0.3">
      <c r="A131" s="290" t="s">
        <v>1018</v>
      </c>
      <c r="B131" s="290" t="s">
        <v>501</v>
      </c>
      <c r="C131" s="290" t="s">
        <v>502</v>
      </c>
      <c r="D131" s="158"/>
      <c r="E131" s="158"/>
      <c r="F131" s="158"/>
      <c r="G131" s="158"/>
    </row>
    <row r="132" spans="1:7" x14ac:dyDescent="0.3">
      <c r="A132" s="290" t="s">
        <v>1019</v>
      </c>
      <c r="B132" s="290" t="s">
        <v>503</v>
      </c>
      <c r="C132" s="290" t="s">
        <v>504</v>
      </c>
      <c r="D132" s="158"/>
      <c r="E132" s="158"/>
      <c r="F132" s="158"/>
      <c r="G132" s="158"/>
    </row>
    <row r="133" spans="1:7" x14ac:dyDescent="0.3">
      <c r="A133" s="290" t="s">
        <v>1020</v>
      </c>
      <c r="B133" s="290" t="s">
        <v>505</v>
      </c>
      <c r="C133" s="290" t="s">
        <v>506</v>
      </c>
      <c r="D133" s="158"/>
      <c r="E133" s="158"/>
      <c r="F133" s="158"/>
      <c r="G133" s="158"/>
    </row>
    <row r="134" spans="1:7" x14ac:dyDescent="0.3">
      <c r="A134" s="290" t="s">
        <v>1021</v>
      </c>
      <c r="B134" s="290" t="s">
        <v>507</v>
      </c>
      <c r="C134" s="290" t="s">
        <v>508</v>
      </c>
      <c r="D134" s="158"/>
      <c r="E134" s="158"/>
      <c r="F134" s="158"/>
      <c r="G134" s="158"/>
    </row>
    <row r="135" spans="1:7" x14ac:dyDescent="0.3">
      <c r="A135" s="290" t="s">
        <v>1022</v>
      </c>
      <c r="B135" s="290" t="s">
        <v>509</v>
      </c>
      <c r="C135" s="290" t="s">
        <v>328</v>
      </c>
      <c r="D135" s="158"/>
      <c r="E135" s="158"/>
      <c r="F135" s="158"/>
      <c r="G135" s="158"/>
    </row>
    <row r="136" spans="1:7" x14ac:dyDescent="0.3">
      <c r="A136" s="290" t="s">
        <v>1023</v>
      </c>
      <c r="B136" s="290" t="s">
        <v>510</v>
      </c>
      <c r="C136" s="290" t="s">
        <v>511</v>
      </c>
      <c r="D136" s="158"/>
      <c r="E136" s="158"/>
      <c r="F136" s="158"/>
      <c r="G136" s="158"/>
    </row>
    <row r="137" spans="1:7" x14ac:dyDescent="0.3">
      <c r="A137" s="290" t="s">
        <v>1024</v>
      </c>
      <c r="B137" s="290" t="s">
        <v>512</v>
      </c>
      <c r="C137" s="290" t="s">
        <v>513</v>
      </c>
      <c r="D137" s="158"/>
      <c r="E137" s="158"/>
      <c r="F137" s="158"/>
      <c r="G137" s="158"/>
    </row>
    <row r="138" spans="1:7" x14ac:dyDescent="0.3">
      <c r="A138" s="290" t="s">
        <v>1025</v>
      </c>
      <c r="B138" s="290" t="s">
        <v>514</v>
      </c>
      <c r="C138" s="290" t="s">
        <v>515</v>
      </c>
      <c r="D138" s="158"/>
      <c r="E138" s="158"/>
      <c r="F138" s="158"/>
      <c r="G138" s="158"/>
    </row>
    <row r="139" spans="1:7" x14ac:dyDescent="0.3">
      <c r="A139" s="290" t="s">
        <v>1026</v>
      </c>
      <c r="B139" s="290" t="s">
        <v>516</v>
      </c>
      <c r="C139" s="290" t="s">
        <v>517</v>
      </c>
      <c r="D139" s="158"/>
      <c r="E139" s="158"/>
      <c r="F139" s="158"/>
      <c r="G139" s="158"/>
    </row>
    <row r="140" spans="1:7" x14ac:dyDescent="0.3">
      <c r="A140" s="290" t="s">
        <v>1027</v>
      </c>
      <c r="B140" s="290" t="s">
        <v>518</v>
      </c>
      <c r="C140" s="290" t="s">
        <v>519</v>
      </c>
      <c r="D140" s="158"/>
      <c r="E140" s="158"/>
      <c r="F140" s="158"/>
      <c r="G140" s="158"/>
    </row>
    <row r="141" spans="1:7" x14ac:dyDescent="0.3">
      <c r="A141" s="290" t="s">
        <v>1028</v>
      </c>
      <c r="B141" s="290" t="s">
        <v>520</v>
      </c>
      <c r="C141" s="290" t="s">
        <v>521</v>
      </c>
      <c r="D141" s="158"/>
      <c r="E141" s="158"/>
      <c r="F141" s="158"/>
      <c r="G141" s="158"/>
    </row>
    <row r="142" spans="1:7" x14ac:dyDescent="0.3">
      <c r="A142" s="290" t="s">
        <v>1029</v>
      </c>
      <c r="B142" s="290" t="s">
        <v>522</v>
      </c>
      <c r="C142" s="290" t="s">
        <v>523</v>
      </c>
      <c r="D142" s="158"/>
      <c r="E142" s="158"/>
      <c r="F142" s="158"/>
      <c r="G142" s="158"/>
    </row>
    <row r="143" spans="1:7" x14ac:dyDescent="0.3">
      <c r="A143" s="290" t="s">
        <v>1030</v>
      </c>
      <c r="B143" s="290" t="s">
        <v>524</v>
      </c>
      <c r="C143" s="290" t="s">
        <v>525</v>
      </c>
      <c r="D143" s="158"/>
      <c r="E143" s="158"/>
      <c r="F143" s="158"/>
      <c r="G143" s="158"/>
    </row>
    <row r="144" spans="1:7" x14ac:dyDescent="0.3">
      <c r="A144" s="290" t="s">
        <v>1031</v>
      </c>
      <c r="B144" s="158" t="s">
        <v>526</v>
      </c>
      <c r="C144" s="158" t="s">
        <v>527</v>
      </c>
      <c r="D144" s="158"/>
      <c r="E144" s="158"/>
      <c r="F144" s="158"/>
      <c r="G144" s="158"/>
    </row>
    <row r="145" spans="1:7" x14ac:dyDescent="0.3">
      <c r="A145" s="290" t="s">
        <v>1032</v>
      </c>
      <c r="B145" s="290" t="s">
        <v>528</v>
      </c>
      <c r="C145" s="290" t="s">
        <v>529</v>
      </c>
      <c r="D145" s="158"/>
      <c r="E145" s="158"/>
      <c r="F145" s="158"/>
      <c r="G145" s="158"/>
    </row>
    <row r="146" spans="1:7" x14ac:dyDescent="0.3">
      <c r="A146" s="290" t="s">
        <v>1033</v>
      </c>
      <c r="B146" s="290" t="s">
        <v>530</v>
      </c>
      <c r="C146" s="290" t="s">
        <v>531</v>
      </c>
      <c r="D146" s="158"/>
      <c r="E146" s="158"/>
      <c r="F146" s="158"/>
      <c r="G146" s="158"/>
    </row>
    <row r="147" spans="1:7" x14ac:dyDescent="0.3">
      <c r="A147" s="290" t="s">
        <v>1034</v>
      </c>
      <c r="B147" s="290" t="s">
        <v>1035</v>
      </c>
      <c r="C147" s="290" t="s">
        <v>1036</v>
      </c>
      <c r="D147" s="158"/>
      <c r="E147" s="158"/>
      <c r="F147" s="158"/>
      <c r="G147" s="158"/>
    </row>
    <row r="148" spans="1:7" x14ac:dyDescent="0.3">
      <c r="A148" s="290" t="s">
        <v>1037</v>
      </c>
      <c r="B148" s="290" t="s">
        <v>532</v>
      </c>
      <c r="C148" s="290" t="s">
        <v>533</v>
      </c>
      <c r="D148" s="158"/>
      <c r="E148" s="158"/>
      <c r="F148" s="158"/>
      <c r="G148" s="158"/>
    </row>
    <row r="149" spans="1:7" x14ac:dyDescent="0.3">
      <c r="A149" s="290" t="s">
        <v>1038</v>
      </c>
      <c r="B149" s="290" t="s">
        <v>534</v>
      </c>
      <c r="C149" s="290" t="s">
        <v>328</v>
      </c>
      <c r="D149" s="158"/>
      <c r="E149" s="158"/>
      <c r="F149" s="158"/>
      <c r="G149" s="158"/>
    </row>
    <row r="150" spans="1:7" x14ac:dyDescent="0.3">
      <c r="A150" s="290" t="s">
        <v>1039</v>
      </c>
      <c r="B150" s="290" t="s">
        <v>535</v>
      </c>
      <c r="C150" s="290" t="s">
        <v>511</v>
      </c>
      <c r="D150" s="158"/>
      <c r="E150" s="158"/>
      <c r="F150" s="158"/>
      <c r="G150" s="158"/>
    </row>
    <row r="151" spans="1:7" x14ac:dyDescent="0.3">
      <c r="A151" s="290" t="s">
        <v>1040</v>
      </c>
      <c r="B151" s="290" t="s">
        <v>1041</v>
      </c>
      <c r="C151" s="290" t="s">
        <v>1042</v>
      </c>
      <c r="D151" s="158"/>
      <c r="E151" s="158"/>
      <c r="F151" s="158"/>
      <c r="G151" s="158"/>
    </row>
    <row r="152" spans="1:7" x14ac:dyDescent="0.3">
      <c r="A152" s="290" t="s">
        <v>1043</v>
      </c>
      <c r="B152" s="290" t="s">
        <v>536</v>
      </c>
      <c r="C152" s="290" t="s">
        <v>537</v>
      </c>
      <c r="D152" s="158"/>
      <c r="E152" s="158"/>
      <c r="F152" s="158"/>
      <c r="G152" s="158"/>
    </row>
    <row r="153" spans="1:7" x14ac:dyDescent="0.3">
      <c r="A153" s="290" t="s">
        <v>1044</v>
      </c>
      <c r="B153" s="290" t="s">
        <v>538</v>
      </c>
      <c r="C153" s="290" t="s">
        <v>539</v>
      </c>
      <c r="D153" s="158"/>
      <c r="E153" s="158"/>
      <c r="F153" s="158"/>
      <c r="G153" s="158"/>
    </row>
    <row r="154" spans="1:7" x14ac:dyDescent="0.3">
      <c r="A154" s="290" t="s">
        <v>1045</v>
      </c>
      <c r="B154" s="290" t="s">
        <v>540</v>
      </c>
      <c r="C154" s="290" t="s">
        <v>541</v>
      </c>
      <c r="D154" s="158"/>
      <c r="E154" s="158"/>
      <c r="F154" s="158"/>
      <c r="G154" s="158"/>
    </row>
    <row r="155" spans="1:7" x14ac:dyDescent="0.3">
      <c r="A155" s="290" t="s">
        <v>1046</v>
      </c>
      <c r="B155" s="290" t="s">
        <v>1047</v>
      </c>
      <c r="C155" s="290" t="s">
        <v>521</v>
      </c>
      <c r="D155" s="158"/>
      <c r="E155" s="158"/>
      <c r="F155" s="158"/>
      <c r="G155" s="158"/>
    </row>
    <row r="156" spans="1:7" x14ac:dyDescent="0.3">
      <c r="A156" s="290" t="s">
        <v>1048</v>
      </c>
      <c r="B156" s="290" t="s">
        <v>1049</v>
      </c>
      <c r="C156" s="290" t="s">
        <v>1050</v>
      </c>
      <c r="D156" s="158"/>
      <c r="E156" s="158"/>
      <c r="F156" s="158"/>
      <c r="G156" s="158"/>
    </row>
    <row r="157" spans="1:7" x14ac:dyDescent="0.3">
      <c r="A157" s="290" t="s">
        <v>1051</v>
      </c>
      <c r="B157" s="290" t="s">
        <v>542</v>
      </c>
      <c r="C157" s="290" t="s">
        <v>543</v>
      </c>
      <c r="D157" s="158"/>
      <c r="E157" s="158"/>
      <c r="F157" s="158"/>
      <c r="G157" s="158"/>
    </row>
    <row r="158" spans="1:7" x14ac:dyDescent="0.3">
      <c r="A158" s="290" t="s">
        <v>1052</v>
      </c>
      <c r="B158" s="290" t="s">
        <v>544</v>
      </c>
      <c r="C158" s="290" t="s">
        <v>328</v>
      </c>
      <c r="D158" s="158"/>
      <c r="E158" s="158"/>
      <c r="F158" s="158"/>
      <c r="G158" s="158"/>
    </row>
    <row r="159" spans="1:7" x14ac:dyDescent="0.3">
      <c r="A159" s="290" t="s">
        <v>1053</v>
      </c>
      <c r="B159" s="290" t="s">
        <v>545</v>
      </c>
      <c r="C159" s="290" t="s">
        <v>546</v>
      </c>
      <c r="D159" s="158"/>
      <c r="E159" s="158"/>
      <c r="F159" s="158"/>
      <c r="G159" s="158"/>
    </row>
    <row r="160" spans="1:7" x14ac:dyDescent="0.3">
      <c r="A160" s="290" t="s">
        <v>1054</v>
      </c>
      <c r="B160" s="290" t="s">
        <v>1055</v>
      </c>
      <c r="C160" s="290" t="s">
        <v>1056</v>
      </c>
      <c r="D160" s="158"/>
      <c r="E160" s="158"/>
      <c r="F160" s="158"/>
      <c r="G160" s="158"/>
    </row>
    <row r="161" spans="1:7" x14ac:dyDescent="0.3">
      <c r="A161" s="290" t="s">
        <v>1057</v>
      </c>
      <c r="B161" s="290" t="s">
        <v>1058</v>
      </c>
      <c r="C161" s="290" t="s">
        <v>1059</v>
      </c>
      <c r="D161" s="158"/>
      <c r="E161" s="158"/>
      <c r="F161" s="158"/>
      <c r="G161" s="158"/>
    </row>
    <row r="162" spans="1:7" x14ac:dyDescent="0.3">
      <c r="A162" s="290" t="s">
        <v>1060</v>
      </c>
      <c r="B162" s="290" t="s">
        <v>547</v>
      </c>
      <c r="C162" s="290" t="s">
        <v>548</v>
      </c>
      <c r="D162" s="158"/>
      <c r="E162" s="158"/>
      <c r="F162" s="158"/>
      <c r="G162" s="158"/>
    </row>
    <row r="163" spans="1:7" x14ac:dyDescent="0.3">
      <c r="A163" s="290" t="s">
        <v>1061</v>
      </c>
      <c r="B163" s="290" t="s">
        <v>549</v>
      </c>
      <c r="C163" s="290" t="s">
        <v>550</v>
      </c>
      <c r="D163" s="158"/>
      <c r="E163" s="158"/>
      <c r="F163" s="158"/>
      <c r="G163" s="158"/>
    </row>
    <row r="164" spans="1:7" x14ac:dyDescent="0.3">
      <c r="A164" s="290" t="s">
        <v>1062</v>
      </c>
      <c r="B164" s="290" t="s">
        <v>551</v>
      </c>
      <c r="C164" s="290" t="s">
        <v>319</v>
      </c>
      <c r="D164" s="158"/>
      <c r="E164" s="158"/>
      <c r="F164" s="158"/>
      <c r="G164" s="158"/>
    </row>
    <row r="165" spans="1:7" x14ac:dyDescent="0.3">
      <c r="A165" s="290" t="s">
        <v>1063</v>
      </c>
      <c r="B165" s="290" t="s">
        <v>552</v>
      </c>
      <c r="C165" s="290" t="s">
        <v>553</v>
      </c>
      <c r="D165" s="158"/>
      <c r="E165" s="158"/>
      <c r="F165" s="158"/>
      <c r="G165" s="158"/>
    </row>
    <row r="166" spans="1:7" x14ac:dyDescent="0.3">
      <c r="A166" s="290" t="s">
        <v>1064</v>
      </c>
      <c r="B166" s="290" t="s">
        <v>554</v>
      </c>
      <c r="C166" s="290" t="s">
        <v>555</v>
      </c>
      <c r="D166" s="158"/>
      <c r="E166" s="158"/>
      <c r="F166" s="158"/>
      <c r="G166" s="158"/>
    </row>
    <row r="167" spans="1:7" x14ac:dyDescent="0.3">
      <c r="A167" s="290" t="s">
        <v>1065</v>
      </c>
      <c r="B167" s="290" t="s">
        <v>556</v>
      </c>
      <c r="C167" s="290" t="s">
        <v>557</v>
      </c>
      <c r="D167" s="158"/>
      <c r="E167" s="158"/>
      <c r="F167" s="158"/>
      <c r="G167" s="158"/>
    </row>
    <row r="168" spans="1:7" x14ac:dyDescent="0.3">
      <c r="A168" s="290" t="s">
        <v>1066</v>
      </c>
      <c r="B168" s="290" t="s">
        <v>558</v>
      </c>
      <c r="C168" s="290" t="s">
        <v>559</v>
      </c>
      <c r="D168" s="158"/>
      <c r="E168" s="158"/>
      <c r="F168" s="158"/>
      <c r="G168" s="158"/>
    </row>
    <row r="169" spans="1:7" x14ac:dyDescent="0.3">
      <c r="A169" s="290" t="s">
        <v>1067</v>
      </c>
      <c r="B169" s="290" t="s">
        <v>560</v>
      </c>
      <c r="C169" s="290" t="s">
        <v>561</v>
      </c>
      <c r="D169" s="158"/>
      <c r="E169" s="158"/>
      <c r="F169" s="158"/>
      <c r="G169" s="158"/>
    </row>
    <row r="170" spans="1:7" x14ac:dyDescent="0.3">
      <c r="A170" s="290" t="s">
        <v>1068</v>
      </c>
      <c r="B170" s="290" t="s">
        <v>562</v>
      </c>
      <c r="C170" s="290" t="s">
        <v>563</v>
      </c>
      <c r="D170" s="158"/>
      <c r="E170" s="158"/>
      <c r="F170" s="158"/>
      <c r="G170" s="158"/>
    </row>
    <row r="171" spans="1:7" x14ac:dyDescent="0.3">
      <c r="A171" s="290" t="s">
        <v>1069</v>
      </c>
      <c r="B171" s="290" t="s">
        <v>564</v>
      </c>
      <c r="C171" s="290" t="s">
        <v>565</v>
      </c>
      <c r="D171" s="158"/>
      <c r="E171" s="158"/>
      <c r="F171" s="158"/>
      <c r="G171" s="158"/>
    </row>
    <row r="172" spans="1:7" x14ac:dyDescent="0.3">
      <c r="A172" s="290" t="s">
        <v>1070</v>
      </c>
      <c r="B172" s="290" t="s">
        <v>566</v>
      </c>
      <c r="C172" s="290" t="s">
        <v>567</v>
      </c>
      <c r="D172" s="158"/>
      <c r="E172" s="158"/>
      <c r="F172" s="158"/>
      <c r="G172" s="158"/>
    </row>
    <row r="173" spans="1:7" x14ac:dyDescent="0.3">
      <c r="A173" s="290" t="s">
        <v>1071</v>
      </c>
      <c r="B173" s="290" t="s">
        <v>568</v>
      </c>
      <c r="C173" s="290" t="s">
        <v>328</v>
      </c>
      <c r="D173" s="158"/>
      <c r="E173" s="158"/>
      <c r="F173" s="158"/>
      <c r="G173" s="158"/>
    </row>
    <row r="174" spans="1:7" x14ac:dyDescent="0.3">
      <c r="A174" s="290" t="s">
        <v>1072</v>
      </c>
      <c r="B174" s="290" t="s">
        <v>1073</v>
      </c>
      <c r="C174" s="290" t="s">
        <v>1074</v>
      </c>
      <c r="D174" s="158"/>
      <c r="E174" s="158"/>
      <c r="F174" s="158"/>
      <c r="G174" s="158"/>
    </row>
    <row r="175" spans="1:7" x14ac:dyDescent="0.3">
      <c r="A175" s="290" t="s">
        <v>1075</v>
      </c>
      <c r="B175" s="290" t="s">
        <v>569</v>
      </c>
      <c r="C175" s="290" t="s">
        <v>570</v>
      </c>
      <c r="D175" s="158"/>
      <c r="E175" s="158"/>
      <c r="F175" s="158"/>
      <c r="G175" s="158"/>
    </row>
    <row r="176" spans="1:7" x14ac:dyDescent="0.3">
      <c r="A176" s="290" t="s">
        <v>1076</v>
      </c>
      <c r="B176" s="290" t="s">
        <v>571</v>
      </c>
      <c r="C176" s="290" t="s">
        <v>572</v>
      </c>
      <c r="D176" s="158"/>
      <c r="E176" s="158"/>
      <c r="F176" s="158"/>
      <c r="G176" s="158"/>
    </row>
    <row r="177" spans="1:7" x14ac:dyDescent="0.3">
      <c r="A177" s="290" t="s">
        <v>1077</v>
      </c>
      <c r="B177" s="290" t="s">
        <v>573</v>
      </c>
      <c r="C177" s="290" t="s">
        <v>574</v>
      </c>
      <c r="D177" s="158"/>
      <c r="E177" s="158"/>
      <c r="F177" s="158"/>
      <c r="G177" s="158"/>
    </row>
    <row r="178" spans="1:7" x14ac:dyDescent="0.3">
      <c r="A178" s="290" t="s">
        <v>1078</v>
      </c>
      <c r="B178" s="290" t="s">
        <v>575</v>
      </c>
      <c r="C178" s="290" t="s">
        <v>576</v>
      </c>
      <c r="D178" s="158"/>
      <c r="E178" s="158"/>
      <c r="F178" s="158"/>
      <c r="G178" s="158"/>
    </row>
    <row r="179" spans="1:7" x14ac:dyDescent="0.3">
      <c r="A179" s="295"/>
      <c r="B179" s="290" t="s">
        <v>1079</v>
      </c>
      <c r="C179" s="290" t="s">
        <v>1080</v>
      </c>
      <c r="D179" s="158"/>
      <c r="E179" s="158"/>
      <c r="F179" s="158"/>
      <c r="G179" s="158"/>
    </row>
    <row r="180" spans="1:7" x14ac:dyDescent="0.3">
      <c r="A180" s="290" t="s">
        <v>1081</v>
      </c>
      <c r="B180" s="290" t="s">
        <v>577</v>
      </c>
      <c r="C180" s="290" t="s">
        <v>578</v>
      </c>
      <c r="D180" s="158"/>
      <c r="E180" s="158"/>
      <c r="F180" s="158"/>
      <c r="G180" s="158"/>
    </row>
    <row r="181" spans="1:7" x14ac:dyDescent="0.3">
      <c r="A181" s="290" t="s">
        <v>1082</v>
      </c>
      <c r="B181" s="290" t="s">
        <v>579</v>
      </c>
      <c r="C181" s="290" t="s">
        <v>580</v>
      </c>
      <c r="D181" s="158"/>
      <c r="E181" s="158"/>
      <c r="F181" s="158"/>
      <c r="G181" s="158"/>
    </row>
    <row r="182" spans="1:7" x14ac:dyDescent="0.3">
      <c r="A182" s="290" t="s">
        <v>1083</v>
      </c>
      <c r="B182" s="290" t="s">
        <v>581</v>
      </c>
      <c r="C182" s="290" t="s">
        <v>582</v>
      </c>
      <c r="D182" s="158"/>
      <c r="E182" s="158"/>
      <c r="F182" s="158"/>
      <c r="G182" s="158"/>
    </row>
    <row r="183" spans="1:7" x14ac:dyDescent="0.3">
      <c r="A183" s="290" t="s">
        <v>1084</v>
      </c>
      <c r="B183" s="290" t="s">
        <v>583</v>
      </c>
      <c r="C183" s="290" t="s">
        <v>584</v>
      </c>
      <c r="D183" s="158"/>
      <c r="E183" s="158"/>
      <c r="F183" s="158"/>
      <c r="G183" s="158"/>
    </row>
    <row r="184" spans="1:7" x14ac:dyDescent="0.3">
      <c r="A184" s="290" t="s">
        <v>1085</v>
      </c>
      <c r="B184" s="290" t="s">
        <v>585</v>
      </c>
      <c r="C184" s="290" t="s">
        <v>586</v>
      </c>
      <c r="D184" s="158"/>
      <c r="E184" s="158"/>
      <c r="F184" s="158"/>
      <c r="G184" s="158"/>
    </row>
    <row r="185" spans="1:7" x14ac:dyDescent="0.3">
      <c r="A185" s="290" t="s">
        <v>1086</v>
      </c>
      <c r="B185" s="290" t="s">
        <v>1087</v>
      </c>
      <c r="C185" s="290" t="s">
        <v>1088</v>
      </c>
      <c r="D185" s="158"/>
      <c r="E185" s="158"/>
      <c r="F185" s="158"/>
      <c r="G185" s="158"/>
    </row>
    <row r="186" spans="1:7" x14ac:dyDescent="0.3">
      <c r="A186" s="290" t="s">
        <v>1089</v>
      </c>
      <c r="B186" s="290" t="s">
        <v>1090</v>
      </c>
      <c r="C186" s="290" t="s">
        <v>1091</v>
      </c>
      <c r="D186" s="158"/>
      <c r="E186" s="158"/>
      <c r="F186" s="158"/>
      <c r="G186" s="158"/>
    </row>
    <row r="187" spans="1:7" x14ac:dyDescent="0.3">
      <c r="A187" s="290" t="s">
        <v>1092</v>
      </c>
      <c r="B187" s="290" t="s">
        <v>587</v>
      </c>
      <c r="C187" s="290" t="s">
        <v>588</v>
      </c>
      <c r="D187" s="158"/>
      <c r="E187" s="158"/>
      <c r="F187" s="158"/>
      <c r="G187" s="158"/>
    </row>
    <row r="188" spans="1:7" x14ac:dyDescent="0.3">
      <c r="A188" s="290" t="s">
        <v>1093</v>
      </c>
      <c r="B188" s="290" t="s">
        <v>589</v>
      </c>
      <c r="C188" s="290" t="s">
        <v>590</v>
      </c>
      <c r="D188" s="158"/>
      <c r="E188" s="158"/>
      <c r="F188" s="158"/>
      <c r="G188" s="158"/>
    </row>
    <row r="189" spans="1:7" x14ac:dyDescent="0.3">
      <c r="A189" s="290" t="s">
        <v>1094</v>
      </c>
      <c r="B189" s="290" t="s">
        <v>591</v>
      </c>
      <c r="C189" s="290" t="s">
        <v>592</v>
      </c>
      <c r="D189" s="158"/>
      <c r="E189" s="158"/>
      <c r="F189" s="158"/>
      <c r="G189" s="158"/>
    </row>
    <row r="190" spans="1:7" x14ac:dyDescent="0.3">
      <c r="A190" s="290" t="s">
        <v>1095</v>
      </c>
      <c r="B190" s="290" t="s">
        <v>593</v>
      </c>
      <c r="C190" s="290" t="s">
        <v>594</v>
      </c>
      <c r="D190" s="158"/>
      <c r="E190" s="158"/>
      <c r="F190" s="158"/>
      <c r="G190" s="158"/>
    </row>
    <row r="191" spans="1:7" x14ac:dyDescent="0.3">
      <c r="A191" s="290" t="s">
        <v>1096</v>
      </c>
      <c r="B191" s="290" t="s">
        <v>595</v>
      </c>
      <c r="C191" s="290" t="s">
        <v>596</v>
      </c>
      <c r="D191" s="158"/>
      <c r="E191" s="158"/>
      <c r="F191" s="158"/>
      <c r="G191" s="158"/>
    </row>
    <row r="192" spans="1:7" x14ac:dyDescent="0.3">
      <c r="A192" s="290" t="s">
        <v>1097</v>
      </c>
      <c r="B192" s="290" t="s">
        <v>597</v>
      </c>
      <c r="C192" s="290" t="s">
        <v>598</v>
      </c>
      <c r="D192" s="158"/>
      <c r="E192" s="158"/>
      <c r="F192" s="158"/>
      <c r="G192" s="158"/>
    </row>
    <row r="193" spans="1:8" x14ac:dyDescent="0.3">
      <c r="A193" s="290" t="s">
        <v>1098</v>
      </c>
      <c r="B193" s="290" t="s">
        <v>599</v>
      </c>
      <c r="C193" s="290" t="s">
        <v>600</v>
      </c>
      <c r="D193" s="158"/>
      <c r="E193" s="158"/>
      <c r="F193" s="158"/>
      <c r="G193" s="158"/>
      <c r="H193" s="158"/>
    </row>
    <row r="194" spans="1:8" ht="26.4" x14ac:dyDescent="0.3">
      <c r="A194" s="290" t="s">
        <v>1099</v>
      </c>
      <c r="B194" s="295" t="s">
        <v>1100</v>
      </c>
      <c r="C194" s="292" t="s">
        <v>1101</v>
      </c>
      <c r="D194" s="158"/>
      <c r="E194" s="158"/>
      <c r="F194" s="158"/>
      <c r="G194" s="158"/>
      <c r="H194" s="158"/>
    </row>
    <row r="195" spans="1:8" x14ac:dyDescent="0.3">
      <c r="A195" s="290" t="s">
        <v>1102</v>
      </c>
      <c r="B195" s="290" t="s">
        <v>601</v>
      </c>
      <c r="C195" s="290" t="s">
        <v>1103</v>
      </c>
      <c r="D195" s="158"/>
      <c r="E195" s="158"/>
      <c r="F195" s="158"/>
      <c r="G195" s="158"/>
      <c r="H195" s="158"/>
    </row>
    <row r="196" spans="1:8" x14ac:dyDescent="0.3">
      <c r="A196" s="290" t="s">
        <v>1104</v>
      </c>
      <c r="B196" s="290" t="s">
        <v>602</v>
      </c>
      <c r="C196" s="290" t="s">
        <v>603</v>
      </c>
      <c r="D196" s="158"/>
      <c r="E196" s="158"/>
      <c r="F196" s="158"/>
      <c r="G196" s="158"/>
      <c r="H196" s="158"/>
    </row>
    <row r="197" spans="1:8" x14ac:dyDescent="0.3">
      <c r="A197" s="290" t="s">
        <v>1105</v>
      </c>
      <c r="B197" s="290" t="s">
        <v>604</v>
      </c>
      <c r="C197" s="290" t="s">
        <v>605</v>
      </c>
      <c r="D197" s="158"/>
      <c r="E197" s="158"/>
      <c r="F197" s="158"/>
      <c r="G197" s="158"/>
      <c r="H197" s="158"/>
    </row>
    <row r="198" spans="1:8" x14ac:dyDescent="0.3">
      <c r="A198" s="290" t="s">
        <v>1106</v>
      </c>
      <c r="B198" s="290" t="s">
        <v>606</v>
      </c>
      <c r="C198" s="290" t="s">
        <v>607</v>
      </c>
      <c r="D198" s="158"/>
      <c r="E198" s="158"/>
      <c r="F198" s="158"/>
      <c r="G198" s="158"/>
      <c r="H198" s="158"/>
    </row>
    <row r="199" spans="1:8" x14ac:dyDescent="0.3">
      <c r="A199" s="290" t="s">
        <v>1107</v>
      </c>
      <c r="B199" s="290" t="s">
        <v>608</v>
      </c>
      <c r="C199" s="290" t="s">
        <v>609</v>
      </c>
      <c r="D199" s="158"/>
      <c r="E199" s="158"/>
      <c r="F199" s="158"/>
      <c r="G199" s="158"/>
      <c r="H199" s="158"/>
    </row>
    <row r="200" spans="1:8" x14ac:dyDescent="0.3">
      <c r="A200" s="290" t="s">
        <v>1108</v>
      </c>
      <c r="B200" s="290" t="s">
        <v>610</v>
      </c>
      <c r="C200" s="290" t="s">
        <v>611</v>
      </c>
      <c r="D200" s="158"/>
      <c r="E200" s="158"/>
      <c r="F200" s="158"/>
      <c r="G200" s="158"/>
      <c r="H200" s="158"/>
    </row>
    <row r="201" spans="1:8" x14ac:dyDescent="0.3">
      <c r="A201" s="290" t="s">
        <v>1109</v>
      </c>
      <c r="B201" s="290" t="s">
        <v>1110</v>
      </c>
      <c r="C201" s="290" t="s">
        <v>1111</v>
      </c>
      <c r="D201" s="158"/>
      <c r="E201" s="158"/>
      <c r="F201" s="158"/>
      <c r="G201" s="158"/>
      <c r="H201" s="158"/>
    </row>
    <row r="202" spans="1:8" x14ac:dyDescent="0.3">
      <c r="A202" s="290" t="s">
        <v>1112</v>
      </c>
      <c r="B202" s="290" t="s">
        <v>612</v>
      </c>
      <c r="C202" s="290" t="s">
        <v>613</v>
      </c>
      <c r="D202" s="158"/>
      <c r="E202" s="158"/>
      <c r="F202" s="158"/>
      <c r="G202" s="158"/>
      <c r="H202" s="158"/>
    </row>
    <row r="203" spans="1:8" x14ac:dyDescent="0.3">
      <c r="A203" s="290" t="s">
        <v>1113</v>
      </c>
      <c r="B203" s="290" t="s">
        <v>614</v>
      </c>
      <c r="C203" s="290" t="s">
        <v>615</v>
      </c>
      <c r="D203" s="158"/>
      <c r="E203" s="158"/>
      <c r="F203" s="158"/>
      <c r="G203" s="158"/>
      <c r="H203" s="158"/>
    </row>
    <row r="204" spans="1:8" x14ac:dyDescent="0.3">
      <c r="A204" s="290" t="s">
        <v>1114</v>
      </c>
      <c r="B204" s="290" t="s">
        <v>616</v>
      </c>
      <c r="C204" s="290" t="s">
        <v>615</v>
      </c>
      <c r="D204" s="158"/>
      <c r="E204" s="158"/>
      <c r="F204" s="158"/>
      <c r="G204" s="158"/>
      <c r="H204" s="158"/>
    </row>
    <row r="205" spans="1:8" x14ac:dyDescent="0.3">
      <c r="A205" s="290" t="s">
        <v>1115</v>
      </c>
      <c r="B205" s="290" t="s">
        <v>1116</v>
      </c>
      <c r="C205" s="290" t="s">
        <v>1117</v>
      </c>
      <c r="D205" s="158"/>
      <c r="E205" s="158"/>
      <c r="F205" s="158"/>
      <c r="G205" s="158"/>
      <c r="H205" s="158"/>
    </row>
    <row r="206" spans="1:8" x14ac:dyDescent="0.3">
      <c r="A206" s="290" t="s">
        <v>1118</v>
      </c>
      <c r="B206" s="290" t="s">
        <v>617</v>
      </c>
      <c r="C206" s="290" t="s">
        <v>618</v>
      </c>
      <c r="D206" s="158"/>
      <c r="E206" s="158"/>
      <c r="F206" s="158"/>
      <c r="G206" s="158"/>
      <c r="H206" s="158"/>
    </row>
    <row r="207" spans="1:8" x14ac:dyDescent="0.3">
      <c r="A207" s="290" t="s">
        <v>1119</v>
      </c>
      <c r="B207" s="290" t="s">
        <v>619</v>
      </c>
      <c r="C207" s="290" t="s">
        <v>620</v>
      </c>
      <c r="D207" s="158"/>
      <c r="E207" s="158"/>
      <c r="F207" s="158"/>
      <c r="G207" s="158"/>
      <c r="H207" s="158"/>
    </row>
    <row r="208" spans="1:8" x14ac:dyDescent="0.3">
      <c r="A208" s="295"/>
      <c r="B208" s="290" t="s">
        <v>1120</v>
      </c>
      <c r="C208" s="290" t="s">
        <v>1121</v>
      </c>
      <c r="D208" s="158"/>
      <c r="E208" s="158"/>
      <c r="F208" s="158"/>
      <c r="G208" s="158"/>
      <c r="H208" s="158"/>
    </row>
    <row r="209" spans="1:8" x14ac:dyDescent="0.3">
      <c r="A209" s="295"/>
      <c r="B209" s="290" t="s">
        <v>1122</v>
      </c>
      <c r="C209" s="290" t="s">
        <v>1123</v>
      </c>
      <c r="D209" s="158"/>
      <c r="E209" s="158"/>
      <c r="F209" s="158"/>
      <c r="G209" s="158"/>
      <c r="H209" s="158"/>
    </row>
    <row r="210" spans="1:8" x14ac:dyDescent="0.3">
      <c r="A210" s="290" t="s">
        <v>1124</v>
      </c>
      <c r="B210" s="290" t="s">
        <v>621</v>
      </c>
      <c r="C210" s="290" t="s">
        <v>622</v>
      </c>
      <c r="D210" s="158"/>
      <c r="E210" s="158"/>
      <c r="F210" s="158"/>
      <c r="G210" s="158"/>
      <c r="H210" s="158"/>
    </row>
    <row r="211" spans="1:8" x14ac:dyDescent="0.3">
      <c r="A211" s="290" t="s">
        <v>1125</v>
      </c>
      <c r="B211" s="290" t="s">
        <v>623</v>
      </c>
      <c r="C211" s="290" t="s">
        <v>624</v>
      </c>
      <c r="D211" s="158"/>
      <c r="E211" s="158"/>
      <c r="F211" s="158"/>
      <c r="G211" s="158"/>
      <c r="H211" s="158"/>
    </row>
    <row r="212" spans="1:8" x14ac:dyDescent="0.3">
      <c r="A212" s="290" t="s">
        <v>1126</v>
      </c>
      <c r="B212" s="290" t="s">
        <v>625</v>
      </c>
      <c r="C212" s="290" t="s">
        <v>626</v>
      </c>
      <c r="D212" s="158"/>
      <c r="E212" s="158"/>
      <c r="F212" s="158"/>
      <c r="G212" s="158"/>
      <c r="H212" s="158"/>
    </row>
    <row r="213" spans="1:8" x14ac:dyDescent="0.3">
      <c r="A213" s="290" t="s">
        <v>1127</v>
      </c>
      <c r="B213" s="290" t="s">
        <v>627</v>
      </c>
      <c r="C213" s="290" t="s">
        <v>628</v>
      </c>
      <c r="D213" s="158"/>
      <c r="E213" s="158"/>
      <c r="F213" s="158"/>
      <c r="G213" s="158"/>
      <c r="H213" s="158"/>
    </row>
    <row r="214" spans="1:8" x14ac:dyDescent="0.3">
      <c r="A214" s="290" t="s">
        <v>1128</v>
      </c>
      <c r="B214" s="290" t="s">
        <v>629</v>
      </c>
      <c r="C214" s="290" t="s">
        <v>630</v>
      </c>
      <c r="D214" s="158"/>
      <c r="E214" s="158"/>
      <c r="F214" s="158"/>
      <c r="G214" s="158"/>
      <c r="H214" s="158"/>
    </row>
    <row r="215" spans="1:8" x14ac:dyDescent="0.3">
      <c r="A215" s="290" t="s">
        <v>1129</v>
      </c>
      <c r="B215" s="290" t="s">
        <v>631</v>
      </c>
      <c r="C215" s="290" t="s">
        <v>632</v>
      </c>
      <c r="D215" s="158"/>
      <c r="E215" s="158"/>
      <c r="F215" s="158"/>
      <c r="G215" s="158"/>
      <c r="H215" s="158"/>
    </row>
    <row r="216" spans="1:8" x14ac:dyDescent="0.3">
      <c r="A216" s="290" t="s">
        <v>1130</v>
      </c>
      <c r="B216" s="290" t="s">
        <v>633</v>
      </c>
      <c r="C216" s="290" t="s">
        <v>634</v>
      </c>
      <c r="D216" s="158"/>
      <c r="E216" s="158"/>
      <c r="F216" s="158"/>
      <c r="G216" s="158"/>
      <c r="H216" s="158"/>
    </row>
    <row r="217" spans="1:8" x14ac:dyDescent="0.3">
      <c r="A217" s="290" t="s">
        <v>1131</v>
      </c>
      <c r="B217" s="290" t="s">
        <v>635</v>
      </c>
      <c r="C217" s="290" t="s">
        <v>636</v>
      </c>
      <c r="D217" s="158"/>
      <c r="E217" s="158"/>
      <c r="F217" s="158"/>
      <c r="G217" s="158"/>
      <c r="H217" s="158"/>
    </row>
    <row r="218" spans="1:8" x14ac:dyDescent="0.3">
      <c r="A218" s="290" t="s">
        <v>1132</v>
      </c>
      <c r="B218" s="290" t="s">
        <v>637</v>
      </c>
      <c r="C218" s="290" t="s">
        <v>636</v>
      </c>
      <c r="D218" s="158"/>
      <c r="E218" s="158"/>
      <c r="F218" s="158"/>
      <c r="G218" s="158"/>
      <c r="H218" s="158"/>
    </row>
    <row r="219" spans="1:8" x14ac:dyDescent="0.3">
      <c r="A219" s="290" t="s">
        <v>1133</v>
      </c>
      <c r="B219" s="290" t="s">
        <v>638</v>
      </c>
      <c r="C219" s="290" t="s">
        <v>639</v>
      </c>
      <c r="D219" s="158"/>
      <c r="E219" s="158"/>
      <c r="F219" s="158"/>
      <c r="G219" s="158"/>
      <c r="H219" s="158"/>
    </row>
    <row r="220" spans="1:8" x14ac:dyDescent="0.3">
      <c r="A220" s="290" t="s">
        <v>1134</v>
      </c>
      <c r="B220" s="290" t="s">
        <v>640</v>
      </c>
      <c r="C220" s="290" t="s">
        <v>641</v>
      </c>
      <c r="D220" s="158"/>
      <c r="E220" s="158"/>
      <c r="F220" s="158"/>
      <c r="G220" s="158"/>
      <c r="H220" s="158"/>
    </row>
    <row r="221" spans="1:8" x14ac:dyDescent="0.3">
      <c r="A221" s="290" t="s">
        <v>1135</v>
      </c>
      <c r="B221" s="290" t="s">
        <v>642</v>
      </c>
      <c r="C221" s="290" t="s">
        <v>643</v>
      </c>
      <c r="D221" s="158"/>
      <c r="E221" s="158"/>
      <c r="F221" s="158"/>
      <c r="G221" s="158"/>
      <c r="H221" s="158"/>
    </row>
    <row r="222" spans="1:8" x14ac:dyDescent="0.3">
      <c r="A222" s="290" t="s">
        <v>1136</v>
      </c>
      <c r="B222" s="290" t="s">
        <v>644</v>
      </c>
      <c r="C222" s="290" t="s">
        <v>645</v>
      </c>
      <c r="D222" s="158"/>
      <c r="E222" s="158"/>
      <c r="F222" s="158"/>
      <c r="G222" s="158"/>
      <c r="H222" s="158"/>
    </row>
    <row r="223" spans="1:8" x14ac:dyDescent="0.3">
      <c r="A223" s="290" t="s">
        <v>1137</v>
      </c>
      <c r="B223" s="290" t="s">
        <v>646</v>
      </c>
      <c r="C223" s="290" t="s">
        <v>647</v>
      </c>
      <c r="D223" s="158"/>
      <c r="E223" s="158"/>
      <c r="F223" s="158"/>
      <c r="G223" s="158"/>
      <c r="H223" s="158"/>
    </row>
    <row r="224" spans="1:8" x14ac:dyDescent="0.3">
      <c r="A224" s="290" t="s">
        <v>1138</v>
      </c>
      <c r="B224" s="290" t="s">
        <v>648</v>
      </c>
      <c r="C224" s="290" t="s">
        <v>649</v>
      </c>
      <c r="D224" s="158"/>
      <c r="E224" s="158"/>
      <c r="F224" s="158"/>
      <c r="G224" s="158"/>
      <c r="H224" s="158"/>
    </row>
    <row r="225" spans="1:8" x14ac:dyDescent="0.3">
      <c r="A225" s="290" t="s">
        <v>1139</v>
      </c>
      <c r="B225" s="290" t="s">
        <v>650</v>
      </c>
      <c r="C225" s="290" t="s">
        <v>651</v>
      </c>
      <c r="D225" s="158"/>
      <c r="E225" s="158"/>
      <c r="F225" s="158"/>
      <c r="G225" s="158"/>
      <c r="H225" s="158"/>
    </row>
    <row r="226" spans="1:8" x14ac:dyDescent="0.3">
      <c r="A226" s="290" t="s">
        <v>1140</v>
      </c>
      <c r="B226" s="290" t="s">
        <v>652</v>
      </c>
      <c r="C226" s="290" t="s">
        <v>328</v>
      </c>
      <c r="D226" s="158"/>
      <c r="E226" s="158"/>
      <c r="F226" s="158"/>
      <c r="G226" s="158"/>
      <c r="H226" s="158"/>
    </row>
    <row r="227" spans="1:8" x14ac:dyDescent="0.3">
      <c r="A227" s="290" t="s">
        <v>1141</v>
      </c>
      <c r="B227" s="290" t="s">
        <v>653</v>
      </c>
      <c r="C227" s="290" t="s">
        <v>654</v>
      </c>
      <c r="D227" s="158"/>
      <c r="E227" s="158"/>
      <c r="F227" s="158"/>
      <c r="G227" s="158"/>
      <c r="H227" s="158"/>
    </row>
    <row r="228" spans="1:8" x14ac:dyDescent="0.3">
      <c r="A228" s="295"/>
      <c r="B228" s="290" t="s">
        <v>1142</v>
      </c>
      <c r="C228" s="290" t="s">
        <v>1143</v>
      </c>
      <c r="D228" s="158"/>
      <c r="E228" s="158"/>
      <c r="F228" s="158"/>
      <c r="G228" s="158"/>
      <c r="H228" s="158"/>
    </row>
    <row r="229" spans="1:8" x14ac:dyDescent="0.3">
      <c r="A229" s="290" t="s">
        <v>1144</v>
      </c>
      <c r="B229" s="290" t="s">
        <v>655</v>
      </c>
      <c r="C229" s="290" t="s">
        <v>656</v>
      </c>
      <c r="D229" s="158"/>
      <c r="E229" s="158"/>
      <c r="F229" s="158"/>
      <c r="G229" s="158"/>
      <c r="H229" s="158"/>
    </row>
    <row r="230" spans="1:8" x14ac:dyDescent="0.3">
      <c r="A230" s="290" t="s">
        <v>1145</v>
      </c>
      <c r="B230" s="290" t="s">
        <v>657</v>
      </c>
      <c r="C230" s="290" t="s">
        <v>658</v>
      </c>
      <c r="D230" s="158"/>
      <c r="E230" s="158"/>
      <c r="F230" s="158"/>
      <c r="G230" s="158"/>
      <c r="H230" s="158"/>
    </row>
    <row r="231" spans="1:8" x14ac:dyDescent="0.3">
      <c r="A231" s="290" t="s">
        <v>1146</v>
      </c>
      <c r="B231" s="290" t="s">
        <v>659</v>
      </c>
      <c r="C231" s="290" t="s">
        <v>660</v>
      </c>
      <c r="D231" s="158"/>
      <c r="E231" s="158"/>
      <c r="F231" s="158"/>
      <c r="G231" s="158"/>
      <c r="H231" s="158"/>
    </row>
    <row r="232" spans="1:8" x14ac:dyDescent="0.3">
      <c r="A232" s="290" t="s">
        <v>1147</v>
      </c>
      <c r="B232" s="290" t="s">
        <v>661</v>
      </c>
      <c r="C232" s="290" t="s">
        <v>662</v>
      </c>
      <c r="D232" s="158"/>
      <c r="E232" s="158"/>
      <c r="F232" s="158"/>
      <c r="G232" s="158"/>
      <c r="H232" s="158"/>
    </row>
    <row r="233" spans="1:8" x14ac:dyDescent="0.3">
      <c r="A233" s="290" t="s">
        <v>1148</v>
      </c>
      <c r="B233" s="290" t="s">
        <v>663</v>
      </c>
      <c r="C233" s="290" t="s">
        <v>664</v>
      </c>
      <c r="D233" s="158"/>
      <c r="E233" s="158"/>
      <c r="F233" s="158"/>
      <c r="G233" s="158"/>
      <c r="H233" s="158"/>
    </row>
    <row r="234" spans="1:8" x14ac:dyDescent="0.3">
      <c r="A234" s="290" t="s">
        <v>1149</v>
      </c>
      <c r="B234" s="158" t="s">
        <v>665</v>
      </c>
      <c r="C234" s="290" t="s">
        <v>666</v>
      </c>
      <c r="D234" s="158"/>
      <c r="E234" s="158"/>
      <c r="F234" s="158"/>
      <c r="G234" s="158"/>
      <c r="H234" s="158"/>
    </row>
    <row r="235" spans="1:8" x14ac:dyDescent="0.3">
      <c r="A235" s="290" t="s">
        <v>1150</v>
      </c>
      <c r="B235" s="158" t="s">
        <v>667</v>
      </c>
      <c r="C235" s="290" t="s">
        <v>668</v>
      </c>
      <c r="D235" s="158"/>
      <c r="E235" s="158"/>
      <c r="F235" s="158"/>
      <c r="G235" s="158"/>
      <c r="H235" s="158"/>
    </row>
    <row r="236" spans="1:8" x14ac:dyDescent="0.3">
      <c r="A236" s="290" t="s">
        <v>1151</v>
      </c>
      <c r="B236" s="290" t="s">
        <v>669</v>
      </c>
      <c r="C236" s="290" t="s">
        <v>670</v>
      </c>
      <c r="D236" s="158"/>
      <c r="E236" s="158"/>
      <c r="F236" s="158"/>
      <c r="G236" s="158"/>
      <c r="H236" s="158"/>
    </row>
    <row r="237" spans="1:8" x14ac:dyDescent="0.3">
      <c r="A237" s="290" t="s">
        <v>1152</v>
      </c>
      <c r="B237" s="290" t="s">
        <v>671</v>
      </c>
      <c r="C237" s="290" t="s">
        <v>672</v>
      </c>
      <c r="D237" s="158"/>
      <c r="E237" s="158"/>
      <c r="F237" s="158"/>
      <c r="G237" s="158"/>
      <c r="H237" s="158"/>
    </row>
    <row r="238" spans="1:8" x14ac:dyDescent="0.3">
      <c r="A238" s="290" t="s">
        <v>1153</v>
      </c>
      <c r="B238" s="158" t="s">
        <v>673</v>
      </c>
      <c r="C238" s="296" t="s">
        <v>674</v>
      </c>
      <c r="D238" s="158"/>
      <c r="E238" s="158"/>
      <c r="F238" s="158"/>
      <c r="G238" s="158"/>
      <c r="H238" s="158"/>
    </row>
    <row r="239" spans="1:8" x14ac:dyDescent="0.3">
      <c r="A239" s="290" t="s">
        <v>1154</v>
      </c>
      <c r="B239" s="290" t="s">
        <v>675</v>
      </c>
      <c r="C239" s="290" t="s">
        <v>676</v>
      </c>
      <c r="D239" s="158"/>
      <c r="E239" s="158"/>
      <c r="F239" s="158"/>
      <c r="G239" s="158"/>
      <c r="H239" s="158"/>
    </row>
    <row r="240" spans="1:8" x14ac:dyDescent="0.3">
      <c r="A240" s="290" t="s">
        <v>1155</v>
      </c>
      <c r="B240" s="290" t="s">
        <v>677</v>
      </c>
      <c r="C240" s="290" t="s">
        <v>678</v>
      </c>
      <c r="D240" s="158"/>
      <c r="E240" s="158"/>
      <c r="F240" s="158"/>
      <c r="G240" s="158"/>
      <c r="H240" s="158"/>
    </row>
    <row r="241" spans="1:8" x14ac:dyDescent="0.3">
      <c r="A241" s="290" t="s">
        <v>1156</v>
      </c>
      <c r="B241" s="290" t="s">
        <v>679</v>
      </c>
      <c r="C241" s="290" t="s">
        <v>680</v>
      </c>
      <c r="D241" s="158"/>
      <c r="E241" s="158"/>
      <c r="F241" s="158"/>
      <c r="G241" s="158"/>
      <c r="H241" s="158"/>
    </row>
    <row r="242" spans="1:8" x14ac:dyDescent="0.3">
      <c r="A242" s="295"/>
      <c r="B242" s="290" t="s">
        <v>1157</v>
      </c>
      <c r="C242" s="290" t="s">
        <v>1158</v>
      </c>
      <c r="D242" s="158"/>
      <c r="E242" s="158"/>
      <c r="F242" s="158"/>
      <c r="G242" s="158"/>
      <c r="H242" s="158"/>
    </row>
    <row r="243" spans="1:8" x14ac:dyDescent="0.3">
      <c r="A243" s="290" t="s">
        <v>1159</v>
      </c>
      <c r="B243" s="290" t="s">
        <v>681</v>
      </c>
      <c r="C243" s="290" t="s">
        <v>682</v>
      </c>
      <c r="D243" s="158"/>
      <c r="E243" s="158"/>
      <c r="F243" s="158"/>
      <c r="G243" s="158"/>
      <c r="H243" s="158"/>
    </row>
    <row r="244" spans="1:8" x14ac:dyDescent="0.3">
      <c r="A244" s="290" t="s">
        <v>1160</v>
      </c>
      <c r="B244" s="290" t="s">
        <v>683</v>
      </c>
      <c r="C244" s="290" t="s">
        <v>684</v>
      </c>
      <c r="D244" s="158"/>
      <c r="E244" s="158"/>
      <c r="F244" s="158"/>
      <c r="G244" s="158"/>
      <c r="H244" s="158"/>
    </row>
    <row r="245" spans="1:8" x14ac:dyDescent="0.3">
      <c r="A245" s="290" t="s">
        <v>1161</v>
      </c>
      <c r="B245" s="290" t="s">
        <v>685</v>
      </c>
      <c r="C245" s="290" t="s">
        <v>686</v>
      </c>
      <c r="D245" s="158"/>
      <c r="E245" s="158"/>
      <c r="F245" s="158"/>
      <c r="G245" s="158"/>
      <c r="H245" s="158"/>
    </row>
    <row r="246" spans="1:8" x14ac:dyDescent="0.3">
      <c r="A246" s="290" t="s">
        <v>1162</v>
      </c>
      <c r="B246" s="290" t="s">
        <v>687</v>
      </c>
      <c r="C246" s="290" t="s">
        <v>688</v>
      </c>
      <c r="D246" s="158"/>
      <c r="E246" s="158"/>
      <c r="F246" s="158"/>
      <c r="G246" s="158"/>
      <c r="H246" s="158"/>
    </row>
    <row r="247" spans="1:8" x14ac:dyDescent="0.3">
      <c r="A247" s="290" t="s">
        <v>1163</v>
      </c>
      <c r="B247" s="290" t="s">
        <v>689</v>
      </c>
      <c r="C247" s="290" t="s">
        <v>690</v>
      </c>
      <c r="D247" s="158"/>
      <c r="E247" s="158"/>
      <c r="F247" s="158"/>
      <c r="G247" s="158"/>
      <c r="H247" s="158"/>
    </row>
    <row r="248" spans="1:8" x14ac:dyDescent="0.3">
      <c r="A248" s="290" t="s">
        <v>1164</v>
      </c>
      <c r="B248" s="290" t="s">
        <v>1165</v>
      </c>
      <c r="C248" s="290" t="s">
        <v>1166</v>
      </c>
      <c r="D248" s="158"/>
      <c r="E248" s="158"/>
      <c r="F248" s="158"/>
      <c r="G248" s="158"/>
      <c r="H248" s="158"/>
    </row>
    <row r="249" spans="1:8" x14ac:dyDescent="0.3">
      <c r="A249" s="290" t="s">
        <v>1167</v>
      </c>
      <c r="B249" s="290" t="s">
        <v>691</v>
      </c>
      <c r="C249" s="290" t="s">
        <v>692</v>
      </c>
      <c r="D249" s="158"/>
      <c r="E249" s="158"/>
      <c r="F249" s="158"/>
      <c r="G249" s="158"/>
      <c r="H249" s="158"/>
    </row>
    <row r="250" spans="1:8" x14ac:dyDescent="0.3">
      <c r="A250" s="290" t="s">
        <v>1168</v>
      </c>
      <c r="B250" s="290" t="s">
        <v>693</v>
      </c>
      <c r="C250" s="290" t="s">
        <v>694</v>
      </c>
      <c r="D250" s="158"/>
      <c r="E250" s="158"/>
      <c r="F250" s="158"/>
      <c r="G250" s="158"/>
      <c r="H250" s="158"/>
    </row>
    <row r="251" spans="1:8" x14ac:dyDescent="0.3">
      <c r="A251" s="290" t="s">
        <v>1169</v>
      </c>
      <c r="B251" s="290" t="s">
        <v>695</v>
      </c>
      <c r="C251" s="290" t="s">
        <v>696</v>
      </c>
      <c r="D251" s="158"/>
      <c r="E251" s="158"/>
      <c r="F251" s="158"/>
      <c r="G251" s="158"/>
      <c r="H251" s="158"/>
    </row>
    <row r="252" spans="1:8" x14ac:dyDescent="0.3">
      <c r="A252" s="290" t="s">
        <v>1170</v>
      </c>
      <c r="B252" s="290" t="s">
        <v>697</v>
      </c>
      <c r="C252" s="290" t="s">
        <v>1298</v>
      </c>
      <c r="D252" s="158"/>
      <c r="E252" s="158"/>
      <c r="F252" s="158"/>
      <c r="G252" s="158"/>
      <c r="H252" s="158"/>
    </row>
    <row r="253" spans="1:8" x14ac:dyDescent="0.3">
      <c r="A253" s="290" t="s">
        <v>1171</v>
      </c>
      <c r="B253" s="290" t="s">
        <v>698</v>
      </c>
      <c r="C253" s="290" t="s">
        <v>699</v>
      </c>
      <c r="D253" s="158"/>
      <c r="E253" s="158"/>
      <c r="F253" s="158"/>
      <c r="G253" s="158"/>
      <c r="H253" s="158"/>
    </row>
    <row r="254" spans="1:8" x14ac:dyDescent="0.3">
      <c r="A254" s="290" t="s">
        <v>1172</v>
      </c>
      <c r="B254" s="290" t="s">
        <v>700</v>
      </c>
      <c r="C254" s="290" t="s">
        <v>701</v>
      </c>
      <c r="D254" s="158"/>
      <c r="E254" s="158"/>
      <c r="F254" s="158"/>
      <c r="G254" s="158"/>
      <c r="H254" s="158"/>
    </row>
    <row r="255" spans="1:8" x14ac:dyDescent="0.3">
      <c r="A255" s="290" t="s">
        <v>1173</v>
      </c>
      <c r="B255" s="290" t="s">
        <v>702</v>
      </c>
      <c r="C255" s="290" t="s">
        <v>511</v>
      </c>
      <c r="D255" s="158"/>
      <c r="E255" s="158"/>
      <c r="F255" s="158"/>
      <c r="G255" s="158"/>
      <c r="H255" s="158"/>
    </row>
    <row r="256" spans="1:8" x14ac:dyDescent="0.3">
      <c r="A256" s="290" t="s">
        <v>1174</v>
      </c>
      <c r="B256" s="290" t="s">
        <v>703</v>
      </c>
      <c r="C256" s="290" t="s">
        <v>704</v>
      </c>
      <c r="D256" s="158"/>
      <c r="E256" s="158"/>
      <c r="F256" s="158"/>
      <c r="G256" s="158"/>
      <c r="H256" s="158"/>
    </row>
    <row r="257" spans="1:8" x14ac:dyDescent="0.3">
      <c r="A257" s="290" t="s">
        <v>1175</v>
      </c>
      <c r="B257" s="290" t="s">
        <v>705</v>
      </c>
      <c r="C257" s="290" t="s">
        <v>706</v>
      </c>
      <c r="D257" s="158"/>
      <c r="E257" s="158"/>
      <c r="F257" s="158"/>
      <c r="G257" s="158"/>
      <c r="H257" s="158"/>
    </row>
    <row r="258" spans="1:8" x14ac:dyDescent="0.3">
      <c r="A258" s="290" t="s">
        <v>1176</v>
      </c>
      <c r="B258" s="290" t="s">
        <v>707</v>
      </c>
      <c r="C258" s="290" t="s">
        <v>319</v>
      </c>
      <c r="D258" s="158"/>
      <c r="E258" s="158"/>
      <c r="F258" s="158"/>
      <c r="G258" s="158"/>
      <c r="H258" s="158"/>
    </row>
    <row r="259" spans="1:8" x14ac:dyDescent="0.3">
      <c r="A259" s="290" t="s">
        <v>1177</v>
      </c>
      <c r="B259" s="290" t="s">
        <v>708</v>
      </c>
      <c r="C259" s="290" t="s">
        <v>709</v>
      </c>
      <c r="D259" s="158"/>
      <c r="E259" s="158"/>
      <c r="F259" s="158"/>
      <c r="G259" s="158"/>
      <c r="H259" s="158"/>
    </row>
    <row r="260" spans="1:8" x14ac:dyDescent="0.3">
      <c r="A260" s="290" t="s">
        <v>1178</v>
      </c>
      <c r="B260" s="290" t="s">
        <v>710</v>
      </c>
      <c r="C260" s="290" t="s">
        <v>711</v>
      </c>
      <c r="D260" s="158"/>
      <c r="E260" s="158"/>
      <c r="F260" s="158"/>
      <c r="G260" s="158"/>
      <c r="H260" s="158"/>
    </row>
    <row r="261" spans="1:8" x14ac:dyDescent="0.3">
      <c r="A261" s="290" t="s">
        <v>1179</v>
      </c>
      <c r="B261" s="290" t="s">
        <v>712</v>
      </c>
      <c r="C261" s="290" t="s">
        <v>713</v>
      </c>
      <c r="D261" s="158"/>
      <c r="E261" s="158"/>
      <c r="F261" s="158"/>
      <c r="G261" s="158"/>
      <c r="H261" s="158"/>
    </row>
    <row r="262" spans="1:8" x14ac:dyDescent="0.3">
      <c r="A262" s="290" t="s">
        <v>1180</v>
      </c>
      <c r="B262" s="290" t="s">
        <v>714</v>
      </c>
      <c r="C262" s="290" t="s">
        <v>715</v>
      </c>
      <c r="D262" s="158"/>
      <c r="E262" s="158"/>
      <c r="F262" s="158"/>
      <c r="G262" s="158"/>
      <c r="H262" s="158"/>
    </row>
    <row r="263" spans="1:8" x14ac:dyDescent="0.3">
      <c r="A263" s="290" t="s">
        <v>1181</v>
      </c>
      <c r="B263" s="290" t="s">
        <v>716</v>
      </c>
      <c r="C263" s="290" t="s">
        <v>717</v>
      </c>
      <c r="D263" s="158"/>
      <c r="E263" s="158"/>
      <c r="F263" s="158"/>
      <c r="G263" s="158"/>
      <c r="H263" s="158"/>
    </row>
    <row r="264" spans="1:8" x14ac:dyDescent="0.3">
      <c r="A264" s="290" t="s">
        <v>1182</v>
      </c>
      <c r="B264" s="290" t="s">
        <v>718</v>
      </c>
      <c r="C264" s="290" t="s">
        <v>719</v>
      </c>
      <c r="D264" s="158"/>
      <c r="E264" s="158"/>
      <c r="F264" s="158"/>
      <c r="G264" s="158"/>
      <c r="H264" s="158"/>
    </row>
    <row r="265" spans="1:8" x14ac:dyDescent="0.3">
      <c r="A265" s="290" t="s">
        <v>1183</v>
      </c>
      <c r="B265" s="290" t="s">
        <v>720</v>
      </c>
      <c r="C265" s="290" t="s">
        <v>721</v>
      </c>
      <c r="D265" s="158"/>
      <c r="E265" s="158"/>
      <c r="F265" s="158"/>
      <c r="G265" s="158"/>
      <c r="H265" s="158"/>
    </row>
    <row r="266" spans="1:8" x14ac:dyDescent="0.3">
      <c r="A266" s="290" t="s">
        <v>1184</v>
      </c>
      <c r="B266" s="290" t="s">
        <v>722</v>
      </c>
      <c r="C266" s="251" t="s">
        <v>723</v>
      </c>
      <c r="D266" s="158"/>
      <c r="E266" s="158"/>
      <c r="F266" s="158"/>
      <c r="G266" s="158"/>
      <c r="H266" s="158"/>
    </row>
    <row r="267" spans="1:8" x14ac:dyDescent="0.3">
      <c r="A267" s="290" t="s">
        <v>1185</v>
      </c>
      <c r="B267" t="s">
        <v>724</v>
      </c>
      <c r="C267" s="251"/>
      <c r="D267" s="158"/>
      <c r="E267" s="158"/>
      <c r="F267" s="158"/>
      <c r="G267" s="158"/>
      <c r="H267" s="158"/>
    </row>
    <row r="268" spans="1:8" x14ac:dyDescent="0.3">
      <c r="A268" s="290" t="s">
        <v>1186</v>
      </c>
      <c r="B268" s="290" t="s">
        <v>725</v>
      </c>
      <c r="C268" s="290" t="s">
        <v>726</v>
      </c>
      <c r="D268" s="158"/>
      <c r="E268" s="158"/>
      <c r="F268" s="158"/>
      <c r="G268" s="158"/>
      <c r="H268" s="158"/>
    </row>
    <row r="269" spans="1:8" x14ac:dyDescent="0.3">
      <c r="A269" s="290" t="s">
        <v>1187</v>
      </c>
      <c r="B269" s="290" t="s">
        <v>1188</v>
      </c>
      <c r="C269" s="290" t="s">
        <v>1189</v>
      </c>
      <c r="D269" s="158"/>
      <c r="E269" s="158"/>
      <c r="F269" s="158"/>
      <c r="G269" s="158"/>
      <c r="H269" s="158"/>
    </row>
    <row r="270" spans="1:8" x14ac:dyDescent="0.3">
      <c r="A270" s="290" t="s">
        <v>1190</v>
      </c>
      <c r="B270" s="290" t="s">
        <v>727</v>
      </c>
      <c r="C270" s="290" t="s">
        <v>728</v>
      </c>
      <c r="D270" s="158"/>
      <c r="E270" s="158"/>
      <c r="F270" s="158"/>
      <c r="G270" s="158"/>
      <c r="H270" s="158"/>
    </row>
    <row r="271" spans="1:8" x14ac:dyDescent="0.3">
      <c r="A271" s="290" t="s">
        <v>1191</v>
      </c>
      <c r="B271" s="290" t="s">
        <v>729</v>
      </c>
      <c r="C271" s="290" t="s">
        <v>328</v>
      </c>
      <c r="D271" s="158"/>
      <c r="E271" s="158"/>
      <c r="F271" s="158"/>
      <c r="G271" s="158"/>
      <c r="H271" s="158"/>
    </row>
    <row r="272" spans="1:8" x14ac:dyDescent="0.3">
      <c r="A272" s="290" t="s">
        <v>1192</v>
      </c>
      <c r="B272" s="290" t="s">
        <v>730</v>
      </c>
      <c r="C272" s="290" t="s">
        <v>731</v>
      </c>
      <c r="D272" s="158"/>
      <c r="E272" s="158"/>
      <c r="F272" s="158"/>
      <c r="G272" s="158"/>
      <c r="H272" s="158"/>
    </row>
    <row r="273" spans="1:8" x14ac:dyDescent="0.3">
      <c r="A273" s="290" t="s">
        <v>1193</v>
      </c>
      <c r="B273" s="290" t="s">
        <v>732</v>
      </c>
      <c r="C273" s="290" t="s">
        <v>733</v>
      </c>
      <c r="D273" s="158"/>
      <c r="E273" s="158"/>
      <c r="F273" s="158"/>
      <c r="G273" s="158"/>
      <c r="H273" s="158"/>
    </row>
    <row r="274" spans="1:8" x14ac:dyDescent="0.3">
      <c r="A274" s="290" t="s">
        <v>1194</v>
      </c>
      <c r="B274" s="290" t="s">
        <v>734</v>
      </c>
      <c r="C274" s="290" t="s">
        <v>735</v>
      </c>
      <c r="D274" s="158"/>
      <c r="E274" s="158"/>
      <c r="F274" s="158"/>
      <c r="G274" s="158"/>
      <c r="H274" s="158"/>
    </row>
    <row r="275" spans="1:8" x14ac:dyDescent="0.3">
      <c r="A275" s="290" t="s">
        <v>1195</v>
      </c>
      <c r="B275" s="290" t="s">
        <v>736</v>
      </c>
      <c r="C275" s="290" t="s">
        <v>737</v>
      </c>
      <c r="D275" s="158"/>
      <c r="E275" s="158"/>
      <c r="F275" s="158"/>
      <c r="G275" s="158"/>
      <c r="H275" s="158"/>
    </row>
    <row r="276" spans="1:8" x14ac:dyDescent="0.3">
      <c r="A276" s="290" t="s">
        <v>1196</v>
      </c>
      <c r="B276" s="290" t="s">
        <v>1197</v>
      </c>
      <c r="C276" s="290" t="s">
        <v>1198</v>
      </c>
      <c r="D276" s="158"/>
      <c r="E276" s="158"/>
      <c r="F276" s="158"/>
      <c r="G276" s="158"/>
      <c r="H276" s="158"/>
    </row>
    <row r="277" spans="1:8" x14ac:dyDescent="0.3">
      <c r="A277" s="290" t="s">
        <v>1199</v>
      </c>
      <c r="B277" s="290" t="s">
        <v>1200</v>
      </c>
      <c r="C277" s="290" t="s">
        <v>1201</v>
      </c>
      <c r="D277" s="158"/>
      <c r="E277" s="158"/>
      <c r="F277" s="158"/>
      <c r="G277" s="158"/>
      <c r="H277" s="158"/>
    </row>
    <row r="278" spans="1:8" x14ac:dyDescent="0.3">
      <c r="A278" s="290" t="s">
        <v>1202</v>
      </c>
      <c r="B278" s="290" t="s">
        <v>1203</v>
      </c>
      <c r="C278" s="290" t="s">
        <v>738</v>
      </c>
      <c r="D278" s="158"/>
      <c r="E278" s="158"/>
      <c r="F278" s="158"/>
      <c r="G278" s="158"/>
      <c r="H278" s="158"/>
    </row>
    <row r="279" spans="1:8" x14ac:dyDescent="0.3">
      <c r="A279" s="290" t="s">
        <v>1204</v>
      </c>
      <c r="B279" s="290" t="s">
        <v>1205</v>
      </c>
      <c r="C279" s="290" t="s">
        <v>739</v>
      </c>
      <c r="D279" s="158"/>
      <c r="E279" s="158"/>
      <c r="F279" s="158"/>
      <c r="G279" s="158"/>
      <c r="H279" s="158"/>
    </row>
    <row r="280" spans="1:8" x14ac:dyDescent="0.3">
      <c r="A280" s="290" t="s">
        <v>1206</v>
      </c>
      <c r="B280" s="290" t="s">
        <v>740</v>
      </c>
      <c r="C280" s="290" t="s">
        <v>741</v>
      </c>
      <c r="D280" s="158"/>
      <c r="E280" s="158"/>
      <c r="F280" s="158"/>
      <c r="G280" s="158"/>
      <c r="H280" s="158"/>
    </row>
    <row r="281" spans="1:8" x14ac:dyDescent="0.3">
      <c r="A281" s="290" t="s">
        <v>1207</v>
      </c>
      <c r="B281" s="290" t="s">
        <v>742</v>
      </c>
      <c r="C281" s="290" t="s">
        <v>743</v>
      </c>
      <c r="D281" s="158"/>
      <c r="E281" s="158"/>
      <c r="F281" s="158"/>
      <c r="G281" s="158"/>
      <c r="H281" s="158"/>
    </row>
    <row r="282" spans="1:8" x14ac:dyDescent="0.3">
      <c r="A282" s="290" t="s">
        <v>1208</v>
      </c>
      <c r="B282" s="290" t="s">
        <v>744</v>
      </c>
      <c r="C282" s="290" t="s">
        <v>1209</v>
      </c>
      <c r="D282" s="158"/>
      <c r="E282" s="158"/>
      <c r="F282" s="158"/>
      <c r="G282" s="158"/>
      <c r="H282" s="158"/>
    </row>
    <row r="283" spans="1:8" x14ac:dyDescent="0.3">
      <c r="A283" s="290" t="s">
        <v>1210</v>
      </c>
      <c r="B283" s="290" t="s">
        <v>745</v>
      </c>
      <c r="C283" s="290" t="s">
        <v>746</v>
      </c>
      <c r="D283" s="158"/>
      <c r="E283" s="158"/>
      <c r="F283" s="158"/>
      <c r="G283" s="158"/>
      <c r="H283" s="158"/>
    </row>
    <row r="284" spans="1:8" x14ac:dyDescent="0.3">
      <c r="A284" s="290" t="s">
        <v>1211</v>
      </c>
      <c r="B284" s="290" t="s">
        <v>747</v>
      </c>
      <c r="C284" s="290" t="s">
        <v>748</v>
      </c>
      <c r="D284" s="158"/>
      <c r="E284" s="158"/>
      <c r="F284" s="158"/>
      <c r="G284" s="158"/>
      <c r="H284" s="158"/>
    </row>
    <row r="285" spans="1:8" x14ac:dyDescent="0.3">
      <c r="A285" s="290" t="s">
        <v>1212</v>
      </c>
      <c r="B285" s="290" t="s">
        <v>749</v>
      </c>
      <c r="C285" s="290" t="s">
        <v>335</v>
      </c>
      <c r="D285" s="158"/>
      <c r="E285" s="158"/>
      <c r="F285" s="158"/>
      <c r="G285" s="158"/>
      <c r="H285" s="158"/>
    </row>
    <row r="286" spans="1:8" x14ac:dyDescent="0.3">
      <c r="A286" s="290" t="s">
        <v>1213</v>
      </c>
      <c r="B286" s="290" t="s">
        <v>750</v>
      </c>
      <c r="C286" s="290" t="s">
        <v>328</v>
      </c>
      <c r="D286" s="158"/>
      <c r="E286" s="158"/>
      <c r="F286" s="158"/>
      <c r="G286" s="158"/>
      <c r="H286" s="158"/>
    </row>
    <row r="287" spans="1:8" x14ac:dyDescent="0.3">
      <c r="A287" s="290" t="s">
        <v>1214</v>
      </c>
      <c r="B287" s="290" t="s">
        <v>751</v>
      </c>
      <c r="C287" s="290" t="s">
        <v>752</v>
      </c>
      <c r="D287" s="158"/>
      <c r="E287" s="158"/>
      <c r="F287" s="158"/>
      <c r="G287" s="158"/>
      <c r="H287" s="158"/>
    </row>
    <row r="288" spans="1:8" x14ac:dyDescent="0.3">
      <c r="A288" s="290" t="s">
        <v>1215</v>
      </c>
      <c r="B288" s="290" t="s">
        <v>753</v>
      </c>
      <c r="C288" s="290" t="s">
        <v>502</v>
      </c>
      <c r="D288" s="158"/>
      <c r="E288" s="158"/>
      <c r="F288" s="158"/>
      <c r="G288" s="158"/>
      <c r="H288" s="158"/>
    </row>
    <row r="289" spans="1:8" x14ac:dyDescent="0.3">
      <c r="A289" s="290" t="s">
        <v>1216</v>
      </c>
      <c r="B289" s="297" t="s">
        <v>754</v>
      </c>
      <c r="C289" s="290" t="s">
        <v>755</v>
      </c>
      <c r="D289" s="158"/>
      <c r="E289" s="158"/>
      <c r="F289" s="158"/>
      <c r="G289" s="158"/>
      <c r="H289" s="158"/>
    </row>
    <row r="290" spans="1:8" x14ac:dyDescent="0.3">
      <c r="A290" s="290" t="s">
        <v>1217</v>
      </c>
      <c r="B290" s="297" t="s">
        <v>756</v>
      </c>
      <c r="C290" s="290" t="s">
        <v>757</v>
      </c>
      <c r="D290" s="158"/>
      <c r="E290" s="158"/>
      <c r="F290" s="158"/>
      <c r="G290" s="158"/>
      <c r="H290" s="158"/>
    </row>
    <row r="291" spans="1:8" x14ac:dyDescent="0.3">
      <c r="A291" s="290" t="s">
        <v>1218</v>
      </c>
      <c r="B291" s="297" t="s">
        <v>758</v>
      </c>
      <c r="C291" s="290" t="s">
        <v>759</v>
      </c>
      <c r="D291" s="158"/>
      <c r="E291" s="158"/>
      <c r="F291" s="158"/>
      <c r="G291" s="158"/>
      <c r="H291" s="158"/>
    </row>
    <row r="292" spans="1:8" x14ac:dyDescent="0.3">
      <c r="A292" s="290" t="s">
        <v>1219</v>
      </c>
      <c r="B292" s="290" t="s">
        <v>760</v>
      </c>
      <c r="C292" s="290" t="s">
        <v>761</v>
      </c>
      <c r="D292" s="158"/>
      <c r="E292" s="158"/>
      <c r="F292" s="158"/>
      <c r="G292" s="158"/>
      <c r="H292" s="158"/>
    </row>
    <row r="293" spans="1:8" x14ac:dyDescent="0.3">
      <c r="A293" s="290" t="s">
        <v>1220</v>
      </c>
      <c r="B293" s="290" t="s">
        <v>1221</v>
      </c>
      <c r="C293" s="290" t="s">
        <v>1222</v>
      </c>
      <c r="D293" s="158"/>
      <c r="E293" s="158"/>
      <c r="F293" s="158"/>
      <c r="G293" s="158"/>
      <c r="H293" s="158"/>
    </row>
    <row r="294" spans="1:8" x14ac:dyDescent="0.3">
      <c r="A294" s="290" t="s">
        <v>1223</v>
      </c>
      <c r="B294" s="290" t="s">
        <v>762</v>
      </c>
      <c r="C294" s="290" t="s">
        <v>763</v>
      </c>
      <c r="D294" s="158"/>
      <c r="E294" s="158"/>
      <c r="F294" s="158"/>
      <c r="G294" s="158"/>
      <c r="H294" s="158"/>
    </row>
    <row r="295" spans="1:8" x14ac:dyDescent="0.3">
      <c r="A295" s="290" t="s">
        <v>1224</v>
      </c>
      <c r="B295" s="290" t="s">
        <v>1225</v>
      </c>
      <c r="C295" s="290" t="s">
        <v>1226</v>
      </c>
      <c r="D295" s="158"/>
      <c r="E295" s="158"/>
      <c r="F295" s="158"/>
      <c r="G295" s="158"/>
      <c r="H295" s="158"/>
    </row>
    <row r="296" spans="1:8" x14ac:dyDescent="0.3">
      <c r="A296" s="290" t="s">
        <v>1227</v>
      </c>
      <c r="B296" s="290" t="s">
        <v>764</v>
      </c>
      <c r="C296" s="290" t="s">
        <v>765</v>
      </c>
      <c r="D296" s="158"/>
      <c r="E296" s="158"/>
      <c r="F296" s="158"/>
      <c r="G296" s="158"/>
      <c r="H296" s="158"/>
    </row>
    <row r="297" spans="1:8" x14ac:dyDescent="0.3">
      <c r="A297" s="290" t="s">
        <v>1228</v>
      </c>
      <c r="B297" s="290" t="s">
        <v>766</v>
      </c>
      <c r="C297" s="290" t="s">
        <v>767</v>
      </c>
      <c r="D297" s="158"/>
      <c r="E297" s="158"/>
      <c r="F297" s="158"/>
      <c r="G297" s="158"/>
      <c r="H297" s="158"/>
    </row>
    <row r="298" spans="1:8" x14ac:dyDescent="0.3">
      <c r="A298" s="295"/>
      <c r="B298" s="290" t="s">
        <v>1229</v>
      </c>
      <c r="C298" s="290" t="s">
        <v>1230</v>
      </c>
      <c r="D298" s="158"/>
      <c r="E298" s="158"/>
      <c r="F298" s="158"/>
      <c r="G298" s="158"/>
      <c r="H298" s="158"/>
    </row>
    <row r="299" spans="1:8" x14ac:dyDescent="0.3">
      <c r="A299" s="290" t="s">
        <v>1231</v>
      </c>
      <c r="B299" s="290" t="s">
        <v>768</v>
      </c>
      <c r="C299" s="290" t="s">
        <v>502</v>
      </c>
      <c r="D299" s="158"/>
      <c r="E299" s="158"/>
      <c r="F299" s="158"/>
      <c r="G299" s="158"/>
      <c r="H299" s="158"/>
    </row>
    <row r="300" spans="1:8" x14ac:dyDescent="0.3">
      <c r="A300" s="290" t="s">
        <v>1232</v>
      </c>
      <c r="B300" s="290" t="s">
        <v>769</v>
      </c>
      <c r="C300" s="290" t="s">
        <v>476</v>
      </c>
      <c r="D300" s="158"/>
      <c r="E300" s="158"/>
      <c r="F300" s="158"/>
      <c r="G300" s="158"/>
      <c r="H300" s="158"/>
    </row>
    <row r="301" spans="1:8" x14ac:dyDescent="0.3">
      <c r="A301" s="290" t="s">
        <v>1233</v>
      </c>
      <c r="B301" s="158" t="s">
        <v>770</v>
      </c>
      <c r="C301" s="290" t="s">
        <v>328</v>
      </c>
      <c r="D301" s="158"/>
      <c r="E301" s="158"/>
      <c r="F301" s="158"/>
      <c r="G301" s="158"/>
      <c r="H301" s="158"/>
    </row>
    <row r="302" spans="1:8" x14ac:dyDescent="0.3">
      <c r="A302" s="290" t="s">
        <v>1234</v>
      </c>
      <c r="B302" s="158" t="s">
        <v>1235</v>
      </c>
      <c r="C302" s="290" t="s">
        <v>1236</v>
      </c>
      <c r="D302" s="158"/>
      <c r="E302" s="158"/>
      <c r="F302" s="158"/>
      <c r="G302" s="158"/>
      <c r="H302" s="158"/>
    </row>
    <row r="303" spans="1:8" x14ac:dyDescent="0.3">
      <c r="A303" s="290" t="s">
        <v>1237</v>
      </c>
      <c r="B303" s="158" t="s">
        <v>771</v>
      </c>
      <c r="C303" s="290" t="s">
        <v>772</v>
      </c>
      <c r="D303" s="158"/>
      <c r="E303" s="158"/>
      <c r="F303" s="158"/>
      <c r="G303" s="158"/>
      <c r="H303" s="158"/>
    </row>
    <row r="304" spans="1:8" x14ac:dyDescent="0.3">
      <c r="A304" s="290" t="s">
        <v>1238</v>
      </c>
      <c r="B304" s="158" t="s">
        <v>1239</v>
      </c>
      <c r="C304" s="290" t="s">
        <v>1240</v>
      </c>
      <c r="D304" s="158"/>
      <c r="E304" s="158"/>
      <c r="F304" s="158"/>
      <c r="G304" s="158"/>
      <c r="H304" s="158"/>
    </row>
    <row r="305" spans="1:8" x14ac:dyDescent="0.3">
      <c r="A305" s="290" t="s">
        <v>1241</v>
      </c>
      <c r="B305" s="290" t="s">
        <v>773</v>
      </c>
      <c r="C305" s="290" t="s">
        <v>774</v>
      </c>
      <c r="D305" s="158"/>
      <c r="E305" s="158"/>
      <c r="F305" s="158"/>
      <c r="G305" s="158"/>
      <c r="H305" s="158"/>
    </row>
    <row r="306" spans="1:8" x14ac:dyDescent="0.3">
      <c r="A306" s="290" t="s">
        <v>1242</v>
      </c>
      <c r="B306" s="251" t="s">
        <v>775</v>
      </c>
      <c r="C306" s="290" t="s">
        <v>776</v>
      </c>
      <c r="D306" s="158"/>
      <c r="E306" s="158"/>
      <c r="F306" s="158"/>
      <c r="G306" s="158"/>
      <c r="H306" s="158"/>
    </row>
    <row r="307" spans="1:8" x14ac:dyDescent="0.3">
      <c r="A307" s="290" t="s">
        <v>1243</v>
      </c>
      <c r="B307" s="290" t="s">
        <v>777</v>
      </c>
      <c r="C307" s="290" t="s">
        <v>778</v>
      </c>
      <c r="D307" s="158"/>
      <c r="E307" s="158"/>
      <c r="F307" s="158"/>
      <c r="G307" s="158"/>
      <c r="H307" s="158"/>
    </row>
    <row r="308" spans="1:8" x14ac:dyDescent="0.3">
      <c r="A308" s="290" t="s">
        <v>1244</v>
      </c>
      <c r="B308" s="290" t="s">
        <v>779</v>
      </c>
      <c r="C308" s="290" t="s">
        <v>780</v>
      </c>
      <c r="D308" s="158"/>
      <c r="E308" s="158"/>
      <c r="F308" s="158"/>
      <c r="G308" s="158"/>
      <c r="H308" s="158"/>
    </row>
    <row r="309" spans="1:8" x14ac:dyDescent="0.3">
      <c r="A309" s="290" t="s">
        <v>1245</v>
      </c>
      <c r="B309" s="290" t="s">
        <v>781</v>
      </c>
      <c r="C309" s="290" t="s">
        <v>782</v>
      </c>
      <c r="D309" s="158"/>
      <c r="E309" s="158"/>
      <c r="F309" s="158"/>
      <c r="G309" s="158"/>
      <c r="H309" s="158"/>
    </row>
    <row r="310" spans="1:8" x14ac:dyDescent="0.3">
      <c r="A310" s="290" t="s">
        <v>1246</v>
      </c>
      <c r="B310" s="290" t="s">
        <v>783</v>
      </c>
      <c r="C310" s="290" t="s">
        <v>784</v>
      </c>
      <c r="D310" s="158"/>
      <c r="E310" s="158"/>
      <c r="F310" s="158"/>
      <c r="G310" s="158"/>
      <c r="H310" s="158"/>
    </row>
    <row r="311" spans="1:8" x14ac:dyDescent="0.3">
      <c r="A311" s="290" t="s">
        <v>1247</v>
      </c>
      <c r="B311" s="290" t="s">
        <v>785</v>
      </c>
      <c r="C311" s="290" t="s">
        <v>786</v>
      </c>
      <c r="D311" s="158"/>
      <c r="E311" s="158"/>
      <c r="F311" s="158"/>
      <c r="G311" s="158"/>
      <c r="H311" s="158"/>
    </row>
    <row r="312" spans="1:8" x14ac:dyDescent="0.3">
      <c r="A312" s="290" t="s">
        <v>1248</v>
      </c>
      <c r="B312" s="290" t="s">
        <v>1249</v>
      </c>
      <c r="C312" s="290" t="s">
        <v>369</v>
      </c>
      <c r="D312" s="158"/>
      <c r="E312" s="158"/>
      <c r="F312" s="158"/>
      <c r="G312" s="158"/>
      <c r="H312" s="158"/>
    </row>
    <row r="313" spans="1:8" x14ac:dyDescent="0.3">
      <c r="A313" s="290" t="s">
        <v>1250</v>
      </c>
      <c r="B313" s="290" t="s">
        <v>787</v>
      </c>
      <c r="C313" s="290" t="s">
        <v>788</v>
      </c>
      <c r="D313" s="158"/>
      <c r="E313" s="158"/>
      <c r="F313" s="158"/>
      <c r="G313" s="158"/>
      <c r="H313" s="158"/>
    </row>
    <row r="314" spans="1:8" x14ac:dyDescent="0.3">
      <c r="A314" s="290" t="s">
        <v>1251</v>
      </c>
      <c r="B314" s="290" t="s">
        <v>789</v>
      </c>
      <c r="C314" s="290" t="s">
        <v>790</v>
      </c>
      <c r="D314" s="158"/>
      <c r="E314" s="158"/>
      <c r="F314" s="158"/>
      <c r="G314" s="158"/>
      <c r="H314" s="158"/>
    </row>
    <row r="315" spans="1:8" x14ac:dyDescent="0.3">
      <c r="A315" s="290" t="s">
        <v>1252</v>
      </c>
      <c r="B315" s="290" t="s">
        <v>791</v>
      </c>
      <c r="C315" s="290" t="s">
        <v>792</v>
      </c>
      <c r="D315" s="158"/>
      <c r="E315" s="158"/>
      <c r="F315" s="158"/>
      <c r="G315" s="158"/>
      <c r="H315" s="158"/>
    </row>
    <row r="316" spans="1:8" x14ac:dyDescent="0.3">
      <c r="A316" s="290" t="s">
        <v>1253</v>
      </c>
      <c r="B316" s="290" t="s">
        <v>793</v>
      </c>
      <c r="C316" s="290" t="s">
        <v>502</v>
      </c>
      <c r="D316" s="158"/>
      <c r="E316" s="158"/>
      <c r="F316" s="158"/>
      <c r="G316" s="158"/>
      <c r="H316" s="158"/>
    </row>
    <row r="317" spans="1:8" x14ac:dyDescent="0.3">
      <c r="A317" s="290" t="s">
        <v>1254</v>
      </c>
      <c r="B317" s="290" t="s">
        <v>1255</v>
      </c>
      <c r="C317" s="290" t="s">
        <v>1256</v>
      </c>
      <c r="D317" s="158"/>
      <c r="E317" s="158"/>
      <c r="F317" s="158"/>
      <c r="G317" s="158"/>
      <c r="H317" s="158"/>
    </row>
    <row r="318" spans="1:8" x14ac:dyDescent="0.3">
      <c r="A318" s="290" t="s">
        <v>1257</v>
      </c>
      <c r="B318" s="158" t="s">
        <v>794</v>
      </c>
      <c r="C318" s="290" t="s">
        <v>795</v>
      </c>
      <c r="D318" s="158"/>
      <c r="E318" s="158"/>
      <c r="F318" s="158"/>
      <c r="G318" s="158"/>
      <c r="H318" s="158"/>
    </row>
    <row r="319" spans="1:8" x14ac:dyDescent="0.3">
      <c r="A319" s="290" t="s">
        <v>1258</v>
      </c>
      <c r="B319" s="158" t="s">
        <v>796</v>
      </c>
      <c r="C319" s="290" t="s">
        <v>797</v>
      </c>
      <c r="D319" s="158"/>
      <c r="E319" s="158"/>
      <c r="F319" s="158"/>
      <c r="G319" s="158"/>
      <c r="H319" s="158"/>
    </row>
    <row r="320" spans="1:8" x14ac:dyDescent="0.3">
      <c r="A320" s="290" t="s">
        <v>1259</v>
      </c>
      <c r="B320" s="158" t="s">
        <v>798</v>
      </c>
      <c r="C320" s="290" t="s">
        <v>799</v>
      </c>
      <c r="D320" s="158"/>
      <c r="E320" s="158"/>
      <c r="F320" s="158"/>
      <c r="G320" s="158"/>
      <c r="H320" s="158"/>
    </row>
    <row r="321" spans="1:8" x14ac:dyDescent="0.3">
      <c r="A321" s="290" t="s">
        <v>1260</v>
      </c>
      <c r="B321" s="290" t="s">
        <v>800</v>
      </c>
      <c r="C321" s="290" t="s">
        <v>801</v>
      </c>
      <c r="D321" s="158"/>
      <c r="E321" s="158"/>
      <c r="F321" s="158"/>
      <c r="G321" s="158"/>
      <c r="H321" s="158"/>
    </row>
    <row r="322" spans="1:8" x14ac:dyDescent="0.3">
      <c r="A322" s="290" t="s">
        <v>1261</v>
      </c>
      <c r="B322" s="290" t="s">
        <v>802</v>
      </c>
      <c r="C322" s="290" t="s">
        <v>803</v>
      </c>
      <c r="D322" s="158"/>
      <c r="E322" s="158"/>
      <c r="F322" s="158"/>
      <c r="G322" s="158"/>
      <c r="H322" s="158"/>
    </row>
    <row r="323" spans="1:8" x14ac:dyDescent="0.3">
      <c r="A323" s="290" t="s">
        <v>1262</v>
      </c>
      <c r="B323" s="290" t="s">
        <v>804</v>
      </c>
      <c r="C323" s="290" t="s">
        <v>502</v>
      </c>
      <c r="D323" s="158"/>
      <c r="E323" s="158"/>
      <c r="F323" s="158"/>
      <c r="G323" s="158"/>
      <c r="H323" s="158"/>
    </row>
    <row r="324" spans="1:8" x14ac:dyDescent="0.3">
      <c r="A324" s="290" t="s">
        <v>1263</v>
      </c>
      <c r="B324" s="290" t="s">
        <v>805</v>
      </c>
      <c r="C324" s="290" t="s">
        <v>806</v>
      </c>
      <c r="D324" s="158"/>
      <c r="E324" s="158"/>
      <c r="F324" s="158"/>
      <c r="G324" s="158"/>
      <c r="H324" s="158"/>
    </row>
    <row r="325" spans="1:8" x14ac:dyDescent="0.3">
      <c r="A325" s="290" t="s">
        <v>1264</v>
      </c>
      <c r="B325" s="290" t="s">
        <v>807</v>
      </c>
      <c r="C325" s="290" t="s">
        <v>511</v>
      </c>
      <c r="D325" s="158"/>
      <c r="E325" s="158"/>
      <c r="F325" s="158"/>
      <c r="G325" s="158"/>
      <c r="H325" s="158"/>
    </row>
    <row r="326" spans="1:8" x14ac:dyDescent="0.3">
      <c r="A326" s="290" t="s">
        <v>1265</v>
      </c>
      <c r="B326" s="290" t="s">
        <v>1266</v>
      </c>
      <c r="C326" s="290" t="s">
        <v>874</v>
      </c>
      <c r="D326" s="158"/>
      <c r="E326" s="158"/>
      <c r="F326" s="158"/>
      <c r="G326" s="158"/>
      <c r="H326" s="158"/>
    </row>
    <row r="327" spans="1:8" x14ac:dyDescent="0.3">
      <c r="A327" s="290" t="s">
        <v>1267</v>
      </c>
      <c r="B327" s="290" t="s">
        <v>808</v>
      </c>
      <c r="C327" s="290" t="s">
        <v>809</v>
      </c>
      <c r="D327" s="158"/>
      <c r="E327" s="158"/>
      <c r="F327" s="158"/>
      <c r="G327" s="158"/>
      <c r="H327" s="158"/>
    </row>
    <row r="328" spans="1:8" x14ac:dyDescent="0.3">
      <c r="A328" s="290" t="s">
        <v>1268</v>
      </c>
      <c r="B328" s="290" t="s">
        <v>810</v>
      </c>
      <c r="C328" s="290" t="s">
        <v>811</v>
      </c>
      <c r="D328" s="158"/>
      <c r="E328" s="158"/>
      <c r="F328" s="158"/>
      <c r="G328" s="158"/>
      <c r="H328" s="158"/>
    </row>
    <row r="329" spans="1:8" x14ac:dyDescent="0.3">
      <c r="A329" s="290" t="s">
        <v>1269</v>
      </c>
      <c r="B329" s="295" t="s">
        <v>812</v>
      </c>
      <c r="C329" s="291" t="s">
        <v>813</v>
      </c>
      <c r="D329" s="158"/>
      <c r="E329" s="158"/>
      <c r="F329" s="158"/>
      <c r="G329" s="158"/>
      <c r="H329" s="158"/>
    </row>
    <row r="330" spans="1:8" x14ac:dyDescent="0.3">
      <c r="A330" s="290" t="s">
        <v>1270</v>
      </c>
      <c r="B330" s="295" t="s">
        <v>814</v>
      </c>
      <c r="C330" s="291" t="s">
        <v>815</v>
      </c>
      <c r="D330" s="158"/>
      <c r="E330" s="158"/>
      <c r="F330" s="158"/>
      <c r="G330" s="158"/>
      <c r="H330" s="158"/>
    </row>
    <row r="331" spans="1:8" x14ac:dyDescent="0.3">
      <c r="A331" s="290" t="s">
        <v>1271</v>
      </c>
      <c r="B331" s="295" t="s">
        <v>816</v>
      </c>
      <c r="C331" s="291" t="s">
        <v>1272</v>
      </c>
      <c r="D331" s="158"/>
      <c r="E331" s="158"/>
      <c r="F331" s="158"/>
      <c r="G331" s="158"/>
      <c r="H331" s="158"/>
    </row>
    <row r="332" spans="1:8" x14ac:dyDescent="0.3">
      <c r="A332" s="290" t="s">
        <v>1273</v>
      </c>
      <c r="B332" s="295" t="s">
        <v>1274</v>
      </c>
      <c r="C332" s="291" t="s">
        <v>1275</v>
      </c>
      <c r="D332" s="158"/>
      <c r="E332" s="158"/>
      <c r="F332" s="158"/>
      <c r="G332" s="158"/>
      <c r="H332" s="158"/>
    </row>
    <row r="333" spans="1:8" x14ac:dyDescent="0.3">
      <c r="A333" s="290" t="s">
        <v>1276</v>
      </c>
      <c r="B333" s="290" t="s">
        <v>817</v>
      </c>
      <c r="C333" s="290" t="s">
        <v>818</v>
      </c>
      <c r="D333" s="158"/>
      <c r="E333" s="158"/>
      <c r="F333" s="158"/>
      <c r="G333" s="158"/>
      <c r="H333" s="158"/>
    </row>
    <row r="334" spans="1:8" x14ac:dyDescent="0.3">
      <c r="A334" s="290" t="s">
        <v>1277</v>
      </c>
      <c r="B334" s="290" t="s">
        <v>819</v>
      </c>
      <c r="C334" s="290" t="s">
        <v>1278</v>
      </c>
      <c r="D334" s="158"/>
      <c r="E334" s="158"/>
      <c r="F334" s="158"/>
      <c r="G334" s="158"/>
      <c r="H334" s="158"/>
    </row>
    <row r="335" spans="1:8" x14ac:dyDescent="0.3">
      <c r="A335" s="290" t="s">
        <v>1279</v>
      </c>
      <c r="B335" s="290" t="s">
        <v>820</v>
      </c>
      <c r="C335" s="290" t="s">
        <v>821</v>
      </c>
      <c r="D335" s="158"/>
      <c r="E335" s="158"/>
      <c r="F335" s="158"/>
      <c r="G335" s="158"/>
      <c r="H335" s="158"/>
    </row>
    <row r="336" spans="1:8" x14ac:dyDescent="0.3">
      <c r="A336" s="290" t="s">
        <v>1280</v>
      </c>
      <c r="B336" s="290" t="s">
        <v>822</v>
      </c>
      <c r="C336" s="298" t="s">
        <v>823</v>
      </c>
      <c r="D336" s="158"/>
      <c r="E336" s="158"/>
      <c r="F336" s="158"/>
      <c r="G336" s="158"/>
      <c r="H336" s="158"/>
    </row>
    <row r="337" spans="1:8" x14ac:dyDescent="0.3">
      <c r="A337" s="290" t="s">
        <v>1281</v>
      </c>
      <c r="B337" s="290" t="s">
        <v>824</v>
      </c>
      <c r="C337" s="298" t="s">
        <v>825</v>
      </c>
      <c r="D337" s="158"/>
      <c r="E337" s="158"/>
      <c r="F337" s="158"/>
      <c r="G337" s="158"/>
      <c r="H337" s="158"/>
    </row>
    <row r="338" spans="1:8" x14ac:dyDescent="0.3">
      <c r="A338" s="290" t="s">
        <v>1282</v>
      </c>
      <c r="B338" s="290" t="s">
        <v>1283</v>
      </c>
      <c r="C338" s="298" t="s">
        <v>1284</v>
      </c>
      <c r="D338" s="158"/>
      <c r="E338" s="158"/>
      <c r="F338" s="158"/>
      <c r="G338" s="158"/>
      <c r="H338" s="158"/>
    </row>
    <row r="339" spans="1:8" x14ac:dyDescent="0.3">
      <c r="A339" s="290" t="s">
        <v>1285</v>
      </c>
      <c r="B339" s="290" t="s">
        <v>826</v>
      </c>
      <c r="C339" s="290" t="s">
        <v>827</v>
      </c>
      <c r="D339" s="158"/>
      <c r="E339" s="158"/>
      <c r="F339" s="158"/>
      <c r="G339" s="158"/>
      <c r="H339" s="158"/>
    </row>
    <row r="340" spans="1:8" x14ac:dyDescent="0.3">
      <c r="A340" s="295"/>
      <c r="B340" s="290" t="s">
        <v>1286</v>
      </c>
      <c r="C340" s="290" t="s">
        <v>1287</v>
      </c>
      <c r="D340" s="158"/>
      <c r="E340" s="158"/>
      <c r="F340" s="158"/>
      <c r="G340" s="158"/>
      <c r="H340" s="158"/>
    </row>
    <row r="341" spans="1:8" x14ac:dyDescent="0.3">
      <c r="A341" s="290" t="s">
        <v>1288</v>
      </c>
      <c r="B341" s="290" t="s">
        <v>828</v>
      </c>
      <c r="C341" s="290" t="s">
        <v>668</v>
      </c>
    </row>
    <row r="342" spans="1:8" x14ac:dyDescent="0.3">
      <c r="A342" s="290" t="s">
        <v>1289</v>
      </c>
      <c r="B342" s="290" t="s">
        <v>829</v>
      </c>
      <c r="C342" s="290" t="s">
        <v>830</v>
      </c>
    </row>
    <row r="343" spans="1:8" x14ac:dyDescent="0.3">
      <c r="A343" s="290" t="s">
        <v>1290</v>
      </c>
      <c r="B343" s="290" t="s">
        <v>831</v>
      </c>
      <c r="C343" s="290" t="s">
        <v>832</v>
      </c>
    </row>
    <row r="344" spans="1:8" x14ac:dyDescent="0.3">
      <c r="A344" s="290" t="s">
        <v>1291</v>
      </c>
      <c r="B344" s="290" t="s">
        <v>833</v>
      </c>
      <c r="C344" s="290" t="s">
        <v>834</v>
      </c>
    </row>
    <row r="345" spans="1:8" x14ac:dyDescent="0.3">
      <c r="A345" s="290" t="s">
        <v>1292</v>
      </c>
      <c r="B345" s="290" t="s">
        <v>835</v>
      </c>
      <c r="C345" s="290" t="s">
        <v>836</v>
      </c>
    </row>
    <row r="346" spans="1:8" x14ac:dyDescent="0.3">
      <c r="A346" s="290" t="s">
        <v>1293</v>
      </c>
      <c r="B346" s="290" t="s">
        <v>837</v>
      </c>
      <c r="C346" s="290" t="s">
        <v>838</v>
      </c>
    </row>
  </sheetData>
  <mergeCells count="2">
    <mergeCell ref="A2:C2"/>
    <mergeCell ref="B3:C3"/>
  </mergeCells>
  <hyperlinks>
    <hyperlink ref="B289" r:id="rId1" display="http://www.retecsa.com.ni/" xr:uid="{00000000-0004-0000-0F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1"/>
  <sheetViews>
    <sheetView topLeftCell="B19" zoomScale="90" zoomScaleNormal="90" workbookViewId="0">
      <selection activeCell="I37" sqref="I37:K37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 t="s">
        <v>38</v>
      </c>
      <c r="B1" s="392"/>
      <c r="C1" s="392"/>
      <c r="F1" s="388" t="s">
        <v>39</v>
      </c>
      <c r="G1" s="388"/>
      <c r="H1" s="388"/>
    </row>
    <row r="2" spans="1:12" x14ac:dyDescent="0.25">
      <c r="A2" s="1"/>
      <c r="B2" s="1"/>
      <c r="C2" s="44"/>
      <c r="F2" s="391" t="s">
        <v>27</v>
      </c>
      <c r="G2" s="35" t="s">
        <v>34</v>
      </c>
      <c r="H2" s="37" t="s">
        <v>35</v>
      </c>
      <c r="K2" s="386" t="s">
        <v>40</v>
      </c>
      <c r="L2" s="386"/>
    </row>
    <row r="3" spans="1:12" x14ac:dyDescent="0.25">
      <c r="A3" s="391" t="s">
        <v>27</v>
      </c>
      <c r="B3" s="35" t="s">
        <v>34</v>
      </c>
      <c r="C3" s="37" t="s">
        <v>35</v>
      </c>
      <c r="F3" s="391"/>
      <c r="G3" s="36" t="str">
        <f>B4</f>
        <v>ºC</v>
      </c>
      <c r="H3" s="140" t="str">
        <f>C4</f>
        <v>ºC</v>
      </c>
      <c r="K3" s="387">
        <f>ABS(C15-H14)</f>
        <v>0</v>
      </c>
      <c r="L3" s="387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6">
        <v>1</v>
      </c>
      <c r="G4" s="38">
        <f>DATOS!H29</f>
        <v>0</v>
      </c>
      <c r="H4" s="38">
        <f>IF(DATOS!$S$5=1,DATOS!I29,IF(DATOS!$S$5=2,(5/9*(DATOS!I29-32)),"error"))</f>
        <v>-17.777777777777779</v>
      </c>
    </row>
    <row r="5" spans="1:12" x14ac:dyDescent="0.25">
      <c r="A5" s="46">
        <v>1</v>
      </c>
      <c r="B5" s="116">
        <f>DATOS!F29</f>
        <v>0</v>
      </c>
      <c r="C5" s="116">
        <f>IF(DATOS!$S$5=1,DATOS!G29,IF(DATOS!$S$5=2,(5/9*(DATOS!G29-32)),"error"))</f>
        <v>-17.777777777777779</v>
      </c>
      <c r="F5" s="46">
        <v>2</v>
      </c>
      <c r="G5" s="39">
        <f>DATOS!H30</f>
        <v>0</v>
      </c>
      <c r="H5" s="38">
        <f>IF(DATOS!$S$5=1,DATOS!I30,IF(DATOS!$S$5=2,(5/9*(DATOS!I30-32)),"error"))</f>
        <v>-17.777777777777779</v>
      </c>
    </row>
    <row r="6" spans="1:12" x14ac:dyDescent="0.25">
      <c r="A6" s="46">
        <v>2</v>
      </c>
      <c r="B6" s="117">
        <f>DATOS!F30</f>
        <v>0</v>
      </c>
      <c r="C6" s="116">
        <f>IF(DATOS!$S$5=1,DATOS!G30,IF(DATOS!$S$5=2,(5/9*(DATOS!G30-32)),"error"))</f>
        <v>-17.777777777777779</v>
      </c>
      <c r="F6" s="46">
        <v>3</v>
      </c>
      <c r="G6" s="39">
        <f>DATOS!H31</f>
        <v>0</v>
      </c>
      <c r="H6" s="38">
        <f>IF(DATOS!$S$5=1,DATOS!I31,IF(DATOS!$S$5=2,(5/9*(DATOS!I31-32)),"error"))</f>
        <v>-17.777777777777779</v>
      </c>
    </row>
    <row r="7" spans="1:12" x14ac:dyDescent="0.25">
      <c r="A7" s="46">
        <v>3</v>
      </c>
      <c r="B7" s="117">
        <f>DATOS!F31</f>
        <v>0</v>
      </c>
      <c r="C7" s="116">
        <f>IF(DATOS!$S$5=1,DATOS!G31,IF(DATOS!$S$5=2,(5/9*(DATOS!G31-32)),"error"))</f>
        <v>-17.777777777777779</v>
      </c>
      <c r="F7" s="46">
        <v>4</v>
      </c>
      <c r="G7" s="39"/>
      <c r="H7" s="38"/>
    </row>
    <row r="8" spans="1:12" x14ac:dyDescent="0.25">
      <c r="A8" s="46">
        <v>4</v>
      </c>
      <c r="B8" s="117"/>
      <c r="C8" s="116"/>
      <c r="F8" s="46">
        <v>5</v>
      </c>
      <c r="G8" s="39"/>
      <c r="H8" s="38"/>
    </row>
    <row r="9" spans="1:12" x14ac:dyDescent="0.25">
      <c r="A9" s="46">
        <v>5</v>
      </c>
      <c r="B9" s="117"/>
      <c r="C9" s="116"/>
      <c r="F9" s="46">
        <v>6</v>
      </c>
      <c r="G9" s="39"/>
      <c r="H9" s="38"/>
    </row>
    <row r="10" spans="1:12" x14ac:dyDescent="0.25">
      <c r="A10" s="46">
        <v>6</v>
      </c>
      <c r="B10" s="117"/>
      <c r="C10" s="116"/>
      <c r="F10" s="46">
        <v>7</v>
      </c>
      <c r="G10" s="39"/>
      <c r="H10" s="38"/>
    </row>
    <row r="11" spans="1:12" x14ac:dyDescent="0.25">
      <c r="A11" s="46">
        <v>7</v>
      </c>
      <c r="B11" s="117"/>
      <c r="C11" s="116"/>
      <c r="F11" s="46">
        <v>8</v>
      </c>
      <c r="G11" s="39"/>
      <c r="H11" s="38"/>
    </row>
    <row r="12" spans="1:12" x14ac:dyDescent="0.25">
      <c r="A12" s="46">
        <v>8</v>
      </c>
      <c r="B12" s="117"/>
      <c r="C12" s="116"/>
      <c r="F12" s="46">
        <v>9</v>
      </c>
      <c r="G12" s="39"/>
      <c r="H12" s="38"/>
    </row>
    <row r="13" spans="1:12" x14ac:dyDescent="0.25">
      <c r="A13" s="46">
        <v>9</v>
      </c>
      <c r="B13" s="117"/>
      <c r="C13" s="116"/>
      <c r="F13" s="46">
        <v>10</v>
      </c>
      <c r="G13" s="39"/>
      <c r="H13" s="38"/>
    </row>
    <row r="14" spans="1:12" x14ac:dyDescent="0.25">
      <c r="A14" s="46">
        <v>10</v>
      </c>
      <c r="B14" s="117"/>
      <c r="C14" s="116"/>
      <c r="F14" s="3" t="s">
        <v>29</v>
      </c>
      <c r="G14" s="40">
        <f>AVERAGE(G4:G6)</f>
        <v>0</v>
      </c>
      <c r="H14" s="40">
        <f>AVERAGE(H4:H6)</f>
        <v>-17.777777777777779</v>
      </c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 t="s">
        <v>30</v>
      </c>
      <c r="G15" s="40">
        <f>STDEV(G4:G6)</f>
        <v>0</v>
      </c>
      <c r="H15" s="40">
        <f>STDEV(H4:H6)</f>
        <v>0</v>
      </c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 t="str">
        <f>$G$3</f>
        <v>ºC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169">
        <f>B18/2</f>
        <v>0.01</v>
      </c>
      <c r="G25" s="170" t="str">
        <f t="shared" ref="G25:G33" si="2">$G$3</f>
        <v>ºC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 t="str">
        <f t="shared" si="2"/>
        <v>ºC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 t="str">
        <f t="shared" si="2"/>
        <v>ºC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 t="str">
        <f t="shared" si="2"/>
        <v>ºC</v>
      </c>
      <c r="H28" s="175">
        <v>-1</v>
      </c>
      <c r="I28" s="163">
        <f>(F28*H28)</f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 t="str">
        <f t="shared" si="2"/>
        <v>ºC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 t="str">
        <f t="shared" si="2"/>
        <v>ºC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 t="str">
        <f t="shared" si="2"/>
        <v>ºC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K3/SQRT(12)</f>
        <v>0</v>
      </c>
      <c r="G32" s="164" t="str">
        <f t="shared" si="2"/>
        <v>ºC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5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 t="str">
        <f t="shared" si="2"/>
        <v>ºC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5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5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>
        <f>SQRT(SUMSQ(I24:I33))</f>
        <v>3.5527781397503656E-2</v>
      </c>
      <c r="J35" s="166"/>
      <c r="K35" s="183">
        <f>SUM(K24:K33)</f>
        <v>1</v>
      </c>
      <c r="O35" s="278"/>
    </row>
    <row r="36" spans="1:15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>
        <f>I35^4/((I24^4/J24)+(I25^4/J25)+(I26^4/J26)+(I27^4/J27)+(I28^4/J28)+(I29^4/J29)+0+0+0)</f>
        <v>146.674375542044</v>
      </c>
      <c r="J36" s="381"/>
      <c r="K36" s="382"/>
    </row>
    <row r="37" spans="1:15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>
        <f>IF(I36&gt;20,2,HLOOKUP(I36,C97:W98,2))</f>
        <v>2</v>
      </c>
      <c r="J37" s="383"/>
      <c r="K37" s="383"/>
    </row>
    <row r="38" spans="1:15" x14ac:dyDescent="0.25">
      <c r="O38" s="278"/>
    </row>
    <row r="39" spans="1:15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5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5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5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5" x14ac:dyDescent="0.25">
      <c r="G43" s="6"/>
    </row>
    <row r="44" spans="1:15" x14ac:dyDescent="0.25">
      <c r="A44" s="393" t="s">
        <v>80</v>
      </c>
      <c r="B44" s="393"/>
      <c r="C44" s="393"/>
      <c r="D44" s="186"/>
      <c r="G44" s="6"/>
    </row>
    <row r="45" spans="1:15" x14ac:dyDescent="0.25">
      <c r="A45" s="394" t="s">
        <v>26</v>
      </c>
      <c r="B45" s="394"/>
      <c r="C45" s="395"/>
      <c r="D45" s="395"/>
      <c r="G45" s="6"/>
    </row>
    <row r="46" spans="1:15" x14ac:dyDescent="0.25">
      <c r="A46" s="166"/>
      <c r="B46" s="166"/>
      <c r="C46" s="187"/>
      <c r="D46" s="187"/>
      <c r="G46" s="6"/>
    </row>
    <row r="47" spans="1:15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5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191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191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191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191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191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191">
        <v>23</v>
      </c>
      <c r="C54" s="187"/>
      <c r="D54" s="187"/>
    </row>
    <row r="55" spans="1:13" x14ac:dyDescent="0.25">
      <c r="A55" s="188">
        <v>7</v>
      </c>
      <c r="B55" s="191">
        <v>23</v>
      </c>
      <c r="C55" s="187"/>
      <c r="D55" s="187"/>
    </row>
    <row r="56" spans="1:13" x14ac:dyDescent="0.25">
      <c r="A56" s="188">
        <v>8</v>
      </c>
      <c r="B56" s="191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191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191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148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14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147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147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147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96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96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49">
        <f>DATOS!V20</f>
        <v>0</v>
      </c>
      <c r="E69" s="149">
        <f>DATOS!W20</f>
        <v>0</v>
      </c>
      <c r="F69" s="197"/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49">
        <f>DATOS!V21</f>
        <v>0</v>
      </c>
      <c r="E70" s="149">
        <f>DATOS!W21</f>
        <v>0</v>
      </c>
      <c r="F70" s="197"/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49">
        <f>DATOS!V22</f>
        <v>0</v>
      </c>
      <c r="E71" s="149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mGyodNbniD9OCm5ANCLo0v1ejn0H+t0at5zs4knNqZgZ8jbV7+ab/AGUxVV+GtK7J4btXq0skx0vQkndheKV7A==" saltValue="xF20AelJff4sfrYRDnLZfQ==" spinCount="100000" sheet="1" objects="1" scenarios="1"/>
  <mergeCells count="70">
    <mergeCell ref="K2:L2"/>
    <mergeCell ref="K3:L3"/>
    <mergeCell ref="F1:H1"/>
    <mergeCell ref="H47:J47"/>
    <mergeCell ref="A3:A4"/>
    <mergeCell ref="A1:C1"/>
    <mergeCell ref="F2:F3"/>
    <mergeCell ref="A44:C44"/>
    <mergeCell ref="A45:D45"/>
    <mergeCell ref="A35:H35"/>
    <mergeCell ref="A36:H36"/>
    <mergeCell ref="A37:H37"/>
    <mergeCell ref="K49:L49"/>
    <mergeCell ref="H53:J53"/>
    <mergeCell ref="B96:W96"/>
    <mergeCell ref="I36:K36"/>
    <mergeCell ref="I37:K37"/>
    <mergeCell ref="B75:E75"/>
    <mergeCell ref="B81:D81"/>
    <mergeCell ref="H75:K75"/>
    <mergeCell ref="H81:J81"/>
    <mergeCell ref="H56:M56"/>
    <mergeCell ref="I62:K6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I118:I119"/>
    <mergeCell ref="J118:J119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B120:B127"/>
    <mergeCell ref="C120:C127"/>
    <mergeCell ref="B128:I128"/>
    <mergeCell ref="K118:K119"/>
    <mergeCell ref="K110:K111"/>
    <mergeCell ref="J110:J111"/>
    <mergeCell ref="B112:B115"/>
    <mergeCell ref="C112:C115"/>
    <mergeCell ref="B116:I116"/>
    <mergeCell ref="B118:B119"/>
    <mergeCell ref="C118:C119"/>
    <mergeCell ref="D118:D119"/>
    <mergeCell ref="E118:E119"/>
    <mergeCell ref="F118:F119"/>
    <mergeCell ref="G118:G119"/>
    <mergeCell ref="H118:H11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19" r:id="rId4" name="Drop Down 71">
              <controlPr defaultSize="0" autoLine="0" autoPict="0">
                <anchor moveWithCells="1">
                  <from>
                    <xdr:col>3</xdr:col>
                    <xdr:colOff>708660</xdr:colOff>
                    <xdr:row>63</xdr:row>
                    <xdr:rowOff>68580</xdr:rowOff>
                  </from>
                  <to>
                    <xdr:col>5</xdr:col>
                    <xdr:colOff>7620</xdr:colOff>
                    <xdr:row>65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1"/>
  <sheetViews>
    <sheetView zoomScale="55" zoomScaleNormal="55" workbookViewId="0">
      <selection activeCell="F32" sqref="F32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/>
      <c r="B1" s="392"/>
      <c r="C1" s="392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91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DATOS!J29</f>
        <v>0</v>
      </c>
      <c r="C5" s="38">
        <f>IF(DATOS!$S$5=1,DATOS!K29,IF(DATOS!$S$5=2,(5/9*(DATOS!K29-32)),"error"))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DATOS!J30</f>
        <v>0</v>
      </c>
      <c r="C6" s="38">
        <f>IF(DATOS!$S$5=1,DATOS!K30,IF(DATOS!$S$5=2,(5/9*(DATOS!K30-32)),"error"))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DATOS!J31</f>
        <v>0</v>
      </c>
      <c r="C7" s="38">
        <f>IF(DATOS!$S$5=1,DATOS!K31,IF(DATOS!$S$5=2,(5/9*(DATOS!K31-32)),"error"))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 t="str">
        <f>DATOS!D13</f>
        <v>ºC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 t="str">
        <f t="shared" ref="G25:G33" si="2">G24</f>
        <v>ºC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 t="str">
        <f t="shared" si="2"/>
        <v>ºC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 t="str">
        <f t="shared" si="2"/>
        <v>ºC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 t="str">
        <f t="shared" si="2"/>
        <v>ºC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 t="str">
        <f t="shared" si="2"/>
        <v>ºC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 t="str">
        <f t="shared" si="2"/>
        <v>ºC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 t="str">
        <f t="shared" si="2"/>
        <v>ºC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 t="str">
        <f t="shared" si="2"/>
        <v>ºC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 t="str">
        <f t="shared" si="2"/>
        <v>ºC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>
        <f>I35^4/((I24^4/J24)+(I25^4/J25)+(I26^4/J26)+(I27^4/J27)+(I28^4/J28)+(I29^4/J29)+0+0+0)</f>
        <v>146.674375542044</v>
      </c>
      <c r="J36" s="381"/>
      <c r="K36" s="382"/>
    </row>
    <row r="37" spans="1:12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>
        <f>IF(I36&gt;20,2,HLOOKUP(I36,C97:W98,2))</f>
        <v>2</v>
      </c>
      <c r="J37" s="383"/>
      <c r="K37" s="383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93" t="s">
        <v>80</v>
      </c>
      <c r="B44" s="393"/>
      <c r="C44" s="393"/>
      <c r="D44" s="186"/>
      <c r="G44" s="6"/>
    </row>
    <row r="45" spans="1:12" x14ac:dyDescent="0.25">
      <c r="A45" s="394" t="s">
        <v>26</v>
      </c>
      <c r="B45" s="394"/>
      <c r="C45" s="395"/>
      <c r="D45" s="395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RZcNRCFv8gWcsaFLIf1wJYDFtCdI99c9CviTZDwRjtsSGjzyHP32SmcaE8wpAsSr0RXil8bShl7gD8eOmH6UoA==" saltValue="n8111PxljeNj1AT6ohaZJg==" spinCount="100000" sheet="1" objects="1" scenarios="1"/>
  <mergeCells count="70"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  <mergeCell ref="A45:D45"/>
    <mergeCell ref="H47:J47"/>
    <mergeCell ref="K49:L49"/>
    <mergeCell ref="H53:J53"/>
    <mergeCell ref="B75:E75"/>
    <mergeCell ref="H75:K75"/>
    <mergeCell ref="H56:M56"/>
    <mergeCell ref="I62:K62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12:B115"/>
    <mergeCell ref="C112:C115"/>
    <mergeCell ref="B116:I116"/>
    <mergeCell ref="J118:J119"/>
    <mergeCell ref="K118:K119"/>
    <mergeCell ref="B118:B119"/>
    <mergeCell ref="C118:C119"/>
    <mergeCell ref="D118:D119"/>
    <mergeCell ref="E118:E119"/>
    <mergeCell ref="F118:F119"/>
    <mergeCell ref="B120:B127"/>
    <mergeCell ref="C120:C127"/>
    <mergeCell ref="B128:I128"/>
    <mergeCell ref="G118:G119"/>
    <mergeCell ref="H118:H119"/>
    <mergeCell ref="I118:I1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r:id="rId3" name="Drop Down 7">
              <controlPr defaultSize="0" autoLine="0" autoPict="0">
                <anchor moveWithCells="1">
                  <from>
                    <xdr:col>4</xdr:col>
                    <xdr:colOff>7620</xdr:colOff>
                    <xdr:row>63</xdr:row>
                    <xdr:rowOff>68580</xdr:rowOff>
                  </from>
                  <to>
                    <xdr:col>5</xdr:col>
                    <xdr:colOff>487680</xdr:colOff>
                    <xdr:row>65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1"/>
  <sheetViews>
    <sheetView topLeftCell="A10" zoomScale="70" zoomScaleNormal="70" workbookViewId="0">
      <selection activeCell="E19" sqref="E19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/>
      <c r="B1" s="392"/>
      <c r="C1" s="392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91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DATOS!L29</f>
        <v>0</v>
      </c>
      <c r="C5" s="38">
        <f>IF(DATOS!$S$5=1,DATOS!M29,IF(DATOS!$S$5=2,(5/9*(DATOS!M29-32)),"error"))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DATOS!L30</f>
        <v>0</v>
      </c>
      <c r="C6" s="38">
        <f>IF(DATOS!$S$5=1,DATOS!M30,IF(DATOS!$S$5=2,(5/9*(DATOS!M30-32)),"error"))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DATOS!L31</f>
        <v>0</v>
      </c>
      <c r="C7" s="38">
        <f>IF(DATOS!$S$5=1,DATOS!M31,IF(DATOS!$S$5=2,(5/9*(DATOS!M31-32)),"error"))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>
        <f>I35^4/((I24^4/J24)+(I25^4/J25)+(I26^4/J26)+(I27^4/J27)+(I28^4/J28)+(I29^4/J29)+0+0+0)</f>
        <v>146.674375542044</v>
      </c>
      <c r="J36" s="381"/>
      <c r="K36" s="382"/>
    </row>
    <row r="37" spans="1:12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>
        <f>IF(I36&gt;20,2,HLOOKUP(I36,C97:W98,2))</f>
        <v>2</v>
      </c>
      <c r="J37" s="383"/>
      <c r="K37" s="383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93" t="s">
        <v>80</v>
      </c>
      <c r="B44" s="393"/>
      <c r="C44" s="393"/>
      <c r="D44" s="186"/>
      <c r="G44" s="6"/>
    </row>
    <row r="45" spans="1:12" x14ac:dyDescent="0.25">
      <c r="A45" s="394" t="s">
        <v>26</v>
      </c>
      <c r="B45" s="394"/>
      <c r="C45" s="395"/>
      <c r="D45" s="395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pyOL9sPhjPhkTSr9YrDg6NiCPkEswtFkQtCcqJ8o2DGAZ1ZsabNIAbq4CZ7yOeu1THG5vJyonulRgY+8+x7/Uw==" saltValue="ttChh4RBT7poT2TIflcdsg==" spinCount="100000" sheet="1" objects="1" scenarios="1"/>
  <mergeCells count="70"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  <mergeCell ref="A45:D45"/>
    <mergeCell ref="H47:J47"/>
    <mergeCell ref="K49:L49"/>
    <mergeCell ref="H53:J53"/>
    <mergeCell ref="B75:E75"/>
    <mergeCell ref="H75:K75"/>
    <mergeCell ref="H56:M56"/>
    <mergeCell ref="I62:K62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12:B115"/>
    <mergeCell ref="C112:C115"/>
    <mergeCell ref="B116:I116"/>
    <mergeCell ref="J118:J119"/>
    <mergeCell ref="K118:K119"/>
    <mergeCell ref="B118:B119"/>
    <mergeCell ref="C118:C119"/>
    <mergeCell ref="D118:D119"/>
    <mergeCell ref="E118:E119"/>
    <mergeCell ref="F118:F119"/>
    <mergeCell ref="B120:B127"/>
    <mergeCell ref="C120:C127"/>
    <mergeCell ref="B128:I128"/>
    <mergeCell ref="G118:G119"/>
    <mergeCell ref="H118:H119"/>
    <mergeCell ref="I118:I1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3" name="Drop Down 7">
              <controlPr defaultSize="0" autoLine="0" autoPict="0">
                <anchor moveWithCells="1">
                  <from>
                    <xdr:col>3</xdr:col>
                    <xdr:colOff>685800</xdr:colOff>
                    <xdr:row>63</xdr:row>
                    <xdr:rowOff>76200</xdr:rowOff>
                  </from>
                  <to>
                    <xdr:col>4</xdr:col>
                    <xdr:colOff>1066800</xdr:colOff>
                    <xdr:row>65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1"/>
  <sheetViews>
    <sheetView topLeftCell="A46" workbookViewId="0">
      <selection activeCell="C32" sqref="C32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/>
      <c r="B1" s="392"/>
      <c r="C1" s="392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91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DATOS!N29</f>
        <v>0</v>
      </c>
      <c r="C5" s="38">
        <f>IF(DATOS!$S$5=1,DATOS!O29,IF(DATOS!$S$5=2,(5/9*(DATOS!O29-32)),"error"))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DATOS!N30</f>
        <v>0</v>
      </c>
      <c r="C6" s="38">
        <f>IF(DATOS!$S$5=1,DATOS!O30,IF(DATOS!$S$5=2,(5/9*(DATOS!O30-32)),"error"))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DATOS!N31</f>
        <v>0</v>
      </c>
      <c r="C7" s="38">
        <f>IF(DATOS!$S$5=1,DATOS!O31,IF(DATOS!$S$5=2,(5/9*(DATOS!O31-32)),"error"))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236">
        <f>B16/SQRT(3)</f>
        <v>0</v>
      </c>
      <c r="G24" s="164">
        <f>$G$3</f>
        <v>0</v>
      </c>
      <c r="H24" s="163">
        <v>1</v>
      </c>
      <c r="I24" s="236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>
        <f>I35^4/((I24^4/J24)+(I25^4/J25)+(I26^4/J26)+(I27^4/J27)+(I28^4/J28)+(I29^4/J29)+0+0+0)</f>
        <v>146.674375542044</v>
      </c>
      <c r="J36" s="381"/>
      <c r="K36" s="382"/>
    </row>
    <row r="37" spans="1:12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>
        <f>IF(I36&gt;20,2,HLOOKUP(I36,C97:W98,2))</f>
        <v>2</v>
      </c>
      <c r="J37" s="383"/>
      <c r="K37" s="383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93" t="s">
        <v>80</v>
      </c>
      <c r="B44" s="393"/>
      <c r="C44" s="393"/>
      <c r="D44" s="186"/>
      <c r="G44" s="6"/>
    </row>
    <row r="45" spans="1:12" x14ac:dyDescent="0.25">
      <c r="A45" s="394" t="s">
        <v>26</v>
      </c>
      <c r="B45" s="394"/>
      <c r="C45" s="395"/>
      <c r="D45" s="395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iD2CPQJY8foQz35iZg+Z8SBbkB8AEy0d7NjEFHJdjl5hwC1pSvjfv6AUdzpPHkMMgCymETPqZWBrXUmn1wdzQQ==" saltValue="ktXnR0ksd1O1s1bneLOt0Q==" spinCount="100000" sheet="1" objects="1" scenarios="1"/>
  <mergeCells count="70"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  <mergeCell ref="A45:D45"/>
    <mergeCell ref="H47:J47"/>
    <mergeCell ref="K49:L49"/>
    <mergeCell ref="H53:J53"/>
    <mergeCell ref="B75:E75"/>
    <mergeCell ref="H75:K75"/>
    <mergeCell ref="H56:M56"/>
    <mergeCell ref="I62:K62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12:B115"/>
    <mergeCell ref="C112:C115"/>
    <mergeCell ref="B116:I116"/>
    <mergeCell ref="J118:J119"/>
    <mergeCell ref="K118:K119"/>
    <mergeCell ref="B118:B119"/>
    <mergeCell ref="C118:C119"/>
    <mergeCell ref="D118:D119"/>
    <mergeCell ref="E118:E119"/>
    <mergeCell ref="F118:F119"/>
    <mergeCell ref="B120:B127"/>
    <mergeCell ref="C120:C127"/>
    <mergeCell ref="B128:I128"/>
    <mergeCell ref="G118:G119"/>
    <mergeCell ref="H118:H119"/>
    <mergeCell ref="I118:I1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7" r:id="rId3" name="Drop Down 7">
              <controlPr defaultSize="0" autoLine="0" autoPict="0">
                <anchor moveWithCells="1">
                  <from>
                    <xdr:col>3</xdr:col>
                    <xdr:colOff>693420</xdr:colOff>
                    <xdr:row>63</xdr:row>
                    <xdr:rowOff>76200</xdr:rowOff>
                  </from>
                  <to>
                    <xdr:col>5</xdr:col>
                    <xdr:colOff>0</xdr:colOff>
                    <xdr:row>65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31"/>
  <sheetViews>
    <sheetView topLeftCell="A52" workbookViewId="0">
      <selection activeCell="C27" sqref="C27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/>
      <c r="B1" s="392"/>
      <c r="C1" s="392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91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DATOS!P29</f>
        <v>0</v>
      </c>
      <c r="C5" s="38">
        <f>IF(DATOS!$S$5=1,DATOS!Q29,IF(DATOS!$S$5=2,(5/9*(DATOS!Q29-32)),"error"))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DATOS!P30</f>
        <v>0</v>
      </c>
      <c r="C6" s="38" t="e">
        <f>IF(DATOS!$S$5=1,DATOS!Q30,IF(DATOS!$S$5=2,(5/9*(DATOS!Q30-32)),"error"))</f>
        <v>#VALUE!</v>
      </c>
      <c r="F6" s="44"/>
      <c r="G6" s="92"/>
      <c r="H6" s="92"/>
    </row>
    <row r="7" spans="1:12" x14ac:dyDescent="0.25">
      <c r="A7" s="46">
        <v>3</v>
      </c>
      <c r="B7" s="38">
        <f>DATOS!P31</f>
        <v>0</v>
      </c>
      <c r="C7" s="38">
        <f>IF(DATOS!$S$5=1,DATOS!Q31,IF(DATOS!$S$5=2,(5/9*(DATOS!Q31-32)),"error"))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 t="e">
        <f>AVERAGE(C5:C7)</f>
        <v>#VALUE!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 t="e">
        <f>STDEV(C5:C7)</f>
        <v>#VALUE!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 t="e">
        <f t="shared" ref="K24:K33" si="1">(I24/$I$35)^2</f>
        <v>#VALUE!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 t="e">
        <f t="shared" si="1"/>
        <v>#VALUE!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 t="e">
        <f t="shared" si="1"/>
        <v>#VALUE!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 t="e">
        <f t="shared" si="1"/>
        <v>#VALUE!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 t="e">
        <f>(C16)/SQRT(3)</f>
        <v>#VALUE!</v>
      </c>
      <c r="G28" s="164">
        <f t="shared" si="2"/>
        <v>0</v>
      </c>
      <c r="H28" s="175">
        <v>-1</v>
      </c>
      <c r="I28" s="163" t="e">
        <f t="shared" si="0"/>
        <v>#VALUE!</v>
      </c>
      <c r="J28" s="163">
        <f>COUNT(C5:C14)-1</f>
        <v>1</v>
      </c>
      <c r="K28" s="165" t="e">
        <f t="shared" si="1"/>
        <v>#VALUE!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 t="e">
        <f t="shared" si="1"/>
        <v>#VALUE!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 t="e">
        <f t="shared" si="1"/>
        <v>#VALUE!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 t="e">
        <f t="shared" si="1"/>
        <v>#VALUE!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 t="e">
        <f t="shared" si="1"/>
        <v>#VALUE!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 t="e">
        <f t="shared" si="1"/>
        <v>#VALUE!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 t="e">
        <f>SQRT(SUMSQ(I24:I33))</f>
        <v>#VALUE!</v>
      </c>
      <c r="J35" s="166"/>
      <c r="K35" s="183" t="e">
        <f>SUM(K24:K33)</f>
        <v>#VALUE!</v>
      </c>
    </row>
    <row r="36" spans="1:12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 t="e">
        <f>I35^4/((I24^4/J24)+(I25^4/J25)+(I26^4/J26)+(I27^4/J27)+(I28^4/J28)+(I29^4/J29)+0+0+0)</f>
        <v>#VALUE!</v>
      </c>
      <c r="J36" s="381"/>
      <c r="K36" s="382"/>
    </row>
    <row r="37" spans="1:12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 t="e">
        <f>IF(I36&gt;20,2,HLOOKUP(I36,C97:W98,2))</f>
        <v>#VALUE!</v>
      </c>
      <c r="J37" s="383"/>
      <c r="K37" s="383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 t="e">
        <f>C15</f>
        <v>#VALUE!</v>
      </c>
      <c r="D42" s="73">
        <f>IF('punto 1'!D44=" ",0,K47)</f>
        <v>0</v>
      </c>
      <c r="E42" s="73" t="e">
        <f>A42+B42-C42-D42</f>
        <v>#VALUE!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93" t="s">
        <v>80</v>
      </c>
      <c r="B44" s="393"/>
      <c r="C44" s="393"/>
      <c r="D44" s="186"/>
      <c r="G44" s="6"/>
    </row>
    <row r="45" spans="1:12" x14ac:dyDescent="0.25">
      <c r="A45" s="394" t="s">
        <v>26</v>
      </c>
      <c r="B45" s="394"/>
      <c r="C45" s="395"/>
      <c r="D45" s="395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5wyMWDbPogOvoDr4f4RA5N+76i8yktwngKr3BrjS9fAZwxiVmRri/Qfq8Y2XMGdDIOHTFeKcopsFov4/IxMp7w==" saltValue="5Fjzo5ldOAIgbCzi1vr6ug==" spinCount="100000" sheet="1" objects="1" scenarios="1"/>
  <mergeCells count="70"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  <mergeCell ref="A45:D45"/>
    <mergeCell ref="H47:J47"/>
    <mergeCell ref="K49:L49"/>
    <mergeCell ref="H53:J53"/>
    <mergeCell ref="B75:E75"/>
    <mergeCell ref="H75:K75"/>
    <mergeCell ref="H56:M56"/>
    <mergeCell ref="I62:K62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12:B115"/>
    <mergeCell ref="C112:C115"/>
    <mergeCell ref="B116:I116"/>
    <mergeCell ref="J118:J119"/>
    <mergeCell ref="K118:K119"/>
    <mergeCell ref="B118:B119"/>
    <mergeCell ref="C118:C119"/>
    <mergeCell ref="D118:D119"/>
    <mergeCell ref="E118:E119"/>
    <mergeCell ref="F118:F119"/>
    <mergeCell ref="B120:B127"/>
    <mergeCell ref="C120:C127"/>
    <mergeCell ref="B128:I128"/>
    <mergeCell ref="G118:G119"/>
    <mergeCell ref="H118:H119"/>
    <mergeCell ref="I118:I1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1" r:id="rId3" name="Drop Down 7">
              <controlPr defaultSize="0" autoLine="0" autoPict="0">
                <anchor moveWithCells="1">
                  <from>
                    <xdr:col>3</xdr:col>
                    <xdr:colOff>716280</xdr:colOff>
                    <xdr:row>63</xdr:row>
                    <xdr:rowOff>60960</xdr:rowOff>
                  </from>
                  <to>
                    <xdr:col>5</xdr:col>
                    <xdr:colOff>22860</xdr:colOff>
                    <xdr:row>65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31"/>
  <sheetViews>
    <sheetView topLeftCell="A40" workbookViewId="0">
      <selection activeCell="C16" sqref="A1:XFD1048576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/>
      <c r="B1" s="392"/>
      <c r="C1" s="392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91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DATOS!R29</f>
        <v>0</v>
      </c>
      <c r="C5" s="38">
        <f>IF(DATOS!$S$5=1,DATOS!S29,IF(DATOS!$S$5=2,(5/9*(DATOS!S29-32)),"error"))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DATOS!R30</f>
        <v>0</v>
      </c>
      <c r="C6" s="38">
        <f>IF(DATOS!$S$5=1,DATOS!S30,IF(DATOS!$S$5=2,(5/9*(DATOS!S30-32)),"error"))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DATOS!R31</f>
        <v>0</v>
      </c>
      <c r="C7" s="38">
        <f>IF(DATOS!$S$5=1,DATOS!S31,IF(DATOS!$S$5=2,(5/9*(DATOS!S31-32)),"error"))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>
        <f>I35^4/((I24^4/J24)+(I25^4/J25)+(I26^4/J26)+(I27^4/J27)+(I28^4/J28)+(I29^4/J29)+0+0+0)</f>
        <v>146.674375542044</v>
      </c>
      <c r="J36" s="381"/>
      <c r="K36" s="382"/>
    </row>
    <row r="37" spans="1:12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>
        <f>IF(I36&gt;20,2,HLOOKUP(I36,C97:W98,2))</f>
        <v>2</v>
      </c>
      <c r="J37" s="383"/>
      <c r="K37" s="383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93" t="s">
        <v>80</v>
      </c>
      <c r="B44" s="393"/>
      <c r="C44" s="393"/>
      <c r="D44" s="186"/>
      <c r="G44" s="6"/>
    </row>
    <row r="45" spans="1:12" x14ac:dyDescent="0.25">
      <c r="A45" s="394" t="s">
        <v>26</v>
      </c>
      <c r="B45" s="394"/>
      <c r="C45" s="395"/>
      <c r="D45" s="395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8YDMqBUTipP9ydlbHDixXistnTvD3CE3Zb4ihc/rRV2m6GgK2OoPOs9infrJGrfPb4giuivjrjxFEHJ8XPtLrw==" saltValue="54XVIW7om5jqBQiDQ/VLjA==" spinCount="100000" sheet="1" objects="1" scenarios="1"/>
  <mergeCells count="70"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  <mergeCell ref="A45:D45"/>
    <mergeCell ref="H47:J47"/>
    <mergeCell ref="K49:L49"/>
    <mergeCell ref="H53:J53"/>
    <mergeCell ref="B75:E75"/>
    <mergeCell ref="H75:K75"/>
    <mergeCell ref="H56:M56"/>
    <mergeCell ref="I62:K62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12:B115"/>
    <mergeCell ref="C112:C115"/>
    <mergeCell ref="B116:I116"/>
    <mergeCell ref="J118:J119"/>
    <mergeCell ref="K118:K119"/>
    <mergeCell ref="B118:B119"/>
    <mergeCell ref="C118:C119"/>
    <mergeCell ref="D118:D119"/>
    <mergeCell ref="E118:E119"/>
    <mergeCell ref="F118:F119"/>
    <mergeCell ref="B120:B127"/>
    <mergeCell ref="C120:C127"/>
    <mergeCell ref="B128:I128"/>
    <mergeCell ref="G118:G119"/>
    <mergeCell ref="H118:H119"/>
    <mergeCell ref="I118:I1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5" r:id="rId3" name="Drop Down 7">
              <controlPr defaultSize="0" autoLine="0" autoPict="0">
                <anchor moveWithCells="1">
                  <from>
                    <xdr:col>3</xdr:col>
                    <xdr:colOff>678180</xdr:colOff>
                    <xdr:row>63</xdr:row>
                    <xdr:rowOff>83820</xdr:rowOff>
                  </from>
                  <to>
                    <xdr:col>4</xdr:col>
                    <xdr:colOff>1059180</xdr:colOff>
                    <xdr:row>65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31"/>
  <sheetViews>
    <sheetView topLeftCell="A43" workbookViewId="0">
      <selection activeCell="C10" sqref="A1:XFD1048576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/>
      <c r="B1" s="392"/>
      <c r="C1" s="392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91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DATOS!T29</f>
        <v>0</v>
      </c>
      <c r="C5" s="38">
        <f>IF(DATOS!$S$5=1,DATOS!U29,IF(DATOS!$S$5=2,(5/9*(DATOS!U29-32)),"error"))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DATOS!T30</f>
        <v>0</v>
      </c>
      <c r="C6" s="38">
        <f>IF(DATOS!$S$5=1,DATOS!U30,IF(DATOS!$S$5=2,(5/9*(DATOS!U30-32)),"error"))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DATOS!T31</f>
        <v>0</v>
      </c>
      <c r="C7" s="38">
        <f>IF(DATOS!$S$5=1,DATOS!U31,IF(DATOS!$S$5=2,(5/9*(DATOS!U31-32)),"error"))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>
        <f>I35^4/((I24^4/J24)+(I25^4/J25)+(I26^4/J26)+(I27^4/J27)+(I28^4/J28)+(I29^4/J29)+0+0+0)</f>
        <v>146.674375542044</v>
      </c>
      <c r="J36" s="381"/>
      <c r="K36" s="382"/>
    </row>
    <row r="37" spans="1:12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>
        <f>IF(I36&gt;20,2,HLOOKUP(I36,C97:W98,2))</f>
        <v>2</v>
      </c>
      <c r="J37" s="383"/>
      <c r="K37" s="383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93" t="s">
        <v>80</v>
      </c>
      <c r="B44" s="393"/>
      <c r="C44" s="393"/>
      <c r="D44" s="186"/>
      <c r="G44" s="6"/>
    </row>
    <row r="45" spans="1:12" x14ac:dyDescent="0.25">
      <c r="A45" s="394" t="s">
        <v>26</v>
      </c>
      <c r="B45" s="394"/>
      <c r="C45" s="395"/>
      <c r="D45" s="395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03pjNIkuFYObUB5m75s1uDQSFgj1ybT5Rc88lDR0KDQqmTcXla8ehM77v10qfpixaqr1XrYK2vW+SMYNNJUr8g==" saltValue="l6COZQ+XvPjsbFAvzJXnvA==" spinCount="100000" sheet="1" objects="1" scenarios="1"/>
  <mergeCells count="70"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  <mergeCell ref="A45:D45"/>
    <mergeCell ref="H47:J47"/>
    <mergeCell ref="K49:L49"/>
    <mergeCell ref="H53:J53"/>
    <mergeCell ref="B75:E75"/>
    <mergeCell ref="H75:K75"/>
    <mergeCell ref="H56:M56"/>
    <mergeCell ref="I62:K62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12:B115"/>
    <mergeCell ref="C112:C115"/>
    <mergeCell ref="B116:I116"/>
    <mergeCell ref="J118:J119"/>
    <mergeCell ref="K118:K119"/>
    <mergeCell ref="B118:B119"/>
    <mergeCell ref="C118:C119"/>
    <mergeCell ref="D118:D119"/>
    <mergeCell ref="E118:E119"/>
    <mergeCell ref="F118:F119"/>
    <mergeCell ref="B120:B127"/>
    <mergeCell ref="C120:C127"/>
    <mergeCell ref="B128:I128"/>
    <mergeCell ref="G118:G119"/>
    <mergeCell ref="H118:H119"/>
    <mergeCell ref="I118:I1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9" r:id="rId3" name="Drop Down 7">
              <controlPr defaultSize="0" autoLine="0" autoPict="0">
                <anchor moveWithCells="1">
                  <from>
                    <xdr:col>3</xdr:col>
                    <xdr:colOff>678180</xdr:colOff>
                    <xdr:row>63</xdr:row>
                    <xdr:rowOff>114300</xdr:rowOff>
                  </from>
                  <to>
                    <xdr:col>4</xdr:col>
                    <xdr:colOff>1059180</xdr:colOff>
                    <xdr:row>65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31"/>
  <sheetViews>
    <sheetView topLeftCell="A57" workbookViewId="0">
      <selection activeCell="A15" sqref="A1:XFD1048576"/>
    </sheetView>
  </sheetViews>
  <sheetFormatPr baseColWidth="10" defaultColWidth="11.5546875" defaultRowHeight="13.2" x14ac:dyDescent="0.25"/>
  <cols>
    <col min="1" max="1" width="29.33203125" style="158" customWidth="1"/>
    <col min="2" max="2" width="16.33203125" style="158" customWidth="1"/>
    <col min="3" max="3" width="20.44140625" style="158" customWidth="1"/>
    <col min="4" max="4" width="17.44140625" style="158" customWidth="1"/>
    <col min="5" max="5" width="16.109375" style="158" customWidth="1"/>
    <col min="6" max="6" width="15.109375" style="158" customWidth="1"/>
    <col min="7" max="7" width="14.6640625" style="158" customWidth="1"/>
    <col min="8" max="8" width="18" style="158" customWidth="1"/>
    <col min="9" max="9" width="13.6640625" style="158" customWidth="1"/>
    <col min="10" max="10" width="18.44140625" style="158" customWidth="1"/>
    <col min="11" max="11" width="18" style="158" customWidth="1"/>
    <col min="12" max="12" width="13.5546875" style="158" customWidth="1"/>
    <col min="13" max="16384" width="11.5546875" style="158"/>
  </cols>
  <sheetData>
    <row r="1" spans="1:12" x14ac:dyDescent="0.25">
      <c r="A1" s="392"/>
      <c r="B1" s="392"/>
      <c r="C1" s="392"/>
      <c r="F1" s="400"/>
      <c r="G1" s="400"/>
      <c r="H1" s="400"/>
    </row>
    <row r="2" spans="1:12" x14ac:dyDescent="0.25">
      <c r="A2" s="1"/>
      <c r="B2" s="1"/>
      <c r="C2" s="44"/>
      <c r="F2" s="401"/>
      <c r="G2" s="2"/>
      <c r="H2" s="141"/>
      <c r="K2" s="400"/>
      <c r="L2" s="400"/>
    </row>
    <row r="3" spans="1:12" x14ac:dyDescent="0.25">
      <c r="A3" s="391" t="s">
        <v>27</v>
      </c>
      <c r="B3" s="35" t="s">
        <v>34</v>
      </c>
      <c r="C3" s="37" t="s">
        <v>35</v>
      </c>
      <c r="F3" s="401"/>
      <c r="G3" s="44"/>
      <c r="H3" s="44"/>
      <c r="K3" s="402"/>
      <c r="L3" s="402"/>
    </row>
    <row r="4" spans="1:12" x14ac:dyDescent="0.25">
      <c r="A4" s="391"/>
      <c r="B4" s="36" t="str">
        <f>DATOS!D13</f>
        <v>ºC</v>
      </c>
      <c r="C4" s="140" t="str">
        <f>DATOS!D13</f>
        <v>ºC</v>
      </c>
      <c r="F4" s="44"/>
      <c r="G4" s="92"/>
      <c r="H4" s="92"/>
    </row>
    <row r="5" spans="1:12" x14ac:dyDescent="0.25">
      <c r="A5" s="46">
        <v>1</v>
      </c>
      <c r="B5" s="38">
        <f>DATOS!V29</f>
        <v>0</v>
      </c>
      <c r="C5" s="38">
        <f>IF(DATOS!$S$5=1,DATOS!W29,IF(DATOS!$S$5=2,(5/9*(DATOS!W29-32)),"error"))</f>
        <v>-17.777777777777779</v>
      </c>
      <c r="F5" s="44"/>
      <c r="G5" s="92"/>
      <c r="H5" s="92"/>
    </row>
    <row r="6" spans="1:12" x14ac:dyDescent="0.25">
      <c r="A6" s="46">
        <v>2</v>
      </c>
      <c r="B6" s="38">
        <f>DATOS!V30</f>
        <v>0</v>
      </c>
      <c r="C6" s="38">
        <f>IF(DATOS!$S$5=1,DATOS!W30,IF(DATOS!$S$5=2,(5/9*(DATOS!W30-32)),"error"))</f>
        <v>-17.777777777777779</v>
      </c>
      <c r="F6" s="44"/>
      <c r="G6" s="92"/>
      <c r="H6" s="92"/>
    </row>
    <row r="7" spans="1:12" x14ac:dyDescent="0.25">
      <c r="A7" s="46">
        <v>3</v>
      </c>
      <c r="B7" s="38">
        <f>DATOS!V31</f>
        <v>0</v>
      </c>
      <c r="C7" s="38">
        <f>IF(DATOS!$S$5=1,DATOS!W31,IF(DATOS!$S$5=2,(5/9*(DATOS!W31-32)),"error"))</f>
        <v>-17.777777777777779</v>
      </c>
      <c r="F7" s="44"/>
      <c r="G7" s="92"/>
      <c r="H7" s="92"/>
    </row>
    <row r="8" spans="1:12" x14ac:dyDescent="0.25">
      <c r="A8" s="46">
        <v>4</v>
      </c>
      <c r="B8" s="38"/>
      <c r="C8" s="38"/>
      <c r="F8" s="44"/>
      <c r="G8" s="92"/>
      <c r="H8" s="92"/>
    </row>
    <row r="9" spans="1:12" x14ac:dyDescent="0.25">
      <c r="A9" s="46">
        <v>5</v>
      </c>
      <c r="B9" s="38"/>
      <c r="C9" s="38"/>
      <c r="F9" s="44"/>
      <c r="G9" s="92"/>
      <c r="H9" s="92"/>
    </row>
    <row r="10" spans="1:12" x14ac:dyDescent="0.25">
      <c r="A10" s="46">
        <v>6</v>
      </c>
      <c r="B10" s="38"/>
      <c r="C10" s="38"/>
      <c r="F10" s="44"/>
      <c r="G10" s="92"/>
      <c r="H10" s="92"/>
    </row>
    <row r="11" spans="1:12" x14ac:dyDescent="0.25">
      <c r="A11" s="46">
        <v>7</v>
      </c>
      <c r="B11" s="38"/>
      <c r="C11" s="38"/>
      <c r="F11" s="44"/>
      <c r="G11" s="92"/>
      <c r="H11" s="92"/>
    </row>
    <row r="12" spans="1:12" x14ac:dyDescent="0.25">
      <c r="A12" s="46">
        <v>8</v>
      </c>
      <c r="B12" s="38"/>
      <c r="C12" s="38"/>
      <c r="F12" s="44"/>
      <c r="G12" s="92"/>
      <c r="H12" s="92"/>
    </row>
    <row r="13" spans="1:12" x14ac:dyDescent="0.25">
      <c r="A13" s="46">
        <v>9</v>
      </c>
      <c r="B13" s="38"/>
      <c r="C13" s="38"/>
      <c r="F13" s="44"/>
      <c r="G13" s="92"/>
      <c r="H13" s="92"/>
    </row>
    <row r="14" spans="1:12" x14ac:dyDescent="0.25">
      <c r="A14" s="46">
        <v>10</v>
      </c>
      <c r="B14" s="38"/>
      <c r="C14" s="38"/>
      <c r="F14" s="3"/>
      <c r="G14" s="40"/>
      <c r="H14" s="41"/>
    </row>
    <row r="15" spans="1:12" x14ac:dyDescent="0.25">
      <c r="A15" s="3" t="s">
        <v>29</v>
      </c>
      <c r="B15" s="40">
        <f>AVERAGE(B5:B7)</f>
        <v>0</v>
      </c>
      <c r="C15" s="41">
        <f>AVERAGE(C5:C7)</f>
        <v>-17.777777777777779</v>
      </c>
      <c r="F15" s="3"/>
      <c r="G15" s="40"/>
      <c r="H15" s="40"/>
    </row>
    <row r="16" spans="1:12" x14ac:dyDescent="0.25">
      <c r="A16" s="3" t="s">
        <v>30</v>
      </c>
      <c r="B16" s="40">
        <f>STDEV(B5:B7)</f>
        <v>0</v>
      </c>
      <c r="C16" s="40">
        <f>STDEV(C5:C7)</f>
        <v>0</v>
      </c>
      <c r="F16" s="3"/>
      <c r="G16" s="43"/>
      <c r="H16" s="3"/>
    </row>
    <row r="17" spans="1:11" ht="14.25" customHeight="1" x14ac:dyDescent="0.25">
      <c r="A17" s="3" t="s">
        <v>37</v>
      </c>
      <c r="B17" s="40">
        <f>J78</f>
        <v>-3.0006777498704303E-3</v>
      </c>
      <c r="C17" s="42" t="str">
        <f>B4</f>
        <v>ºC</v>
      </c>
      <c r="F17" s="1"/>
      <c r="G17" s="3"/>
      <c r="H17" s="3"/>
    </row>
    <row r="18" spans="1:11" x14ac:dyDescent="0.25">
      <c r="A18" s="3" t="s">
        <v>185</v>
      </c>
      <c r="B18" s="40">
        <f>MAX(K77:K79)</f>
        <v>0.02</v>
      </c>
      <c r="C18" s="42" t="str">
        <f>C17</f>
        <v>ºC</v>
      </c>
      <c r="F18" s="3"/>
      <c r="G18" s="43"/>
      <c r="H18" s="44"/>
    </row>
    <row r="19" spans="1:11" x14ac:dyDescent="0.25">
      <c r="A19" s="1"/>
      <c r="B19" s="3"/>
      <c r="C19" s="3"/>
    </row>
    <row r="20" spans="1:11" x14ac:dyDescent="0.25">
      <c r="A20" s="3"/>
      <c r="B20" s="43"/>
      <c r="C20" s="44"/>
    </row>
    <row r="22" spans="1:11" ht="15" customHeight="1" x14ac:dyDescent="0.25">
      <c r="F22" s="159"/>
    </row>
    <row r="23" spans="1:11" ht="26.4" x14ac:dyDescent="0.25">
      <c r="A23" s="160" t="s">
        <v>24</v>
      </c>
      <c r="B23" s="160" t="s">
        <v>23</v>
      </c>
      <c r="C23" s="160" t="s">
        <v>0</v>
      </c>
      <c r="D23" s="160" t="s">
        <v>1</v>
      </c>
      <c r="E23" s="160" t="s">
        <v>2</v>
      </c>
      <c r="F23" s="143" t="s">
        <v>182</v>
      </c>
      <c r="G23" s="160" t="s">
        <v>99</v>
      </c>
      <c r="H23" s="160" t="s">
        <v>25</v>
      </c>
      <c r="I23" s="143" t="s">
        <v>183</v>
      </c>
      <c r="J23" s="143" t="s">
        <v>186</v>
      </c>
      <c r="K23" s="160" t="s">
        <v>95</v>
      </c>
    </row>
    <row r="24" spans="1:11" ht="15.6" x14ac:dyDescent="0.35">
      <c r="A24" s="161" t="s">
        <v>3</v>
      </c>
      <c r="B24" s="162" t="s">
        <v>187</v>
      </c>
      <c r="C24" s="161" t="s">
        <v>4</v>
      </c>
      <c r="D24" s="163" t="s">
        <v>5</v>
      </c>
      <c r="E24" s="161" t="s">
        <v>6</v>
      </c>
      <c r="F24" s="163">
        <f>B16/SQRT(3)</f>
        <v>0</v>
      </c>
      <c r="G24" s="164">
        <f>$G$3</f>
        <v>0</v>
      </c>
      <c r="H24" s="163">
        <v>1</v>
      </c>
      <c r="I24" s="163">
        <f t="shared" ref="I24:I33" si="0">(F24*H24)</f>
        <v>0</v>
      </c>
      <c r="J24" s="163">
        <f>COUNT(B5:B14)-1</f>
        <v>2</v>
      </c>
      <c r="K24" s="165">
        <f t="shared" ref="K24:K33" si="1">(I24/$I$35)^2</f>
        <v>0</v>
      </c>
    </row>
    <row r="25" spans="1:11" ht="15.6" x14ac:dyDescent="0.35">
      <c r="A25" s="166" t="s">
        <v>7</v>
      </c>
      <c r="B25" s="167" t="s">
        <v>188</v>
      </c>
      <c r="C25" s="166" t="s">
        <v>8</v>
      </c>
      <c r="D25" s="168" t="s">
        <v>9</v>
      </c>
      <c r="E25" s="166" t="s">
        <v>6</v>
      </c>
      <c r="F25" s="234">
        <f>B18/2</f>
        <v>0.01</v>
      </c>
      <c r="G25" s="170">
        <f t="shared" ref="G25:G33" si="2">$G$3</f>
        <v>0</v>
      </c>
      <c r="H25" s="168">
        <v>1</v>
      </c>
      <c r="I25" s="171">
        <f t="shared" si="0"/>
        <v>0.01</v>
      </c>
      <c r="J25" s="144">
        <v>100</v>
      </c>
      <c r="K25" s="172">
        <f t="shared" si="1"/>
        <v>7.9225287538074174E-2</v>
      </c>
    </row>
    <row r="26" spans="1:11" ht="15.6" x14ac:dyDescent="0.35">
      <c r="A26" s="161" t="s">
        <v>10</v>
      </c>
      <c r="B26" s="173" t="s">
        <v>189</v>
      </c>
      <c r="C26" s="161" t="s">
        <v>11</v>
      </c>
      <c r="D26" s="163" t="s">
        <v>9</v>
      </c>
      <c r="E26" s="161" t="s">
        <v>12</v>
      </c>
      <c r="F26" s="163">
        <f>B18/SQRT(3)</f>
        <v>1.1547005383792516E-2</v>
      </c>
      <c r="G26" s="164">
        <f t="shared" si="2"/>
        <v>0</v>
      </c>
      <c r="H26" s="163">
        <v>1</v>
      </c>
      <c r="I26" s="163">
        <f t="shared" si="0"/>
        <v>1.1547005383792516E-2</v>
      </c>
      <c r="J26" s="163">
        <v>100</v>
      </c>
      <c r="K26" s="165">
        <f t="shared" si="1"/>
        <v>0.10563371671743223</v>
      </c>
    </row>
    <row r="27" spans="1:11" ht="15.6" x14ac:dyDescent="0.35">
      <c r="A27" s="166" t="s">
        <v>41</v>
      </c>
      <c r="B27" s="168" t="s">
        <v>190</v>
      </c>
      <c r="C27" s="166" t="s">
        <v>42</v>
      </c>
      <c r="D27" s="168" t="s">
        <v>9</v>
      </c>
      <c r="E27" s="166" t="s">
        <v>12</v>
      </c>
      <c r="F27" s="168">
        <f>DATOS!$C$14/ SQRT(12)</f>
        <v>2.886751345948129E-4</v>
      </c>
      <c r="G27" s="170">
        <f t="shared" si="2"/>
        <v>0</v>
      </c>
      <c r="H27" s="168">
        <v>1</v>
      </c>
      <c r="I27" s="168">
        <f t="shared" si="0"/>
        <v>2.886751345948129E-4</v>
      </c>
      <c r="J27" s="144">
        <v>100</v>
      </c>
      <c r="K27" s="172">
        <f t="shared" si="1"/>
        <v>6.6021072948395151E-5</v>
      </c>
    </row>
    <row r="28" spans="1:11" x14ac:dyDescent="0.25">
      <c r="A28" s="150" t="s">
        <v>13</v>
      </c>
      <c r="B28" s="174" t="s">
        <v>191</v>
      </c>
      <c r="C28" s="150" t="s">
        <v>14</v>
      </c>
      <c r="D28" s="175" t="s">
        <v>5</v>
      </c>
      <c r="E28" s="150" t="s">
        <v>6</v>
      </c>
      <c r="F28" s="175">
        <f>(C16)/SQRT(3)</f>
        <v>0</v>
      </c>
      <c r="G28" s="164">
        <f t="shared" si="2"/>
        <v>0</v>
      </c>
      <c r="H28" s="175">
        <v>-1</v>
      </c>
      <c r="I28" s="163">
        <f t="shared" si="0"/>
        <v>0</v>
      </c>
      <c r="J28" s="163">
        <f>COUNT(C5:C14)-1</f>
        <v>2</v>
      </c>
      <c r="K28" s="165">
        <f t="shared" si="1"/>
        <v>0</v>
      </c>
    </row>
    <row r="29" spans="1:11" x14ac:dyDescent="0.25">
      <c r="A29" s="166" t="s">
        <v>13</v>
      </c>
      <c r="B29" s="176" t="s">
        <v>191</v>
      </c>
      <c r="C29" s="166" t="s">
        <v>15</v>
      </c>
      <c r="D29" s="168" t="s">
        <v>9</v>
      </c>
      <c r="E29" s="166" t="s">
        <v>16</v>
      </c>
      <c r="F29" s="50">
        <f>((IF(DATOS!$S$5=1,DATOS!$I$14,IF(DATOS!$S$5=2,(5/9)*DATOS!I14,"Error"))))/SQRT(12)</f>
        <v>3.2075014954979213E-2</v>
      </c>
      <c r="G29" s="170">
        <f t="shared" si="2"/>
        <v>0</v>
      </c>
      <c r="H29" s="168">
        <v>-1</v>
      </c>
      <c r="I29" s="171">
        <f t="shared" si="0"/>
        <v>-3.2075014954979213E-2</v>
      </c>
      <c r="J29" s="168">
        <v>100</v>
      </c>
      <c r="K29" s="172">
        <f t="shared" si="1"/>
        <v>0.81507497467154522</v>
      </c>
    </row>
    <row r="30" spans="1:11" ht="15.6" x14ac:dyDescent="0.35">
      <c r="A30" s="161" t="s">
        <v>17</v>
      </c>
      <c r="B30" s="173" t="s">
        <v>192</v>
      </c>
      <c r="C30" s="161" t="s">
        <v>18</v>
      </c>
      <c r="D30" s="163" t="s">
        <v>9</v>
      </c>
      <c r="E30" s="161" t="s">
        <v>12</v>
      </c>
      <c r="F30" s="163">
        <f>((IF(E66=1,E69,IF(E66=2,E70,IF(E66=3,E71,"Error"))))/SQRT(12))</f>
        <v>0</v>
      </c>
      <c r="G30" s="164">
        <f t="shared" si="2"/>
        <v>0</v>
      </c>
      <c r="H30" s="163">
        <v>1</v>
      </c>
      <c r="I30" s="163">
        <f t="shared" si="0"/>
        <v>0</v>
      </c>
      <c r="J30" s="177" t="s">
        <v>96</v>
      </c>
      <c r="K30" s="165">
        <f t="shared" si="1"/>
        <v>0</v>
      </c>
    </row>
    <row r="31" spans="1:11" ht="15.6" x14ac:dyDescent="0.35">
      <c r="A31" s="166" t="s">
        <v>19</v>
      </c>
      <c r="B31" s="167" t="s">
        <v>193</v>
      </c>
      <c r="C31" s="166" t="s">
        <v>20</v>
      </c>
      <c r="D31" s="168" t="s">
        <v>9</v>
      </c>
      <c r="E31" s="166" t="s">
        <v>12</v>
      </c>
      <c r="F31" s="168">
        <f>((IF(E66=1,D69,IF(E66=2,D70,IF(E66=3,D71,"Error"))))/SQRT(12))</f>
        <v>0</v>
      </c>
      <c r="G31" s="170">
        <f t="shared" si="2"/>
        <v>0</v>
      </c>
      <c r="H31" s="168">
        <v>1</v>
      </c>
      <c r="I31" s="171">
        <f t="shared" si="0"/>
        <v>0</v>
      </c>
      <c r="J31" s="144" t="s">
        <v>96</v>
      </c>
      <c r="K31" s="172">
        <f t="shared" si="1"/>
        <v>0</v>
      </c>
    </row>
    <row r="32" spans="1:11" ht="27.6" x14ac:dyDescent="0.35">
      <c r="A32" s="161" t="s">
        <v>43</v>
      </c>
      <c r="B32" s="162" t="s">
        <v>194</v>
      </c>
      <c r="C32" s="178" t="s">
        <v>44</v>
      </c>
      <c r="D32" s="179" t="s">
        <v>5</v>
      </c>
      <c r="E32" s="180" t="s">
        <v>12</v>
      </c>
      <c r="F32" s="163">
        <f>'punto 1'!K3/SQRT(12)</f>
        <v>0</v>
      </c>
      <c r="G32" s="164">
        <f t="shared" si="2"/>
        <v>0</v>
      </c>
      <c r="H32" s="163">
        <v>1</v>
      </c>
      <c r="I32" s="163">
        <f t="shared" si="0"/>
        <v>0</v>
      </c>
      <c r="J32" s="177" t="s">
        <v>96</v>
      </c>
      <c r="K32" s="165">
        <f t="shared" si="1"/>
        <v>0</v>
      </c>
    </row>
    <row r="33" spans="1:12" ht="15.6" x14ac:dyDescent="0.35">
      <c r="A33" s="166" t="s">
        <v>21</v>
      </c>
      <c r="B33" s="167" t="s">
        <v>195</v>
      </c>
      <c r="C33" s="166" t="s">
        <v>22</v>
      </c>
      <c r="D33" s="168" t="s">
        <v>9</v>
      </c>
      <c r="E33" s="166" t="s">
        <v>6</v>
      </c>
      <c r="F33" s="181">
        <f>K53</f>
        <v>0</v>
      </c>
      <c r="G33" s="170">
        <f t="shared" si="2"/>
        <v>0</v>
      </c>
      <c r="H33" s="168">
        <v>1</v>
      </c>
      <c r="I33" s="171">
        <f t="shared" si="0"/>
        <v>0</v>
      </c>
      <c r="J33" s="182">
        <f>K107</f>
        <v>0</v>
      </c>
      <c r="K33" s="172">
        <f t="shared" si="1"/>
        <v>0</v>
      </c>
    </row>
    <row r="34" spans="1:12" x14ac:dyDescent="0.25">
      <c r="A34" s="161"/>
      <c r="B34" s="162"/>
      <c r="C34" s="161"/>
      <c r="D34" s="161"/>
      <c r="E34" s="161"/>
      <c r="F34" s="163"/>
      <c r="G34" s="150"/>
      <c r="H34" s="161"/>
      <c r="I34" s="161"/>
      <c r="J34" s="150"/>
      <c r="K34" s="150"/>
    </row>
    <row r="35" spans="1:12" x14ac:dyDescent="0.25">
      <c r="A35" s="352" t="s">
        <v>94</v>
      </c>
      <c r="B35" s="353"/>
      <c r="C35" s="353"/>
      <c r="D35" s="353"/>
      <c r="E35" s="353"/>
      <c r="F35" s="353"/>
      <c r="G35" s="353"/>
      <c r="H35" s="353"/>
      <c r="I35" s="118">
        <f>SQRT(SUMSQ(I24:I33))</f>
        <v>3.5527781397503656E-2</v>
      </c>
      <c r="J35" s="166"/>
      <c r="K35" s="183">
        <f>SUM(K24:K33)</f>
        <v>1</v>
      </c>
    </row>
    <row r="36" spans="1:12" ht="15" customHeight="1" x14ac:dyDescent="0.25">
      <c r="A36" s="396" t="s">
        <v>196</v>
      </c>
      <c r="B36" s="397"/>
      <c r="C36" s="397"/>
      <c r="D36" s="397"/>
      <c r="E36" s="397"/>
      <c r="F36" s="397"/>
      <c r="G36" s="397"/>
      <c r="H36" s="397"/>
      <c r="I36" s="380">
        <f>I35^4/((I24^4/J24)+(I25^4/J25)+(I26^4/J26)+(I27^4/J27)+(I28^4/J28)+(I29^4/J29)+0+0+0)</f>
        <v>146.674375542044</v>
      </c>
      <c r="J36" s="381"/>
      <c r="K36" s="382"/>
    </row>
    <row r="37" spans="1:12" x14ac:dyDescent="0.25">
      <c r="A37" s="398" t="s">
        <v>97</v>
      </c>
      <c r="B37" s="399"/>
      <c r="C37" s="399"/>
      <c r="D37" s="399"/>
      <c r="E37" s="399"/>
      <c r="F37" s="399"/>
      <c r="G37" s="399"/>
      <c r="H37" s="399"/>
      <c r="I37" s="383">
        <f>IF(I36&gt;20,2,HLOOKUP(I36,C97:W98,2))</f>
        <v>2</v>
      </c>
      <c r="J37" s="383"/>
      <c r="K37" s="383"/>
    </row>
    <row r="39" spans="1:12" x14ac:dyDescent="0.25">
      <c r="A39" s="184" t="s">
        <v>45</v>
      </c>
      <c r="B39" s="184" t="s">
        <v>46</v>
      </c>
      <c r="C39" s="184" t="s">
        <v>47</v>
      </c>
      <c r="D39" s="184" t="s">
        <v>48</v>
      </c>
      <c r="E39" s="56"/>
      <c r="F39" s="44"/>
      <c r="G39" s="44"/>
      <c r="H39" s="44"/>
      <c r="I39" s="44"/>
    </row>
    <row r="40" spans="1:12" x14ac:dyDescent="0.25">
      <c r="A40" s="52" t="s">
        <v>197</v>
      </c>
      <c r="B40" s="185" t="s">
        <v>198</v>
      </c>
      <c r="C40" s="52" t="s">
        <v>199</v>
      </c>
      <c r="D40" s="35" t="s">
        <v>200</v>
      </c>
      <c r="E40" s="55" t="s">
        <v>201</v>
      </c>
      <c r="F40" s="141"/>
      <c r="G40" s="2"/>
      <c r="H40" s="141"/>
      <c r="I40" s="141"/>
    </row>
    <row r="41" spans="1:12" x14ac:dyDescent="0.25">
      <c r="A41" s="53" t="s">
        <v>36</v>
      </c>
      <c r="B41" s="53" t="s">
        <v>36</v>
      </c>
      <c r="C41" s="54" t="str">
        <f>C4</f>
        <v>ºC</v>
      </c>
      <c r="D41" s="53" t="s">
        <v>36</v>
      </c>
      <c r="E41" s="51" t="s">
        <v>36</v>
      </c>
      <c r="F41" s="8"/>
      <c r="G41" s="8"/>
      <c r="H41" s="2"/>
      <c r="I41" s="2"/>
    </row>
    <row r="42" spans="1:12" x14ac:dyDescent="0.25">
      <c r="A42" s="71">
        <f>B15</f>
        <v>0</v>
      </c>
      <c r="B42" s="71">
        <f>B17</f>
        <v>-3.0006777498704303E-3</v>
      </c>
      <c r="C42" s="72">
        <f>C15</f>
        <v>-17.777777777777779</v>
      </c>
      <c r="D42" s="73">
        <f>IF('punto 1'!D44=" ",0,K47)</f>
        <v>0</v>
      </c>
      <c r="E42" s="73">
        <f>A42+B42-C42-D42</f>
        <v>17.774777100027908</v>
      </c>
      <c r="F42" s="6"/>
      <c r="G42" s="6"/>
      <c r="H42" s="6"/>
      <c r="I42" s="6"/>
    </row>
    <row r="43" spans="1:12" x14ac:dyDescent="0.25">
      <c r="G43" s="6"/>
    </row>
    <row r="44" spans="1:12" x14ac:dyDescent="0.25">
      <c r="A44" s="393" t="s">
        <v>80</v>
      </c>
      <c r="B44" s="393"/>
      <c r="C44" s="393"/>
      <c r="D44" s="186"/>
      <c r="G44" s="6"/>
    </row>
    <row r="45" spans="1:12" x14ac:dyDescent="0.25">
      <c r="A45" s="394" t="s">
        <v>26</v>
      </c>
      <c r="B45" s="394"/>
      <c r="C45" s="395"/>
      <c r="D45" s="395"/>
      <c r="G45" s="6"/>
    </row>
    <row r="46" spans="1:12" x14ac:dyDescent="0.25">
      <c r="A46" s="166"/>
      <c r="B46" s="166"/>
      <c r="C46" s="187"/>
      <c r="D46" s="187"/>
      <c r="G46" s="6"/>
    </row>
    <row r="47" spans="1:12" x14ac:dyDescent="0.25">
      <c r="A47" s="188" t="s">
        <v>27</v>
      </c>
      <c r="B47" s="168" t="s">
        <v>28</v>
      </c>
      <c r="C47" s="189"/>
      <c r="D47" s="189"/>
      <c r="G47" s="6"/>
      <c r="H47" s="389" t="s">
        <v>202</v>
      </c>
      <c r="I47" s="390"/>
      <c r="J47" s="390"/>
      <c r="K47" s="86">
        <f>I50*I51*I52</f>
        <v>0</v>
      </c>
      <c r="L47" s="87" t="s">
        <v>36</v>
      </c>
    </row>
    <row r="48" spans="1:12" x14ac:dyDescent="0.25">
      <c r="A48" s="188"/>
      <c r="B48" s="168" t="str">
        <f>B4</f>
        <v>ºC</v>
      </c>
      <c r="C48" s="189"/>
      <c r="D48" s="189"/>
      <c r="G48" s="6"/>
      <c r="H48" s="84"/>
      <c r="I48" s="85"/>
      <c r="J48" s="85"/>
      <c r="K48" s="84"/>
      <c r="L48" s="190"/>
    </row>
    <row r="49" spans="1:13" x14ac:dyDescent="0.25">
      <c r="A49" s="188">
        <v>1</v>
      </c>
      <c r="B49" s="235">
        <v>23.1</v>
      </c>
      <c r="C49" s="187"/>
      <c r="D49" s="187"/>
      <c r="G49" s="6"/>
      <c r="H49" s="82"/>
      <c r="I49" s="82"/>
      <c r="J49" s="83"/>
      <c r="K49" s="375" t="s">
        <v>203</v>
      </c>
      <c r="L49" s="375"/>
    </row>
    <row r="50" spans="1:13" x14ac:dyDescent="0.25">
      <c r="A50" s="188">
        <v>2</v>
      </c>
      <c r="B50" s="235">
        <v>23</v>
      </c>
      <c r="C50" s="187"/>
      <c r="D50" s="187"/>
      <c r="G50" s="6"/>
      <c r="H50" s="192" t="s">
        <v>81</v>
      </c>
      <c r="I50" s="193">
        <f>IF(D44="X",DATOS!P18,0)</f>
        <v>0</v>
      </c>
      <c r="J50" s="142" t="s">
        <v>82</v>
      </c>
      <c r="K50" s="193">
        <f>J103</f>
        <v>0</v>
      </c>
      <c r="L50" s="88" t="s">
        <v>36</v>
      </c>
    </row>
    <row r="51" spans="1:13" x14ac:dyDescent="0.25">
      <c r="A51" s="188">
        <v>3</v>
      </c>
      <c r="B51" s="235">
        <v>23</v>
      </c>
      <c r="C51" s="187"/>
      <c r="D51" s="187"/>
      <c r="G51" s="6"/>
      <c r="H51" s="89" t="s">
        <v>63</v>
      </c>
      <c r="I51" s="193">
        <f>IF(D44="X",B64,0)</f>
        <v>0</v>
      </c>
      <c r="J51" s="142" t="s">
        <v>83</v>
      </c>
      <c r="K51" s="193">
        <f t="shared" ref="K51:K52" si="3">J104</f>
        <v>0</v>
      </c>
      <c r="L51" s="88" t="s">
        <v>36</v>
      </c>
    </row>
    <row r="52" spans="1:13" x14ac:dyDescent="0.25">
      <c r="A52" s="188">
        <v>4</v>
      </c>
      <c r="B52" s="235">
        <v>23</v>
      </c>
      <c r="C52" s="187"/>
      <c r="D52" s="187"/>
      <c r="G52" s="6"/>
      <c r="H52" s="89" t="s">
        <v>204</v>
      </c>
      <c r="I52" s="193">
        <f>IF(D44="X",(A42+B42)-(B62+0+0),0)</f>
        <v>0</v>
      </c>
      <c r="J52" s="142" t="s">
        <v>83</v>
      </c>
      <c r="K52" s="193">
        <f t="shared" si="3"/>
        <v>0</v>
      </c>
      <c r="L52" s="88" t="s">
        <v>36</v>
      </c>
    </row>
    <row r="53" spans="1:13" x14ac:dyDescent="0.25">
      <c r="A53" s="188">
        <v>5</v>
      </c>
      <c r="B53" s="235">
        <v>23</v>
      </c>
      <c r="C53" s="187"/>
      <c r="D53" s="187"/>
      <c r="H53" s="376" t="s">
        <v>84</v>
      </c>
      <c r="I53" s="376"/>
      <c r="J53" s="376"/>
      <c r="K53" s="90">
        <f>IF(D44="X",SQRT(SUMSQ(K50:K52)),0)</f>
        <v>0</v>
      </c>
      <c r="L53" s="91" t="s">
        <v>36</v>
      </c>
    </row>
    <row r="54" spans="1:13" x14ac:dyDescent="0.25">
      <c r="A54" s="188">
        <v>6</v>
      </c>
      <c r="B54" s="235">
        <v>23</v>
      </c>
      <c r="C54" s="187"/>
      <c r="D54" s="187"/>
    </row>
    <row r="55" spans="1:13" x14ac:dyDescent="0.25">
      <c r="A55" s="188">
        <v>7</v>
      </c>
      <c r="B55" s="235">
        <v>23</v>
      </c>
      <c r="C55" s="187"/>
      <c r="D55" s="187"/>
    </row>
    <row r="56" spans="1:13" x14ac:dyDescent="0.25">
      <c r="A56" s="188">
        <v>8</v>
      </c>
      <c r="B56" s="235">
        <v>23</v>
      </c>
      <c r="C56" s="187"/>
      <c r="D56" s="187"/>
      <c r="H56" s="385" t="s">
        <v>167</v>
      </c>
      <c r="I56" s="385"/>
      <c r="J56" s="385"/>
      <c r="K56" s="385"/>
      <c r="L56" s="385"/>
      <c r="M56" s="385"/>
    </row>
    <row r="57" spans="1:13" ht="39.6" x14ac:dyDescent="0.25">
      <c r="A57" s="188">
        <v>9</v>
      </c>
      <c r="B57" s="235">
        <v>23</v>
      </c>
      <c r="C57" s="187"/>
      <c r="D57" s="187"/>
      <c r="H57" s="153"/>
      <c r="I57" s="62" t="s">
        <v>88</v>
      </c>
      <c r="J57" s="63" t="s">
        <v>89</v>
      </c>
      <c r="K57" s="63" t="s">
        <v>90</v>
      </c>
      <c r="L57" s="63" t="s">
        <v>91</v>
      </c>
    </row>
    <row r="58" spans="1:13" x14ac:dyDescent="0.25">
      <c r="A58" s="188">
        <v>10</v>
      </c>
      <c r="B58" s="235">
        <v>23</v>
      </c>
      <c r="C58" s="187"/>
      <c r="D58" s="187"/>
      <c r="H58" s="153"/>
      <c r="I58" s="64">
        <f>VLOOKUP(J58,I64:L71,4,FALSE)</f>
        <v>3</v>
      </c>
      <c r="J58" s="154">
        <f>VLOOKUP(J59,I64:K71,1,TRUE)</f>
        <v>25.024000000000001</v>
      </c>
      <c r="K58" s="155">
        <f>VLOOKUP(J58,I64:K71,2,FALSE)</f>
        <v>6.0000000000000001E-3</v>
      </c>
      <c r="L58" s="155">
        <f>VLOOKUP(J58,I64:K71,3,FALSE)</f>
        <v>1.15E-2</v>
      </c>
    </row>
    <row r="59" spans="1:13" x14ac:dyDescent="0.25">
      <c r="A59" s="188" t="s">
        <v>29</v>
      </c>
      <c r="B59" s="57" t="str">
        <f>IF('punto 1'!$D$44="X",AVERAGE(B49:B58),"0")</f>
        <v>0</v>
      </c>
      <c r="C59" s="58"/>
      <c r="D59" s="58"/>
      <c r="H59" s="153"/>
      <c r="I59" s="154"/>
      <c r="J59" s="65">
        <f>B64</f>
        <v>40</v>
      </c>
      <c r="K59" s="156">
        <f>(K60-K58)/(J60-J58)*(J59-J58)+K58</f>
        <v>6.5995196156925541E-3</v>
      </c>
      <c r="L59" s="156">
        <f>(L60-L58)/(J60-J58)*(J59-J58)+L58</f>
        <v>1.15E-2</v>
      </c>
    </row>
    <row r="60" spans="1:13" x14ac:dyDescent="0.25">
      <c r="A60" s="188" t="s">
        <v>30</v>
      </c>
      <c r="B60" s="57" t="str">
        <f>IF('punto 1'!$D$44="X",STDEV(B49:B58),"0")</f>
        <v>0</v>
      </c>
      <c r="C60" s="58"/>
      <c r="D60" s="58"/>
      <c r="H60" s="153"/>
      <c r="I60" s="64">
        <f>I58+1</f>
        <v>4</v>
      </c>
      <c r="J60" s="154">
        <f>VLOOKUP(I58+1,H64:K71,2,FALSE)</f>
        <v>50.003999999999998</v>
      </c>
      <c r="K60" s="155">
        <f>VLOOKUP(J60,I64:K71,2,FALSE)</f>
        <v>7.0000000000000001E-3</v>
      </c>
      <c r="L60" s="155">
        <f>VLOOKUP(J60,I64:K71,3,FALSE)</f>
        <v>1.15E-2</v>
      </c>
    </row>
    <row r="61" spans="1:13" x14ac:dyDescent="0.25">
      <c r="A61" s="188" t="s">
        <v>31</v>
      </c>
      <c r="B61" s="45" t="str">
        <f>IF('punto 1'!$D$44="X",D78,"0")</f>
        <v>0</v>
      </c>
      <c r="C61" s="59"/>
      <c r="D61" s="59"/>
      <c r="H61" s="153"/>
      <c r="I61" s="153"/>
      <c r="J61" s="153"/>
      <c r="K61" s="153"/>
      <c r="L61" s="153"/>
    </row>
    <row r="62" spans="1:13" x14ac:dyDescent="0.25">
      <c r="A62" s="188" t="s">
        <v>32</v>
      </c>
      <c r="B62" s="5" t="str">
        <f>IF('punto 1'!$D$44="X",B59+B61,"0")</f>
        <v>0</v>
      </c>
      <c r="C62" s="60"/>
      <c r="D62" s="60"/>
      <c r="H62" s="153"/>
      <c r="I62" s="384" t="s">
        <v>157</v>
      </c>
      <c r="J62" s="384"/>
      <c r="K62" s="384"/>
      <c r="L62" s="194"/>
    </row>
    <row r="63" spans="1:13" x14ac:dyDescent="0.25">
      <c r="A63" s="188" t="s">
        <v>33</v>
      </c>
      <c r="B63" s="4" t="str">
        <f>IF('punto 1'!$D$44="X",MAX(E77:E79),"0")</f>
        <v>0</v>
      </c>
      <c r="C63" s="61"/>
      <c r="D63" s="61"/>
      <c r="H63" s="66"/>
      <c r="I63" s="67" t="s">
        <v>89</v>
      </c>
      <c r="J63" s="67" t="s">
        <v>90</v>
      </c>
      <c r="K63" s="67" t="s">
        <v>92</v>
      </c>
      <c r="L63" s="66"/>
      <c r="M63" s="195"/>
    </row>
    <row r="64" spans="1:13" x14ac:dyDescent="0.25">
      <c r="A64" s="188" t="s">
        <v>63</v>
      </c>
      <c r="B64" s="168">
        <v>40</v>
      </c>
      <c r="H64" s="68">
        <v>1</v>
      </c>
      <c r="I64" s="69">
        <v>-20.042999999999999</v>
      </c>
      <c r="J64" s="69">
        <v>-8.0000000000000002E-3</v>
      </c>
      <c r="K64" s="70">
        <v>1.2E-2</v>
      </c>
      <c r="L64" s="68">
        <v>1</v>
      </c>
      <c r="M64" s="141"/>
    </row>
    <row r="65" spans="1:19" x14ac:dyDescent="0.25">
      <c r="A65" s="188" t="s">
        <v>127</v>
      </c>
      <c r="B65" s="168">
        <v>1E-3</v>
      </c>
      <c r="H65" s="68">
        <v>2</v>
      </c>
      <c r="I65" s="69">
        <v>-8.0000000000000002E-3</v>
      </c>
      <c r="J65" s="69">
        <v>-0.01</v>
      </c>
      <c r="K65" s="70">
        <v>1.15E-2</v>
      </c>
      <c r="L65" s="68">
        <v>2</v>
      </c>
      <c r="M65" s="2"/>
    </row>
    <row r="66" spans="1:19" x14ac:dyDescent="0.25">
      <c r="E66" s="158">
        <v>2</v>
      </c>
      <c r="H66" s="68">
        <v>3</v>
      </c>
      <c r="I66" s="69">
        <v>25.024000000000001</v>
      </c>
      <c r="J66" s="69">
        <v>6.0000000000000001E-3</v>
      </c>
      <c r="K66" s="70">
        <v>1.15E-2</v>
      </c>
      <c r="L66" s="68">
        <v>3</v>
      </c>
      <c r="M66" s="47"/>
    </row>
    <row r="67" spans="1:19" x14ac:dyDescent="0.25">
      <c r="B67" s="107">
        <v>1</v>
      </c>
      <c r="C67" s="107">
        <v>2</v>
      </c>
      <c r="D67" s="107">
        <v>3</v>
      </c>
      <c r="E67" s="107">
        <v>5</v>
      </c>
      <c r="H67" s="68">
        <v>4</v>
      </c>
      <c r="I67" s="69">
        <v>50.003999999999998</v>
      </c>
      <c r="J67" s="69">
        <v>7.0000000000000001E-3</v>
      </c>
      <c r="K67" s="70">
        <v>1.15E-2</v>
      </c>
      <c r="L67" s="68">
        <v>4</v>
      </c>
    </row>
    <row r="68" spans="1:19" ht="26.4" x14ac:dyDescent="0.25">
      <c r="A68" s="195"/>
      <c r="B68" s="108" t="s">
        <v>140</v>
      </c>
      <c r="C68" s="109" t="s">
        <v>141</v>
      </c>
      <c r="D68" s="110" t="s">
        <v>142</v>
      </c>
      <c r="E68" s="111" t="s">
        <v>143</v>
      </c>
      <c r="G68" s="195"/>
      <c r="H68" s="68">
        <v>5</v>
      </c>
      <c r="I68" s="69">
        <v>100.01</v>
      </c>
      <c r="J68" s="69">
        <v>1.9E-2</v>
      </c>
      <c r="K68" s="70">
        <v>1.15E-2</v>
      </c>
      <c r="L68" s="68">
        <v>5</v>
      </c>
      <c r="N68" s="195"/>
      <c r="O68" s="195"/>
      <c r="P68" s="195"/>
      <c r="Q68" s="195"/>
      <c r="R68" s="195"/>
      <c r="S68" s="195"/>
    </row>
    <row r="69" spans="1:19" x14ac:dyDescent="0.25">
      <c r="A69" s="7"/>
      <c r="B69" s="107">
        <v>1</v>
      </c>
      <c r="C69" s="112" t="str">
        <f>DATOS!U20</f>
        <v>Hielo</v>
      </c>
      <c r="D69" s="112">
        <f>DATOS!V20</f>
        <v>0</v>
      </c>
      <c r="E69" s="112">
        <f>DATOS!W20</f>
        <v>0</v>
      </c>
      <c r="G69" s="2"/>
      <c r="H69" s="68">
        <v>6</v>
      </c>
      <c r="I69" s="69">
        <v>150.07599999999999</v>
      </c>
      <c r="J69" s="69">
        <v>-1.7000000000000001E-2</v>
      </c>
      <c r="K69" s="70">
        <v>1.2999999999999999E-2</v>
      </c>
      <c r="L69" s="68">
        <v>6</v>
      </c>
      <c r="N69" s="141"/>
      <c r="O69" s="141"/>
      <c r="P69" s="141"/>
      <c r="Q69" s="141"/>
      <c r="R69" s="141"/>
      <c r="S69" s="2"/>
    </row>
    <row r="70" spans="1:19" x14ac:dyDescent="0.25">
      <c r="A70" s="2"/>
      <c r="B70" s="107">
        <v>2</v>
      </c>
      <c r="C70" s="112" t="str">
        <f>DATOS!U21</f>
        <v>baños</v>
      </c>
      <c r="D70" s="112">
        <f>DATOS!V21</f>
        <v>0</v>
      </c>
      <c r="E70" s="112">
        <f>DATOS!W21</f>
        <v>0</v>
      </c>
      <c r="G70" s="8"/>
      <c r="H70" s="68">
        <v>7</v>
      </c>
      <c r="I70" s="69">
        <v>200.11799999999999</v>
      </c>
      <c r="J70" s="69">
        <v>-2.7E-2</v>
      </c>
      <c r="K70" s="70">
        <v>1.2999999999999999E-2</v>
      </c>
      <c r="L70" s="68">
        <v>7</v>
      </c>
      <c r="N70" s="2"/>
      <c r="O70" s="2"/>
      <c r="P70" s="2"/>
      <c r="Q70" s="2"/>
      <c r="R70" s="2"/>
      <c r="S70" s="2"/>
    </row>
    <row r="71" spans="1:19" x14ac:dyDescent="0.25">
      <c r="A71" s="6"/>
      <c r="B71" s="107">
        <v>3</v>
      </c>
      <c r="C71" s="112" t="str">
        <f>DATOS!U22</f>
        <v>baños</v>
      </c>
      <c r="D71" s="112">
        <f>DATOS!V22</f>
        <v>0</v>
      </c>
      <c r="E71" s="112">
        <f>DATOS!W22</f>
        <v>0</v>
      </c>
      <c r="G71" s="6"/>
      <c r="H71" s="198">
        <v>8</v>
      </c>
      <c r="I71" s="199">
        <v>250.11500000000001</v>
      </c>
      <c r="J71" s="199">
        <v>-4.9000000000000002E-2</v>
      </c>
      <c r="K71" s="200">
        <v>1.2999999999999999E-2</v>
      </c>
      <c r="L71" s="198">
        <v>8</v>
      </c>
      <c r="N71" s="6"/>
      <c r="O71" s="6"/>
      <c r="P71" s="47"/>
      <c r="Q71" s="6"/>
      <c r="R71" s="6"/>
      <c r="S71" s="48"/>
    </row>
    <row r="75" spans="1:19" x14ac:dyDescent="0.25">
      <c r="A75" s="153"/>
      <c r="B75" s="384" t="s">
        <v>166</v>
      </c>
      <c r="C75" s="384"/>
      <c r="D75" s="384"/>
      <c r="E75" s="384"/>
      <c r="G75" s="153"/>
      <c r="H75" s="384" t="s">
        <v>93</v>
      </c>
      <c r="I75" s="384"/>
      <c r="J75" s="384"/>
      <c r="K75" s="384"/>
    </row>
    <row r="76" spans="1:19" ht="26.4" x14ac:dyDescent="0.25">
      <c r="A76" s="153"/>
      <c r="B76" s="62" t="s">
        <v>88</v>
      </c>
      <c r="C76" s="63" t="s">
        <v>89</v>
      </c>
      <c r="D76" s="63" t="s">
        <v>90</v>
      </c>
      <c r="E76" s="63" t="s">
        <v>91</v>
      </c>
      <c r="G76" s="153"/>
      <c r="H76" s="62" t="s">
        <v>88</v>
      </c>
      <c r="I76" s="63" t="s">
        <v>89</v>
      </c>
      <c r="J76" s="63" t="s">
        <v>90</v>
      </c>
      <c r="K76" s="63" t="s">
        <v>91</v>
      </c>
    </row>
    <row r="77" spans="1:19" x14ac:dyDescent="0.25">
      <c r="A77" s="153"/>
      <c r="B77" s="64" t="e">
        <f>VLOOKUP(C77,B83:E89,4,FALSE)</f>
        <v>#N/A</v>
      </c>
      <c r="C77" s="154" t="e">
        <f>VLOOKUP(C78,B83:D89,1,TRUE)</f>
        <v>#N/A</v>
      </c>
      <c r="D77" s="155" t="e">
        <f>VLOOKUP(C77,B83:D89,2,FALSE)</f>
        <v>#N/A</v>
      </c>
      <c r="E77" s="155" t="e">
        <f>VLOOKUP(C77,B83:D89,3,FALSE)</f>
        <v>#N/A</v>
      </c>
      <c r="G77" s="153"/>
      <c r="H77" s="64">
        <f>VLOOKUP(I77,H83:K90,4,FALSE)</f>
        <v>2</v>
      </c>
      <c r="I77" s="154">
        <f>VLOOKUP(I78,H83:J90,1,TRUE)</f>
        <v>-1.7000000000000001E-2</v>
      </c>
      <c r="J77" s="155">
        <f>VLOOKUP(I77,H83:J90,2,FALSE)</f>
        <v>-3.0000000000000001E-3</v>
      </c>
      <c r="K77" s="155">
        <f>VLOOKUP(I77,H83:J90,3,FALSE)</f>
        <v>0.02</v>
      </c>
    </row>
    <row r="78" spans="1:19" x14ac:dyDescent="0.25">
      <c r="A78" s="153"/>
      <c r="B78" s="154"/>
      <c r="C78" s="65" t="str">
        <f>B59</f>
        <v>0</v>
      </c>
      <c r="D78" s="156" t="e">
        <f>(D79-D77)/(C79-C77)*(C78-C77)+D77</f>
        <v>#N/A</v>
      </c>
      <c r="E78" s="156" t="e">
        <f>(E79-E77)/(C79-C77)*(C78-C77)+E77</f>
        <v>#N/A</v>
      </c>
      <c r="G78" s="153"/>
      <c r="H78" s="154"/>
      <c r="I78" s="65">
        <f>B15</f>
        <v>0</v>
      </c>
      <c r="J78" s="156">
        <f>(J79-J77)/(I79-I77)*(I78-I77)+J77</f>
        <v>-3.0006777498704303E-3</v>
      </c>
      <c r="K78" s="156">
        <f>(K79-K77)/(I79-I77)*(I78-I77)+K77</f>
        <v>0.02</v>
      </c>
    </row>
    <row r="79" spans="1:19" x14ac:dyDescent="0.25">
      <c r="A79" s="153"/>
      <c r="B79" s="64" t="e">
        <f>B77+1</f>
        <v>#N/A</v>
      </c>
      <c r="C79" s="154" t="e">
        <f>VLOOKUP(B77+1,A83:D89,2,FALSE)</f>
        <v>#N/A</v>
      </c>
      <c r="D79" s="155" t="e">
        <f>VLOOKUP(C79,B83:D89,2,FALSE)</f>
        <v>#N/A</v>
      </c>
      <c r="E79" s="155" t="e">
        <f>VLOOKUP(C79,B83:D89,3,FALSE)</f>
        <v>#N/A</v>
      </c>
      <c r="G79" s="153"/>
      <c r="H79" s="64">
        <f>H77+1</f>
        <v>3</v>
      </c>
      <c r="I79" s="154">
        <f>VLOOKUP(H77+1,G83:J90,2,FALSE)</f>
        <v>25.065999999999999</v>
      </c>
      <c r="J79" s="155">
        <f>VLOOKUP(I79,H83:J90,2,FALSE)</f>
        <v>-4.0000000000000001E-3</v>
      </c>
      <c r="K79" s="155">
        <f>VLOOKUP(I79,H83:J90,3,FALSE)</f>
        <v>0.02</v>
      </c>
    </row>
    <row r="80" spans="1:19" x14ac:dyDescent="0.25">
      <c r="A80" s="153"/>
      <c r="B80" s="153"/>
      <c r="C80" s="153"/>
      <c r="D80" s="153"/>
      <c r="E80" s="153"/>
      <c r="G80" s="153"/>
      <c r="H80" s="153"/>
      <c r="I80" s="153"/>
      <c r="J80" s="153"/>
      <c r="K80" s="153"/>
    </row>
    <row r="81" spans="1:23" x14ac:dyDescent="0.25">
      <c r="A81" s="153"/>
      <c r="B81" s="384" t="s">
        <v>156</v>
      </c>
      <c r="C81" s="384"/>
      <c r="D81" s="384"/>
      <c r="E81" s="194"/>
      <c r="G81" s="153"/>
      <c r="H81" s="384" t="s">
        <v>155</v>
      </c>
      <c r="I81" s="384"/>
      <c r="J81" s="384"/>
      <c r="K81" s="194"/>
    </row>
    <row r="82" spans="1:23" ht="26.4" x14ac:dyDescent="0.25">
      <c r="A82" s="66"/>
      <c r="B82" s="67" t="s">
        <v>89</v>
      </c>
      <c r="C82" s="67" t="s">
        <v>90</v>
      </c>
      <c r="D82" s="67" t="s">
        <v>92</v>
      </c>
      <c r="E82" s="66"/>
      <c r="G82" s="66"/>
      <c r="H82" s="127" t="s">
        <v>89</v>
      </c>
      <c r="I82" s="127" t="s">
        <v>90</v>
      </c>
      <c r="J82" s="127" t="s">
        <v>172</v>
      </c>
      <c r="K82" s="66"/>
    </row>
    <row r="83" spans="1:23" x14ac:dyDescent="0.25">
      <c r="A83" s="68">
        <v>1</v>
      </c>
      <c r="B83" s="69">
        <v>-29.67</v>
      </c>
      <c r="C83" s="69">
        <v>-0.34</v>
      </c>
      <c r="D83" s="70">
        <v>0.01</v>
      </c>
      <c r="E83" s="68">
        <v>1</v>
      </c>
      <c r="G83" s="68">
        <v>1</v>
      </c>
      <c r="H83" s="126">
        <v>-30.047999999999998</v>
      </c>
      <c r="I83" s="126">
        <v>-2.1000000000000001E-2</v>
      </c>
      <c r="J83" s="126">
        <v>2.3E-2</v>
      </c>
      <c r="K83" s="68">
        <v>1</v>
      </c>
    </row>
    <row r="84" spans="1:23" x14ac:dyDescent="0.25">
      <c r="A84" s="68">
        <v>2</v>
      </c>
      <c r="B84" s="69">
        <v>-0.16</v>
      </c>
      <c r="C84" s="69">
        <v>0.16</v>
      </c>
      <c r="D84" s="70">
        <v>1.0999999999999999E-2</v>
      </c>
      <c r="E84" s="68">
        <v>2</v>
      </c>
      <c r="G84" s="68">
        <v>2</v>
      </c>
      <c r="H84" s="126">
        <v>-1.7000000000000001E-2</v>
      </c>
      <c r="I84" s="126">
        <v>-3.0000000000000001E-3</v>
      </c>
      <c r="J84" s="126">
        <v>0.02</v>
      </c>
      <c r="K84" s="68">
        <v>2</v>
      </c>
    </row>
    <row r="85" spans="1:23" x14ac:dyDescent="0.25">
      <c r="A85" s="68">
        <v>3</v>
      </c>
      <c r="B85" s="69">
        <v>10.23</v>
      </c>
      <c r="C85" s="69">
        <v>-0.23</v>
      </c>
      <c r="D85" s="70">
        <v>1.6E-2</v>
      </c>
      <c r="E85" s="68">
        <v>3</v>
      </c>
      <c r="G85" s="68">
        <v>3</v>
      </c>
      <c r="H85" s="126">
        <v>25.065999999999999</v>
      </c>
      <c r="I85" s="126">
        <v>-4.0000000000000001E-3</v>
      </c>
      <c r="J85" s="126">
        <v>0.02</v>
      </c>
      <c r="K85" s="68">
        <v>3</v>
      </c>
    </row>
    <row r="86" spans="1:23" x14ac:dyDescent="0.25">
      <c r="A86" s="68">
        <v>4</v>
      </c>
      <c r="B86" s="69">
        <v>50.15</v>
      </c>
      <c r="C86" s="69">
        <v>-0.14000000000000001</v>
      </c>
      <c r="D86" s="70">
        <v>1.6E-2</v>
      </c>
      <c r="E86" s="68">
        <v>4</v>
      </c>
      <c r="G86" s="68">
        <v>4</v>
      </c>
      <c r="H86" s="126">
        <v>50.000999999999998</v>
      </c>
      <c r="I86" s="126">
        <v>-0.01</v>
      </c>
      <c r="J86" s="126">
        <v>0.02</v>
      </c>
      <c r="K86" s="68">
        <v>4</v>
      </c>
    </row>
    <row r="87" spans="1:23" x14ac:dyDescent="0.25">
      <c r="A87" s="68">
        <v>5</v>
      </c>
      <c r="B87" s="69">
        <v>100.13</v>
      </c>
      <c r="C87" s="69">
        <v>-0.04</v>
      </c>
      <c r="D87" s="70">
        <v>1.9E-2</v>
      </c>
      <c r="E87" s="68">
        <v>5</v>
      </c>
      <c r="G87" s="68">
        <v>5</v>
      </c>
      <c r="H87" s="126">
        <v>99.995000000000005</v>
      </c>
      <c r="I87" s="126">
        <v>-4.0000000000000001E-3</v>
      </c>
      <c r="J87" s="126">
        <v>0.02</v>
      </c>
      <c r="K87" s="68">
        <v>5</v>
      </c>
    </row>
    <row r="88" spans="1:23" x14ac:dyDescent="0.25">
      <c r="A88" s="68">
        <v>6</v>
      </c>
      <c r="B88" s="69"/>
      <c r="C88" s="69"/>
      <c r="D88" s="70"/>
      <c r="E88" s="68">
        <v>6</v>
      </c>
      <c r="G88" s="68">
        <v>6</v>
      </c>
      <c r="H88" s="126">
        <v>150.16800000000001</v>
      </c>
      <c r="I88" s="126">
        <v>0</v>
      </c>
      <c r="J88" s="126">
        <v>2.5999999999999999E-2</v>
      </c>
      <c r="K88" s="68">
        <v>6</v>
      </c>
    </row>
    <row r="89" spans="1:23" x14ac:dyDescent="0.25">
      <c r="A89" s="68">
        <v>7</v>
      </c>
      <c r="B89" s="69"/>
      <c r="C89" s="69"/>
      <c r="D89" s="70"/>
      <c r="E89" s="68">
        <v>7</v>
      </c>
      <c r="G89" s="68">
        <v>7</v>
      </c>
      <c r="H89" s="126">
        <v>200.14400000000001</v>
      </c>
      <c r="I89" s="126">
        <v>-5.0000000000000001E-3</v>
      </c>
      <c r="J89" s="126">
        <v>2.5999999999999999E-2</v>
      </c>
      <c r="K89" s="68">
        <v>7</v>
      </c>
    </row>
    <row r="90" spans="1:23" x14ac:dyDescent="0.25">
      <c r="G90" s="198">
        <v>8</v>
      </c>
      <c r="H90" s="150">
        <v>250.02799999999999</v>
      </c>
      <c r="I90" s="150">
        <v>-1.6E-2</v>
      </c>
      <c r="J90" s="151">
        <v>2.5999999999999999E-2</v>
      </c>
      <c r="K90" s="198">
        <v>8</v>
      </c>
    </row>
    <row r="95" spans="1:23" ht="13.8" thickBot="1" x14ac:dyDescent="0.3"/>
    <row r="96" spans="1:23" ht="13.8" thickBot="1" x14ac:dyDescent="0.3">
      <c r="B96" s="377" t="s">
        <v>205</v>
      </c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9"/>
    </row>
    <row r="97" spans="2:23" x14ac:dyDescent="0.25">
      <c r="B97" s="201" t="s">
        <v>206</v>
      </c>
      <c r="C97" s="202">
        <v>1</v>
      </c>
      <c r="D97" s="202">
        <v>2</v>
      </c>
      <c r="E97" s="202">
        <v>3</v>
      </c>
      <c r="F97" s="202">
        <v>4</v>
      </c>
      <c r="G97" s="202">
        <v>5</v>
      </c>
      <c r="H97" s="202">
        <v>6</v>
      </c>
      <c r="I97" s="202">
        <v>7</v>
      </c>
      <c r="J97" s="202">
        <v>8</v>
      </c>
      <c r="K97" s="202">
        <v>9</v>
      </c>
      <c r="L97" s="202">
        <v>10</v>
      </c>
      <c r="M97" s="202">
        <v>11</v>
      </c>
      <c r="N97" s="202">
        <v>12</v>
      </c>
      <c r="O97" s="202">
        <v>13</v>
      </c>
      <c r="P97" s="202">
        <v>14</v>
      </c>
      <c r="Q97" s="202">
        <v>15</v>
      </c>
      <c r="R97" s="202">
        <v>16</v>
      </c>
      <c r="S97" s="202">
        <v>17</v>
      </c>
      <c r="T97" s="202">
        <v>18</v>
      </c>
      <c r="U97" s="202">
        <v>19</v>
      </c>
      <c r="V97" s="202">
        <v>20</v>
      </c>
      <c r="W97" s="157" t="s">
        <v>96</v>
      </c>
    </row>
    <row r="98" spans="2:23" ht="13.8" thickBot="1" x14ac:dyDescent="0.3">
      <c r="B98" s="74" t="s">
        <v>98</v>
      </c>
      <c r="C98" s="203">
        <v>13.97</v>
      </c>
      <c r="D98" s="203">
        <v>4.53</v>
      </c>
      <c r="E98" s="203">
        <v>3.31</v>
      </c>
      <c r="F98" s="203">
        <v>2.87</v>
      </c>
      <c r="G98" s="203">
        <v>2.65</v>
      </c>
      <c r="H98" s="203">
        <v>2.52</v>
      </c>
      <c r="I98" s="203">
        <v>2.4300000000000002</v>
      </c>
      <c r="J98" s="203">
        <v>2.37</v>
      </c>
      <c r="K98" s="203">
        <v>2.3199999999999998</v>
      </c>
      <c r="L98" s="203">
        <v>2.2799999999999998</v>
      </c>
      <c r="M98" s="203">
        <v>2.25</v>
      </c>
      <c r="N98" s="203">
        <v>2.23</v>
      </c>
      <c r="O98" s="203">
        <v>2.21</v>
      </c>
      <c r="P98" s="203">
        <v>2.2000000000000002</v>
      </c>
      <c r="Q98" s="203">
        <v>2.1800000000000002</v>
      </c>
      <c r="R98" s="203">
        <v>2.17</v>
      </c>
      <c r="S98" s="203">
        <v>2.16</v>
      </c>
      <c r="T98" s="203">
        <v>2.15</v>
      </c>
      <c r="U98" s="203">
        <v>2.14</v>
      </c>
      <c r="V98" s="203">
        <v>2.13</v>
      </c>
      <c r="W98" s="204">
        <v>2</v>
      </c>
    </row>
    <row r="101" spans="2:23" x14ac:dyDescent="0.25">
      <c r="B101" s="355" t="s">
        <v>107</v>
      </c>
      <c r="C101" s="355" t="s">
        <v>108</v>
      </c>
      <c r="D101" s="355" t="s">
        <v>109</v>
      </c>
      <c r="E101" s="355" t="s">
        <v>110</v>
      </c>
      <c r="F101" s="355" t="s">
        <v>111</v>
      </c>
      <c r="G101" s="355" t="s">
        <v>207</v>
      </c>
      <c r="H101" s="355" t="s">
        <v>112</v>
      </c>
      <c r="I101" s="355" t="s">
        <v>208</v>
      </c>
      <c r="J101" s="355" t="s">
        <v>209</v>
      </c>
      <c r="K101" s="355" t="s">
        <v>186</v>
      </c>
    </row>
    <row r="102" spans="2:23" x14ac:dyDescent="0.25"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</row>
    <row r="103" spans="2:23" ht="29.25" customHeight="1" x14ac:dyDescent="0.25">
      <c r="B103" s="205" t="s">
        <v>113</v>
      </c>
      <c r="C103" s="206" t="s">
        <v>184</v>
      </c>
      <c r="D103" s="205" t="s">
        <v>114</v>
      </c>
      <c r="E103" s="177" t="s">
        <v>115</v>
      </c>
      <c r="F103" s="207" t="s">
        <v>210</v>
      </c>
      <c r="G103" s="208">
        <f>IF(D44="X",(DATOS!P18*0.1)/2,0)</f>
        <v>0</v>
      </c>
      <c r="H103" s="177" t="s">
        <v>116</v>
      </c>
      <c r="I103" s="208">
        <f>I51*I52</f>
        <v>0</v>
      </c>
      <c r="J103" s="193">
        <f>G103*I103</f>
        <v>0</v>
      </c>
      <c r="K103" s="78">
        <v>12</v>
      </c>
    </row>
    <row r="104" spans="2:23" ht="30" customHeight="1" x14ac:dyDescent="0.25">
      <c r="B104" s="209" t="s">
        <v>117</v>
      </c>
      <c r="C104" s="210" t="s">
        <v>211</v>
      </c>
      <c r="D104" s="144" t="s">
        <v>118</v>
      </c>
      <c r="E104" s="144" t="s">
        <v>118</v>
      </c>
      <c r="F104" s="144" t="s">
        <v>118</v>
      </c>
      <c r="G104" s="211">
        <f>IF(D44="X",     J116,0)</f>
        <v>0</v>
      </c>
      <c r="H104" s="212" t="s">
        <v>36</v>
      </c>
      <c r="I104" s="213">
        <f>I50*I52</f>
        <v>0</v>
      </c>
      <c r="J104" s="50">
        <f>G104*I104</f>
        <v>0</v>
      </c>
      <c r="K104" s="79" t="e">
        <f>K116</f>
        <v>#DIV/0!</v>
      </c>
    </row>
    <row r="105" spans="2:23" x14ac:dyDescent="0.25">
      <c r="B105" s="369" t="s">
        <v>119</v>
      </c>
      <c r="C105" s="371" t="s">
        <v>212</v>
      </c>
      <c r="D105" s="373" t="s">
        <v>118</v>
      </c>
      <c r="E105" s="373" t="s">
        <v>118</v>
      </c>
      <c r="F105" s="373" t="s">
        <v>118</v>
      </c>
      <c r="G105" s="363">
        <f>IF(D44="X",     J128,0)</f>
        <v>0</v>
      </c>
      <c r="H105" s="365" t="s">
        <v>36</v>
      </c>
      <c r="I105" s="363">
        <f>I50*I51</f>
        <v>0</v>
      </c>
      <c r="J105" s="363">
        <f>G105*I105</f>
        <v>0</v>
      </c>
      <c r="K105" s="367">
        <f>K128</f>
        <v>0</v>
      </c>
    </row>
    <row r="106" spans="2:23" x14ac:dyDescent="0.25">
      <c r="B106" s="370"/>
      <c r="C106" s="372"/>
      <c r="D106" s="374"/>
      <c r="E106" s="374"/>
      <c r="F106" s="374"/>
      <c r="G106" s="364"/>
      <c r="H106" s="366"/>
      <c r="I106" s="364"/>
      <c r="J106" s="364"/>
      <c r="K106" s="368"/>
    </row>
    <row r="107" spans="2:23" x14ac:dyDescent="0.25">
      <c r="B107" s="360" t="s">
        <v>84</v>
      </c>
      <c r="C107" s="361"/>
      <c r="D107" s="361"/>
      <c r="E107" s="361"/>
      <c r="F107" s="361"/>
      <c r="G107" s="361"/>
      <c r="H107" s="361"/>
      <c r="I107" s="362"/>
      <c r="J107" s="214">
        <f>SQRT(SUMSQ(J103:J106))</f>
        <v>0</v>
      </c>
      <c r="K107" s="81">
        <f>IF(D44="X",107^4/((J103^4/K103)+(J104^4/K104)+(J105^4/K105)),0)</f>
        <v>0</v>
      </c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2:23" x14ac:dyDescent="0.25">
      <c r="B110" s="355" t="s">
        <v>107</v>
      </c>
      <c r="C110" s="355" t="s">
        <v>108</v>
      </c>
      <c r="D110" s="355" t="s">
        <v>109</v>
      </c>
      <c r="E110" s="355" t="s">
        <v>110</v>
      </c>
      <c r="F110" s="355" t="s">
        <v>111</v>
      </c>
      <c r="G110" s="355" t="s">
        <v>207</v>
      </c>
      <c r="H110" s="355" t="s">
        <v>112</v>
      </c>
      <c r="I110" s="355" t="s">
        <v>208</v>
      </c>
      <c r="J110" s="355" t="s">
        <v>209</v>
      </c>
      <c r="K110" s="356" t="s">
        <v>186</v>
      </c>
    </row>
    <row r="111" spans="2:23" x14ac:dyDescent="0.25">
      <c r="B111" s="355"/>
      <c r="C111" s="355"/>
      <c r="D111" s="355"/>
      <c r="E111" s="355"/>
      <c r="F111" s="355"/>
      <c r="G111" s="355"/>
      <c r="H111" s="355"/>
      <c r="I111" s="355"/>
      <c r="J111" s="355"/>
      <c r="K111" s="357"/>
    </row>
    <row r="112" spans="2:23" x14ac:dyDescent="0.25">
      <c r="B112" s="350" t="s">
        <v>117</v>
      </c>
      <c r="C112" s="358" t="s">
        <v>211</v>
      </c>
      <c r="D112" s="215" t="s">
        <v>120</v>
      </c>
      <c r="E112" s="216" t="s">
        <v>121</v>
      </c>
      <c r="F112" s="217" t="s">
        <v>213</v>
      </c>
      <c r="G112" s="218">
        <f>IF(D44="X",C16/SQRT(COUNT(C5:C14)),0)</f>
        <v>0</v>
      </c>
      <c r="H112" s="219" t="s">
        <v>36</v>
      </c>
      <c r="I112" s="220">
        <v>1</v>
      </c>
      <c r="J112" s="221">
        <f>G112*I112</f>
        <v>0</v>
      </c>
      <c r="K112" s="177">
        <v>9</v>
      </c>
    </row>
    <row r="113" spans="2:11" ht="26.4" x14ac:dyDescent="0.25">
      <c r="B113" s="350"/>
      <c r="C113" s="358"/>
      <c r="D113" s="209" t="s">
        <v>158</v>
      </c>
      <c r="E113" s="144" t="s">
        <v>159</v>
      </c>
      <c r="F113" s="222" t="s">
        <v>214</v>
      </c>
      <c r="G113" s="211">
        <f>IF(D44="X",L59/2,0)</f>
        <v>0</v>
      </c>
      <c r="H113" s="212" t="s">
        <v>36</v>
      </c>
      <c r="I113" s="223">
        <v>1</v>
      </c>
      <c r="J113" s="50">
        <f>G113*I113</f>
        <v>0</v>
      </c>
      <c r="K113" s="144">
        <v>100</v>
      </c>
    </row>
    <row r="114" spans="2:11" ht="26.4" x14ac:dyDescent="0.25">
      <c r="B114" s="350"/>
      <c r="C114" s="358"/>
      <c r="D114" s="224" t="s">
        <v>160</v>
      </c>
      <c r="E114" s="177" t="s">
        <v>161</v>
      </c>
      <c r="F114" s="217" t="s">
        <v>215</v>
      </c>
      <c r="G114" s="208">
        <f>F32</f>
        <v>0</v>
      </c>
      <c r="H114" s="219" t="s">
        <v>36</v>
      </c>
      <c r="I114" s="225">
        <v>1</v>
      </c>
      <c r="J114" s="193">
        <f>G114*I114</f>
        <v>0</v>
      </c>
      <c r="K114" s="177">
        <v>100</v>
      </c>
    </row>
    <row r="115" spans="2:11" ht="26.4" x14ac:dyDescent="0.25">
      <c r="B115" s="350"/>
      <c r="C115" s="358"/>
      <c r="D115" s="209" t="s">
        <v>122</v>
      </c>
      <c r="E115" s="144" t="s">
        <v>123</v>
      </c>
      <c r="F115" s="222" t="s">
        <v>216</v>
      </c>
      <c r="G115" s="50">
        <f>IF(D44="X",((IF(DATOS!$S$5=1,DATOS!$C$14,IF(DATOS!$S$5=2,(5/9)*DATOS!C14,"Error"))))/SQRT(12),0)</f>
        <v>0</v>
      </c>
      <c r="H115" s="212" t="s">
        <v>36</v>
      </c>
      <c r="I115" s="223">
        <v>1</v>
      </c>
      <c r="J115" s="50">
        <f>G115*I115</f>
        <v>0</v>
      </c>
      <c r="K115" s="171">
        <v>100</v>
      </c>
    </row>
    <row r="116" spans="2:11" x14ac:dyDescent="0.25">
      <c r="B116" s="359" t="s">
        <v>84</v>
      </c>
      <c r="C116" s="359"/>
      <c r="D116" s="359"/>
      <c r="E116" s="359"/>
      <c r="F116" s="359"/>
      <c r="G116" s="359"/>
      <c r="H116" s="359"/>
      <c r="I116" s="359"/>
      <c r="J116" s="226">
        <f>SQRT(SUMSQ(J112:J115))</f>
        <v>0</v>
      </c>
      <c r="K116" s="227" t="e">
        <f>J116^4/((J112^4/K112)+(J113^4/K113)+(J114^4/K114)+(J115^4/K115))</f>
        <v>#DIV/0!</v>
      </c>
    </row>
    <row r="117" spans="2:1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228"/>
    </row>
    <row r="118" spans="2:11" ht="15.75" customHeight="1" x14ac:dyDescent="0.25">
      <c r="B118" s="355" t="s">
        <v>107</v>
      </c>
      <c r="C118" s="355" t="s">
        <v>108</v>
      </c>
      <c r="D118" s="355" t="s">
        <v>109</v>
      </c>
      <c r="E118" s="355" t="s">
        <v>110</v>
      </c>
      <c r="F118" s="355" t="s">
        <v>111</v>
      </c>
      <c r="G118" s="355" t="s">
        <v>207</v>
      </c>
      <c r="H118" s="355" t="s">
        <v>112</v>
      </c>
      <c r="I118" s="355" t="s">
        <v>208</v>
      </c>
      <c r="J118" s="355" t="s">
        <v>209</v>
      </c>
      <c r="K118" s="355" t="s">
        <v>186</v>
      </c>
    </row>
    <row r="119" spans="2:11" x14ac:dyDescent="0.25"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</row>
    <row r="120" spans="2:11" ht="26.4" x14ac:dyDescent="0.25">
      <c r="B120" s="350" t="s">
        <v>124</v>
      </c>
      <c r="C120" s="351" t="s">
        <v>212</v>
      </c>
      <c r="D120" s="224" t="s">
        <v>151</v>
      </c>
      <c r="E120" s="177" t="s">
        <v>115</v>
      </c>
      <c r="F120" s="207" t="s">
        <v>214</v>
      </c>
      <c r="G120" s="193">
        <f>IF(D44="X",K78/2,0)</f>
        <v>0</v>
      </c>
      <c r="H120" s="229" t="s">
        <v>36</v>
      </c>
      <c r="I120" s="230">
        <v>1</v>
      </c>
      <c r="J120" s="193">
        <f t="shared" ref="J120:J127" si="4">G120*I120</f>
        <v>0</v>
      </c>
      <c r="K120" s="177">
        <v>100</v>
      </c>
    </row>
    <row r="121" spans="2:11" ht="39.6" x14ac:dyDescent="0.25">
      <c r="B121" s="350"/>
      <c r="C121" s="351"/>
      <c r="D121" s="209" t="s">
        <v>152</v>
      </c>
      <c r="E121" s="144" t="s">
        <v>115</v>
      </c>
      <c r="F121" s="222" t="s">
        <v>214</v>
      </c>
      <c r="G121" s="50">
        <f>IF(D44="X",E78/2,0)</f>
        <v>0</v>
      </c>
      <c r="H121" s="212" t="s">
        <v>36</v>
      </c>
      <c r="I121" s="231">
        <v>1</v>
      </c>
      <c r="J121" s="50">
        <f t="shared" si="4"/>
        <v>0</v>
      </c>
      <c r="K121" s="171">
        <v>100</v>
      </c>
    </row>
    <row r="122" spans="2:11" ht="26.4" x14ac:dyDescent="0.25">
      <c r="B122" s="350"/>
      <c r="C122" s="351"/>
      <c r="D122" s="209" t="s">
        <v>153</v>
      </c>
      <c r="E122" s="177" t="s">
        <v>123</v>
      </c>
      <c r="F122" s="207" t="s">
        <v>216</v>
      </c>
      <c r="G122" s="193">
        <f>IF(D44="X",DATOS!C14/SQRT(12),0)</f>
        <v>0</v>
      </c>
      <c r="H122" s="229" t="s">
        <v>36</v>
      </c>
      <c r="I122" s="231">
        <v>1</v>
      </c>
      <c r="J122" s="193">
        <f t="shared" si="4"/>
        <v>0</v>
      </c>
      <c r="K122" s="163">
        <v>100</v>
      </c>
    </row>
    <row r="123" spans="2:11" ht="26.4" x14ac:dyDescent="0.25">
      <c r="B123" s="350"/>
      <c r="C123" s="351"/>
      <c r="D123" s="209" t="s">
        <v>154</v>
      </c>
      <c r="E123" s="144" t="s">
        <v>123</v>
      </c>
      <c r="F123" s="222" t="s">
        <v>216</v>
      </c>
      <c r="G123" s="50">
        <f>IF(D44="X",B65/SQRT(12),0)</f>
        <v>0</v>
      </c>
      <c r="H123" s="212" t="s">
        <v>36</v>
      </c>
      <c r="I123" s="231">
        <v>1</v>
      </c>
      <c r="J123" s="50">
        <f t="shared" si="4"/>
        <v>0</v>
      </c>
      <c r="K123" s="171">
        <v>100</v>
      </c>
    </row>
    <row r="124" spans="2:11" ht="26.4" x14ac:dyDescent="0.25">
      <c r="B124" s="350"/>
      <c r="C124" s="351"/>
      <c r="D124" s="224" t="s">
        <v>162</v>
      </c>
      <c r="E124" s="177" t="s">
        <v>165</v>
      </c>
      <c r="F124" s="207" t="s">
        <v>217</v>
      </c>
      <c r="G124" s="193">
        <f>IF(D48="X",K78/SQRT(3),0)</f>
        <v>0</v>
      </c>
      <c r="H124" s="229" t="s">
        <v>36</v>
      </c>
      <c r="I124" s="230">
        <v>1</v>
      </c>
      <c r="J124" s="193">
        <f t="shared" ref="J124:J125" si="5">G124*I124</f>
        <v>0</v>
      </c>
      <c r="K124" s="177">
        <v>100</v>
      </c>
    </row>
    <row r="125" spans="2:11" ht="52.8" x14ac:dyDescent="0.25">
      <c r="B125" s="350"/>
      <c r="C125" s="351"/>
      <c r="D125" s="209" t="s">
        <v>163</v>
      </c>
      <c r="E125" s="144" t="s">
        <v>165</v>
      </c>
      <c r="F125" s="222" t="s">
        <v>164</v>
      </c>
      <c r="G125" s="50">
        <f>IF(D48="X",E78/SQRT(3),0)</f>
        <v>0</v>
      </c>
      <c r="H125" s="212" t="s">
        <v>36</v>
      </c>
      <c r="I125" s="231">
        <v>1</v>
      </c>
      <c r="J125" s="50">
        <f t="shared" si="5"/>
        <v>0</v>
      </c>
      <c r="K125" s="171">
        <v>100</v>
      </c>
    </row>
    <row r="126" spans="2:11" x14ac:dyDescent="0.25">
      <c r="B126" s="350"/>
      <c r="C126" s="351"/>
      <c r="D126" s="205" t="s">
        <v>125</v>
      </c>
      <c r="E126" s="142" t="s">
        <v>121</v>
      </c>
      <c r="F126" s="207" t="s">
        <v>218</v>
      </c>
      <c r="G126" s="193">
        <f>IF(D44="X",E78/2,0)</f>
        <v>0</v>
      </c>
      <c r="H126" s="229" t="s">
        <v>36</v>
      </c>
      <c r="I126" s="230">
        <v>1</v>
      </c>
      <c r="J126" s="193">
        <f t="shared" si="4"/>
        <v>0</v>
      </c>
      <c r="K126" s="177">
        <v>9</v>
      </c>
    </row>
    <row r="127" spans="2:11" ht="26.4" x14ac:dyDescent="0.25">
      <c r="B127" s="350"/>
      <c r="C127" s="351"/>
      <c r="D127" s="232" t="s">
        <v>126</v>
      </c>
      <c r="E127" s="80" t="s">
        <v>121</v>
      </c>
      <c r="F127" s="222" t="s">
        <v>218</v>
      </c>
      <c r="G127" s="50">
        <f>IF(D44="X",B60/SQRT(COUNT(B49:B58)),0)</f>
        <v>0</v>
      </c>
      <c r="H127" s="212" t="s">
        <v>36</v>
      </c>
      <c r="I127" s="231">
        <v>1</v>
      </c>
      <c r="J127" s="50">
        <f t="shared" si="4"/>
        <v>0</v>
      </c>
      <c r="K127" s="171">
        <v>9</v>
      </c>
    </row>
    <row r="128" spans="2:11" x14ac:dyDescent="0.25">
      <c r="B128" s="352" t="s">
        <v>84</v>
      </c>
      <c r="C128" s="353"/>
      <c r="D128" s="353"/>
      <c r="E128" s="353"/>
      <c r="F128" s="353"/>
      <c r="G128" s="353"/>
      <c r="H128" s="353"/>
      <c r="I128" s="354"/>
      <c r="J128" s="226">
        <f>SQRT(SUMSQ(J120:J127))</f>
        <v>0</v>
      </c>
      <c r="K128" s="233">
        <f>IF(D44="X",J128^4/((J120^4/K120)+(J121^4/K121)+(J122^4/K122)+(J123^4/K123)+(J124^4/K124)+(J125^4/K125)+(J126^4/K126)+(J127^4/K127)),0)</f>
        <v>0</v>
      </c>
    </row>
    <row r="129" spans="11:11" x14ac:dyDescent="0.25">
      <c r="K129" s="145"/>
    </row>
    <row r="130" spans="11:11" x14ac:dyDescent="0.25">
      <c r="K130" s="145"/>
    </row>
    <row r="131" spans="11:11" x14ac:dyDescent="0.25">
      <c r="K131" s="145"/>
    </row>
  </sheetData>
  <sheetProtection algorithmName="SHA-512" hashValue="h8IaGNB11fkYYQZCgZE/hI/yNb6ayhgS29enBBxaMp4y9J+StciGiYlVLRKAm08gltg8kvsrPHP614GP4a8uIg==" saltValue="r5YxT31la8Rd3ddC9z/lbA==" spinCount="100000" sheet="1" objects="1" scenarios="1"/>
  <mergeCells count="70">
    <mergeCell ref="A44:C44"/>
    <mergeCell ref="A1:C1"/>
    <mergeCell ref="F1:H1"/>
    <mergeCell ref="F2:F3"/>
    <mergeCell ref="K2:L2"/>
    <mergeCell ref="A3:A4"/>
    <mergeCell ref="K3:L3"/>
    <mergeCell ref="A35:H35"/>
    <mergeCell ref="A36:H36"/>
    <mergeCell ref="I36:K36"/>
    <mergeCell ref="A37:H37"/>
    <mergeCell ref="I37:K37"/>
    <mergeCell ref="A45:D45"/>
    <mergeCell ref="H47:J47"/>
    <mergeCell ref="K49:L49"/>
    <mergeCell ref="H53:J53"/>
    <mergeCell ref="B75:E75"/>
    <mergeCell ref="H75:K75"/>
    <mergeCell ref="H56:M56"/>
    <mergeCell ref="I62:K62"/>
    <mergeCell ref="B81:D81"/>
    <mergeCell ref="H81:J81"/>
    <mergeCell ref="B96:W96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B107:I107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12:B115"/>
    <mergeCell ref="C112:C115"/>
    <mergeCell ref="B116:I116"/>
    <mergeCell ref="J118:J119"/>
    <mergeCell ref="K118:K119"/>
    <mergeCell ref="B118:B119"/>
    <mergeCell ref="C118:C119"/>
    <mergeCell ref="D118:D119"/>
    <mergeCell ref="E118:E119"/>
    <mergeCell ref="F118:F119"/>
    <mergeCell ref="B120:B127"/>
    <mergeCell ref="C120:C127"/>
    <mergeCell ref="B128:I128"/>
    <mergeCell ref="G118:G119"/>
    <mergeCell ref="H118:H119"/>
    <mergeCell ref="I118:I11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3" r:id="rId3" name="Drop Down 7">
              <controlPr defaultSize="0" autoLine="0" autoPict="0">
                <anchor moveWithCells="1">
                  <from>
                    <xdr:col>3</xdr:col>
                    <xdr:colOff>708660</xdr:colOff>
                    <xdr:row>63</xdr:row>
                    <xdr:rowOff>68580</xdr:rowOff>
                  </from>
                  <to>
                    <xdr:col>5</xdr:col>
                    <xdr:colOff>7620</xdr:colOff>
                    <xdr:row>65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DATOS</vt:lpstr>
      <vt:lpstr>punto 1</vt:lpstr>
      <vt:lpstr>punto 2</vt:lpstr>
      <vt:lpstr>punto 3</vt:lpstr>
      <vt:lpstr>punto 4</vt:lpstr>
      <vt:lpstr>punto 5</vt:lpstr>
      <vt:lpstr>punto 6</vt:lpstr>
      <vt:lpstr>punto 7</vt:lpstr>
      <vt:lpstr>punto 8</vt:lpstr>
      <vt:lpstr>punto 9</vt:lpstr>
      <vt:lpstr>punto 10</vt:lpstr>
      <vt:lpstr>RESULTADOS</vt:lpstr>
      <vt:lpstr>Datos Etiquetas</vt:lpstr>
      <vt:lpstr>DA °C (5 ptos)</vt:lpstr>
      <vt:lpstr>Trazabilidad</vt:lpstr>
      <vt:lpstr>Base de datos de los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Reyes</dc:creator>
  <cp:lastModifiedBy>FRANCISCO JAVIER GARCIA CALIX</cp:lastModifiedBy>
  <cp:lastPrinted>2019-12-27T22:25:13Z</cp:lastPrinted>
  <dcterms:created xsi:type="dcterms:W3CDTF">2019-03-12T13:53:25Z</dcterms:created>
  <dcterms:modified xsi:type="dcterms:W3CDTF">2024-06-06T00:31:27Z</dcterms:modified>
</cp:coreProperties>
</file>