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 showInkAnnotation="0" updateLinks="never" hidePivotFieldList="1"/>
  <xr:revisionPtr revIDLastSave="0" documentId="13_ncr:1_{11CBA63D-C605-430C-A2F6-9EF0F9B66B4D}" xr6:coauthVersionLast="47" xr6:coauthVersionMax="47" xr10:uidLastSave="{00000000-0000-0000-0000-000000000000}"/>
  <bookViews>
    <workbookView xWindow="-108" yWindow="-108" windowWidth="23256" windowHeight="12456" tabRatio="873" activeTab="4" xr2:uid="{00000000-000D-0000-FFFF-FFFF00000000}"/>
  </bookViews>
  <sheets>
    <sheet name="datos" sheetId="56" r:id="rId1"/>
    <sheet name="DA Individual (g-mg)" sheetId="62" r:id="rId2"/>
    <sheet name="CMC's" sheetId="66" r:id="rId3"/>
    <sheet name="Salida de datos" sheetId="58" r:id="rId4"/>
    <sheet name="1 g" sheetId="17" r:id="rId5"/>
    <sheet name="2 g" sheetId="37" r:id="rId6"/>
    <sheet name="2 g." sheetId="38" r:id="rId7"/>
    <sheet name="5 g" sheetId="39" r:id="rId8"/>
    <sheet name="10 g" sheetId="40" r:id="rId9"/>
    <sheet name="20 g" sheetId="41" r:id="rId10"/>
    <sheet name="20 g," sheetId="42" r:id="rId11"/>
    <sheet name="50 g" sheetId="43" r:id="rId12"/>
    <sheet name="100 g" sheetId="44" r:id="rId13"/>
    <sheet name="200 g" sheetId="45" r:id="rId14"/>
    <sheet name="200 g." sheetId="46" r:id="rId15"/>
    <sheet name="500 g" sheetId="47" r:id="rId16"/>
    <sheet name="1 kg" sheetId="48" r:id="rId17"/>
    <sheet name="2 kg" sheetId="49" r:id="rId18"/>
    <sheet name="2 kg." sheetId="50" r:id="rId19"/>
    <sheet name="5 kg" sheetId="51" r:id="rId20"/>
    <sheet name="10 kg" sheetId="52" r:id="rId21"/>
    <sheet name="20 kg" sheetId="53" r:id="rId22"/>
    <sheet name="20 kg." sheetId="54" r:id="rId23"/>
    <sheet name="50 kg" sheetId="55" r:id="rId24"/>
    <sheet name="Etiqueta" sheetId="64" r:id="rId25"/>
    <sheet name="FA Individual (g-mg)" sheetId="63" r:id="rId26"/>
    <sheet name="Datos Clientes" sheetId="59" r:id="rId27"/>
    <sheet name="Trazabilidad" sheetId="65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BalanzaCode" localSheetId="24">[1]General!$F$6</definedName>
    <definedName name="BalanzaCode">[2]General!$F$6</definedName>
    <definedName name="BalanzaMarca" localSheetId="24">[1]General!$F$8</definedName>
    <definedName name="BalanzaMarca">[2]General!$F$8</definedName>
    <definedName name="BalanzaModelo" localSheetId="24">[1]General!$F$9</definedName>
    <definedName name="BalanzaModelo">[2]General!$F$9</definedName>
    <definedName name="BalanzaRango1" localSheetId="24">[1]General!$F$12</definedName>
    <definedName name="BalanzaRango1">[2]General!$F$12</definedName>
    <definedName name="BalanzaResol1" localSheetId="24">[1]General!$F$14</definedName>
    <definedName name="BalanzaResol1">[2]General!$F$14</definedName>
    <definedName name="BalanzaSerie" localSheetId="24">[1]General!$F$10</definedName>
    <definedName name="BalanzaSerie">[2]General!$F$10</definedName>
    <definedName name="BalanzaTipo" localSheetId="24">[1]General!$F$7</definedName>
    <definedName name="BalanzaTipo">[2]General!$F$7</definedName>
    <definedName name="CertCode" localSheetId="24">[1]General!$F$4</definedName>
    <definedName name="CertCode" localSheetId="25">#REF!</definedName>
    <definedName name="CertCode">#REF!</definedName>
    <definedName name="CertDate" localSheetId="24">[1]General!$F$5</definedName>
    <definedName name="CertDate" localSheetId="25">#REF!</definedName>
    <definedName name="CertDate">#REF!</definedName>
    <definedName name="CertHR" localSheetId="24">[1]General!$I$13</definedName>
    <definedName name="CertHR" localSheetId="25">#REF!</definedName>
    <definedName name="CertHR">#REF!</definedName>
    <definedName name="CertHRIncerti" localSheetId="24">[1]General!$I$14</definedName>
    <definedName name="CertHRIncerti" localSheetId="25">#REF!</definedName>
    <definedName name="CertHRIncerti">#REF!</definedName>
    <definedName name="Certific">[2]General!$L$5</definedName>
    <definedName name="CertNum" localSheetId="24">[1]General!$F$3</definedName>
    <definedName name="CertNum" localSheetId="25">#REF!</definedName>
    <definedName name="CertNum">#REF!</definedName>
    <definedName name="CertPres" localSheetId="24">[1]General!$I$18</definedName>
    <definedName name="CertPres" localSheetId="25">#REF!</definedName>
    <definedName name="CertPres">#REF!</definedName>
    <definedName name="CertPresIncert" localSheetId="24">[1]General!$I$19</definedName>
    <definedName name="CertPresIncert" localSheetId="25">#REF!</definedName>
    <definedName name="CertPresIncert">#REF!</definedName>
    <definedName name="CertTempC" localSheetId="24">[1]General!$I$8</definedName>
    <definedName name="CertTempC" localSheetId="25">#REF!</definedName>
    <definedName name="CertTempC">#REF!</definedName>
    <definedName name="CertTempIncerti" localSheetId="24">[1]General!$I$9</definedName>
    <definedName name="CertTempIncerti" localSheetId="25">#REF!</definedName>
    <definedName name="CertTempIncerti">#REF!</definedName>
    <definedName name="cl" localSheetId="24">#REF!</definedName>
    <definedName name="cl" localSheetId="25">#REF!</definedName>
    <definedName name="cl">#REF!</definedName>
    <definedName name="Clases" localSheetId="1">'[3]Entrada de datos'!$AB$10:$AB$59</definedName>
    <definedName name="Clases" localSheetId="25">'[3]Entrada de datos'!$AB$10:$AB$59</definedName>
    <definedName name="Clases">datos!$AB$10:$AB$59</definedName>
    <definedName name="Clases_masas" localSheetId="24">'[1]BD Patron'!$X$16:$AD$16</definedName>
    <definedName name="Clases_masas" localSheetId="25">#REF!</definedName>
    <definedName name="Clases_masas">#REF!</definedName>
    <definedName name="ClientAdr" localSheetId="24">[1]General!$L$4</definedName>
    <definedName name="ClientAdr" localSheetId="25">#REF!</definedName>
    <definedName name="ClientAdr">#REF!</definedName>
    <definedName name="ClientName" localSheetId="24">[1]General!$L$3</definedName>
    <definedName name="ClientName" localSheetId="25">#REF!</definedName>
    <definedName name="ClientName">#REF!</definedName>
    <definedName name="ClientPlace" localSheetId="24">[1]General!$L$5</definedName>
    <definedName name="ClientPlace" localSheetId="25">#REF!</definedName>
    <definedName name="ClientPlace">#REF!</definedName>
    <definedName name="CodigoID" localSheetId="24">#REF!</definedName>
    <definedName name="CodigoID" localSheetId="25">#REF!</definedName>
    <definedName name="CodigoID">#REF!</definedName>
    <definedName name="decim" localSheetId="24">'[1]kU(E)'!$G$4</definedName>
    <definedName name="decim" localSheetId="25">#REF!</definedName>
    <definedName name="decim">#REF!</definedName>
    <definedName name="deltaMconv" localSheetId="24">'[1]BD Patron'!$AM$17:$AT$28</definedName>
    <definedName name="deltaMconv" localSheetId="25">#REF!</definedName>
    <definedName name="deltaMconv">#REF!</definedName>
    <definedName name="deltaT" localSheetId="24">'[1]BD Patron'!$AM$16:$AT$16</definedName>
    <definedName name="deltaT" localSheetId="25">#REF!</definedName>
    <definedName name="deltaT">#REF!</definedName>
    <definedName name="Dens_aire_cal" localSheetId="1">'[3]Entrada de datos'!$E$5</definedName>
    <definedName name="Dens_aire_cal" localSheetId="24">#REF!</definedName>
    <definedName name="Dens_aire_cal" localSheetId="25">'[3]Entrada de datos'!$E$5</definedName>
    <definedName name="Dens_aire_cal">#REF!</definedName>
    <definedName name="Dens_aire_conv" localSheetId="1">'[3]Entrada de datos'!$AR$10</definedName>
    <definedName name="Dens_aire_conv" localSheetId="25">'[3]Entrada de datos'!$AR$10</definedName>
    <definedName name="Dens_aire_conv">datos!$AR$10</definedName>
    <definedName name="Densidad" localSheetId="1">'[3]Entrada de datos'!$AR$11:$AR$19</definedName>
    <definedName name="Densidad" localSheetId="25">'[3]Entrada de datos'!$AR$11:$AR$19</definedName>
    <definedName name="Densidad">datos!$AR$11:$AR$19</definedName>
    <definedName name="ecc_error_max" localSheetId="24">[1]Calibración!$C$52</definedName>
    <definedName name="ecc_error_max">[2]Calibración!$C$52</definedName>
    <definedName name="fred" localSheetId="24">#REF!</definedName>
    <definedName name="fred">#REF!</definedName>
    <definedName name="ince" localSheetId="24">#REF!</definedName>
    <definedName name="ince" localSheetId="25">#REF!</definedName>
    <definedName name="ince">#REF!</definedName>
    <definedName name="Incertidumbre_densidad" localSheetId="1">'[3]Entrada de datos'!$AS$11:$AS$19</definedName>
    <definedName name="Incertidumbre_densidad" localSheetId="25">'[3]Entrada de datos'!$AS$11:$AS$19</definedName>
    <definedName name="Incertidumbre_densidad">datos!$AS$11:$AS$19</definedName>
    <definedName name="Incertidumbres">'[3]Entrada de datos'!$Z$10:$Z$59</definedName>
    <definedName name="mas" localSheetId="24">#REF!</definedName>
    <definedName name="mas" localSheetId="25">#REF!</definedName>
    <definedName name="mas">#REF!</definedName>
    <definedName name="MasaConstruccion" localSheetId="24">#REF!</definedName>
    <definedName name="MasaConstruccion" localSheetId="25">#REF!</definedName>
    <definedName name="MasaConstruccion">#REF!</definedName>
    <definedName name="MasaForma" localSheetId="24">#REF!</definedName>
    <definedName name="MasaForma" localSheetId="25">#REF!</definedName>
    <definedName name="MasaForma">#REF!</definedName>
    <definedName name="MasaMarca" localSheetId="24">#REF!</definedName>
    <definedName name="MasaMarca" localSheetId="25">#REF!</definedName>
    <definedName name="MasaMarca">#REF!</definedName>
    <definedName name="MasaMaterial" localSheetId="24">#REF!</definedName>
    <definedName name="MasaMaterial" localSheetId="25">#REF!</definedName>
    <definedName name="MasaMaterial">#REF!</definedName>
    <definedName name="MasaModelo" localSheetId="24">#REF!</definedName>
    <definedName name="MasaModelo" localSheetId="25">#REF!</definedName>
    <definedName name="MasaModelo">#REF!</definedName>
    <definedName name="Masas" localSheetId="1">'[3]Entrada de datos'!$U$10:$U$75</definedName>
    <definedName name="Masas" localSheetId="24">'[4]datos '!$U$10:$U$75</definedName>
    <definedName name="Masas" localSheetId="25">'[3]Entrada de datos'!$U$10:$U$75</definedName>
    <definedName name="Masas">datos!$U$10:$U$75</definedName>
    <definedName name="MasaSerie" localSheetId="24">#REF!</definedName>
    <definedName name="MasaSerie" localSheetId="25">#REF!</definedName>
    <definedName name="MasaSerie">#REF!</definedName>
    <definedName name="MasaSuperficie" localSheetId="24">#REF!</definedName>
    <definedName name="MasaSuperficie" localSheetId="25">#REF!</definedName>
    <definedName name="MasaSuperficie">#REF!</definedName>
    <definedName name="Materiales" localSheetId="1">'[3]Entrada de datos'!$AQ$11:$AQ$19</definedName>
    <definedName name="Materiales" localSheetId="25">'[3]Entrada de datos'!$AQ$11:$AQ$19</definedName>
    <definedName name="Materiales">datos!$AQ$11:$AQ$19</definedName>
    <definedName name="MnomDeltaT" localSheetId="24">'[1]BD Patron'!$AL$17:$AL$28</definedName>
    <definedName name="MnomDeltaT" localSheetId="25">#REF!</definedName>
    <definedName name="MnomDeltaT">#REF!</definedName>
    <definedName name="Mnominal" localSheetId="1">'[3]Entrada de datos'!$AH$11:$AH$34</definedName>
    <definedName name="Mnominal" localSheetId="25">'[3]Entrada de datos'!$AH$11:$AH$34</definedName>
    <definedName name="Mnominal">datos!$AH$11:$AH$34</definedName>
    <definedName name="MuestraTipo" localSheetId="24">#REF!</definedName>
    <definedName name="MuestraTipo" localSheetId="25">#REF!</definedName>
    <definedName name="MuestraTipo">#REF!</definedName>
    <definedName name="N_clases" localSheetId="1">'[3]Entrada de datos'!$AI$10:$AO$10</definedName>
    <definedName name="N_clases" localSheetId="25">'[3]Entrada de datos'!$AI$10:$AO$10</definedName>
    <definedName name="N_clases">datos!$AI$10:$AO$10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4">#REF!</definedName>
    <definedName name="resol_balanza" localSheetId="25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4">#REF!</definedName>
    <definedName name="tblComp_U" localSheetId="25">#REF!</definedName>
    <definedName name="tblComp_U">#REF!</definedName>
    <definedName name="tolerancia" localSheetId="24">'[1]BD Patron'!$X$17:$AD$40</definedName>
    <definedName name="tolerancia" localSheetId="25">#REF!</definedName>
    <definedName name="tolerancia">#REF!</definedName>
    <definedName name="Tolerancias" localSheetId="1">'[3]Entrada de datos'!$AI$11:$AO$34</definedName>
    <definedName name="Tolerancias" localSheetId="25">'[3]Entrada de datos'!$AI$11:$AO$34</definedName>
    <definedName name="Tolerancias">datos!$AI$11:$AO$34</definedName>
    <definedName name="u_ecc">[1]Calibración!$C$54</definedName>
    <definedName name="u_rep" localSheetId="24">[1]Calibración!$G$45</definedName>
    <definedName name="u_rep">[2]Calibración!$G$45</definedName>
    <definedName name="unidad" localSheetId="2">[5]Calibración!$F$7</definedName>
    <definedName name="UnidadEscala" localSheetId="24">[1]Calibración!$C$15</definedName>
    <definedName name="UnidadEscala">[2]Calibración!$C$15</definedName>
    <definedName name="UnidadPatron">[1]Calibración!$C$40</definedName>
    <definedName name="Valor_convencional" localSheetId="1">'[3]Entrada de datos'!$Y$10:$Y$75</definedName>
    <definedName name="Valor_convencional" localSheetId="25">'[3]Entrada de datos'!$Y$10:$Y$75</definedName>
    <definedName name="Valor_convencional">datos!$Y$10:$Y$75</definedName>
    <definedName name="Valor_nominal" localSheetId="1">'[3]Entrada de datos'!$V$10:$V$75</definedName>
    <definedName name="Valor_nominal" localSheetId="25">'[3]Entrada de datos'!$V$10:$V$75</definedName>
    <definedName name="Valor_nominal">datos!$V$10:$V$75</definedName>
    <definedName name="vconv" localSheetId="24">#REF!</definedName>
    <definedName name="vconv" localSheetId="25">#REF!</definedName>
    <definedName name="vconv">#REF!</definedName>
    <definedName name="Vnominal" localSheetId="24">'[1]BD Patron'!$W$17:$W$40</definedName>
    <definedName name="Vnominal" localSheetId="25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17" l="1"/>
  <c r="I52" i="17"/>
  <c r="U30" i="62"/>
  <c r="U31" i="62"/>
  <c r="U32" i="62"/>
  <c r="U33" i="62"/>
  <c r="U34" i="62"/>
  <c r="U35" i="62"/>
  <c r="U36" i="62"/>
  <c r="U37" i="62"/>
  <c r="U38" i="62"/>
  <c r="U39" i="62"/>
  <c r="U40" i="62"/>
  <c r="U41" i="62"/>
  <c r="U42" i="62"/>
  <c r="U43" i="62"/>
  <c r="U44" i="62"/>
  <c r="U45" i="62"/>
  <c r="U46" i="62"/>
  <c r="U47" i="62"/>
  <c r="U48" i="62"/>
  <c r="Q30" i="62"/>
  <c r="Q31" i="62"/>
  <c r="Q32" i="62"/>
  <c r="Q33" i="62"/>
  <c r="Q34" i="62"/>
  <c r="Q35" i="62"/>
  <c r="Q36" i="62"/>
  <c r="Q37" i="62"/>
  <c r="Q38" i="62"/>
  <c r="Q39" i="62"/>
  <c r="Q40" i="62"/>
  <c r="Q41" i="62"/>
  <c r="Q42" i="62"/>
  <c r="Q43" i="62"/>
  <c r="Q44" i="62"/>
  <c r="Q45" i="62"/>
  <c r="Q46" i="62"/>
  <c r="Q47" i="62"/>
  <c r="Q48" i="62"/>
  <c r="J12" i="66"/>
  <c r="J11" i="66"/>
  <c r="J10" i="66"/>
  <c r="J9" i="66"/>
  <c r="J8" i="66"/>
  <c r="J7" i="66"/>
  <c r="J6" i="66"/>
  <c r="R23" i="55"/>
  <c r="R24" i="55" s="1"/>
  <c r="R23" i="54"/>
  <c r="R23" i="53"/>
  <c r="R25" i="53" s="1"/>
  <c r="R23" i="52"/>
  <c r="R23" i="51"/>
  <c r="R23" i="50"/>
  <c r="R23" i="49"/>
  <c r="R23" i="48"/>
  <c r="R23" i="47"/>
  <c r="R23" i="46"/>
  <c r="R23" i="45"/>
  <c r="R23" i="44"/>
  <c r="R23" i="43"/>
  <c r="R23" i="42"/>
  <c r="R29" i="42" s="1"/>
  <c r="R23" i="41"/>
  <c r="R23" i="40"/>
  <c r="R23" i="39"/>
  <c r="R23" i="38"/>
  <c r="R23" i="37"/>
  <c r="L14" i="66"/>
  <c r="K14" i="66"/>
  <c r="L13" i="66"/>
  <c r="K13" i="66"/>
  <c r="L12" i="66"/>
  <c r="K12" i="66"/>
  <c r="I12" i="66"/>
  <c r="L11" i="66"/>
  <c r="K11" i="66"/>
  <c r="I11" i="66"/>
  <c r="L10" i="66"/>
  <c r="K10" i="66"/>
  <c r="I10" i="66"/>
  <c r="L9" i="66"/>
  <c r="K9" i="66"/>
  <c r="I9" i="66"/>
  <c r="L8" i="66"/>
  <c r="K8" i="66"/>
  <c r="I8" i="66"/>
  <c r="L7" i="66"/>
  <c r="K7" i="66"/>
  <c r="I7" i="66"/>
  <c r="L6" i="66"/>
  <c r="K6" i="66"/>
  <c r="I6" i="66"/>
  <c r="R22" i="55" l="1"/>
  <c r="R24" i="53"/>
  <c r="R22" i="52"/>
  <c r="R22" i="49"/>
  <c r="R28" i="49"/>
  <c r="R26" i="49"/>
  <c r="R24" i="38"/>
  <c r="R26" i="55"/>
  <c r="R27" i="55"/>
  <c r="R25" i="55"/>
  <c r="R28" i="55"/>
  <c r="R24" i="54"/>
  <c r="R26" i="54"/>
  <c r="R27" i="54"/>
  <c r="R28" i="54"/>
  <c r="R25" i="54"/>
  <c r="R22" i="54"/>
  <c r="R27" i="53"/>
  <c r="R26" i="53"/>
  <c r="R28" i="53"/>
  <c r="R22" i="53"/>
  <c r="R24" i="52"/>
  <c r="R25" i="52"/>
  <c r="R26" i="52"/>
  <c r="R27" i="52"/>
  <c r="R28" i="52"/>
  <c r="R24" i="51"/>
  <c r="R25" i="51"/>
  <c r="R26" i="51"/>
  <c r="R27" i="51"/>
  <c r="R28" i="51"/>
  <c r="R22" i="51"/>
  <c r="R25" i="50"/>
  <c r="R26" i="50"/>
  <c r="R27" i="50"/>
  <c r="R28" i="50"/>
  <c r="R24" i="50"/>
  <c r="R22" i="50"/>
  <c r="R24" i="49"/>
  <c r="R25" i="49"/>
  <c r="R27" i="49"/>
  <c r="R22" i="48"/>
  <c r="R24" i="48"/>
  <c r="R25" i="48"/>
  <c r="R26" i="48"/>
  <c r="R27" i="48"/>
  <c r="R28" i="48"/>
  <c r="R26" i="47"/>
  <c r="R27" i="47"/>
  <c r="R24" i="47"/>
  <c r="R25" i="47"/>
  <c r="R28" i="47"/>
  <c r="R22" i="47"/>
  <c r="R22" i="46"/>
  <c r="R26" i="46"/>
  <c r="R24" i="46"/>
  <c r="R25" i="46"/>
  <c r="R27" i="46"/>
  <c r="R28" i="46"/>
  <c r="R27" i="45"/>
  <c r="R25" i="45"/>
  <c r="R28" i="45"/>
  <c r="R26" i="45"/>
  <c r="R24" i="45"/>
  <c r="R22" i="45"/>
  <c r="R24" i="44"/>
  <c r="R25" i="44"/>
  <c r="R22" i="44"/>
  <c r="R26" i="44"/>
  <c r="R27" i="44"/>
  <c r="R28" i="44"/>
  <c r="R24" i="43"/>
  <c r="R25" i="43"/>
  <c r="R26" i="43"/>
  <c r="R22" i="43"/>
  <c r="R27" i="43"/>
  <c r="R28" i="43"/>
  <c r="R24" i="42"/>
  <c r="R25" i="42"/>
  <c r="R22" i="42"/>
  <c r="R30" i="42"/>
  <c r="R31" i="42"/>
  <c r="R26" i="42"/>
  <c r="R27" i="42"/>
  <c r="R28" i="42"/>
  <c r="R25" i="41"/>
  <c r="R27" i="41"/>
  <c r="R28" i="41"/>
  <c r="R24" i="41"/>
  <c r="R26" i="41"/>
  <c r="R22" i="41"/>
  <c r="R24" i="40"/>
  <c r="R25" i="40"/>
  <c r="R22" i="40"/>
  <c r="R26" i="40"/>
  <c r="R27" i="40"/>
  <c r="R28" i="40"/>
  <c r="R25" i="39"/>
  <c r="R22" i="39"/>
  <c r="R26" i="39"/>
  <c r="R24" i="39"/>
  <c r="R27" i="39"/>
  <c r="R28" i="39"/>
  <c r="R26" i="38"/>
  <c r="R27" i="38"/>
  <c r="R25" i="38"/>
  <c r="R28" i="38"/>
  <c r="R22" i="38"/>
  <c r="R24" i="37"/>
  <c r="R25" i="37"/>
  <c r="R27" i="37"/>
  <c r="R28" i="37"/>
  <c r="R22" i="37"/>
  <c r="R26" i="37"/>
  <c r="D347" i="56" l="1"/>
  <c r="E347" i="56" s="1"/>
  <c r="F347" i="56" s="1"/>
  <c r="D279" i="56"/>
  <c r="E279" i="56" s="1"/>
  <c r="F279" i="56" s="1"/>
  <c r="D177" i="56"/>
  <c r="E177" i="56" s="1"/>
  <c r="F177" i="56" s="1"/>
  <c r="D75" i="56"/>
  <c r="E75" i="56" s="1"/>
  <c r="F75" i="56" s="1"/>
  <c r="H5" i="56"/>
  <c r="N21" i="63" l="1"/>
  <c r="N14" i="63"/>
  <c r="N13" i="63"/>
  <c r="N11" i="63"/>
  <c r="N9" i="63"/>
  <c r="O6" i="55"/>
  <c r="O5" i="55"/>
  <c r="N6" i="55"/>
  <c r="N5" i="55"/>
  <c r="M6" i="55"/>
  <c r="M5" i="55"/>
  <c r="L6" i="55"/>
  <c r="L5" i="55"/>
  <c r="K6" i="55"/>
  <c r="K5" i="55"/>
  <c r="J6" i="55"/>
  <c r="J5" i="55"/>
  <c r="I6" i="55"/>
  <c r="I5" i="55"/>
  <c r="O6" i="54"/>
  <c r="O5" i="54"/>
  <c r="N6" i="54"/>
  <c r="N5" i="54"/>
  <c r="M6" i="54"/>
  <c r="M5" i="54"/>
  <c r="L6" i="54"/>
  <c r="L5" i="54"/>
  <c r="K6" i="54"/>
  <c r="K5" i="54"/>
  <c r="J6" i="54"/>
  <c r="J5" i="54"/>
  <c r="I6" i="54"/>
  <c r="I5" i="54"/>
  <c r="O6" i="53"/>
  <c r="O5" i="53"/>
  <c r="N6" i="53"/>
  <c r="N5" i="53"/>
  <c r="M6" i="53"/>
  <c r="M5" i="53"/>
  <c r="L6" i="53"/>
  <c r="L5" i="53"/>
  <c r="K6" i="53"/>
  <c r="K5" i="53"/>
  <c r="J6" i="53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6" i="51"/>
  <c r="O5" i="51"/>
  <c r="N6" i="51"/>
  <c r="N5" i="51"/>
  <c r="M6" i="51"/>
  <c r="M5" i="51"/>
  <c r="L6" i="51"/>
  <c r="L5" i="51"/>
  <c r="K6" i="51"/>
  <c r="K5" i="51"/>
  <c r="J6" i="51"/>
  <c r="J5" i="51"/>
  <c r="I6" i="51"/>
  <c r="I5" i="51"/>
  <c r="O6" i="50"/>
  <c r="O5" i="50"/>
  <c r="N6" i="50"/>
  <c r="N5" i="50"/>
  <c r="M6" i="50"/>
  <c r="M5" i="50"/>
  <c r="L6" i="50"/>
  <c r="L5" i="50"/>
  <c r="K6" i="50"/>
  <c r="K5" i="50"/>
  <c r="J6" i="50"/>
  <c r="J5" i="50"/>
  <c r="I6" i="50"/>
  <c r="I5" i="50"/>
  <c r="O6" i="49"/>
  <c r="O5" i="49"/>
  <c r="N6" i="49"/>
  <c r="N5" i="49"/>
  <c r="M6" i="49"/>
  <c r="M5" i="49"/>
  <c r="L6" i="49"/>
  <c r="L5" i="49"/>
  <c r="K6" i="49"/>
  <c r="K5" i="49"/>
  <c r="J6" i="49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5" i="47"/>
  <c r="M6" i="47"/>
  <c r="M5" i="47"/>
  <c r="L6" i="47"/>
  <c r="L5" i="47"/>
  <c r="K6" i="47"/>
  <c r="K5" i="47"/>
  <c r="J6" i="47"/>
  <c r="J5" i="47"/>
  <c r="I6" i="47"/>
  <c r="I5" i="47"/>
  <c r="O6" i="46"/>
  <c r="O5" i="46"/>
  <c r="N6" i="46"/>
  <c r="N5" i="46"/>
  <c r="M6" i="46"/>
  <c r="M5" i="46"/>
  <c r="L6" i="46"/>
  <c r="L5" i="46"/>
  <c r="K6" i="46"/>
  <c r="K5" i="46"/>
  <c r="J6" i="46"/>
  <c r="J5" i="46"/>
  <c r="I6" i="46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5" i="43"/>
  <c r="N6" i="43"/>
  <c r="N5" i="43"/>
  <c r="M6" i="43"/>
  <c r="M5" i="43"/>
  <c r="L6" i="43"/>
  <c r="L5" i="43"/>
  <c r="K6" i="43"/>
  <c r="K5" i="43"/>
  <c r="J6" i="43"/>
  <c r="J5" i="43"/>
  <c r="I6" i="43"/>
  <c r="I5" i="43"/>
  <c r="O6" i="42"/>
  <c r="O5" i="42"/>
  <c r="N6" i="42"/>
  <c r="N5" i="42"/>
  <c r="M6" i="42"/>
  <c r="M5" i="42"/>
  <c r="L6" i="42"/>
  <c r="L5" i="42"/>
  <c r="K6" i="42"/>
  <c r="K5" i="42"/>
  <c r="J6" i="42"/>
  <c r="J5" i="42"/>
  <c r="I6" i="42"/>
  <c r="I5" i="42"/>
  <c r="O6" i="41"/>
  <c r="O5" i="41"/>
  <c r="N6" i="41"/>
  <c r="N5" i="41"/>
  <c r="M6" i="41"/>
  <c r="M5" i="41"/>
  <c r="L6" i="41"/>
  <c r="L5" i="41"/>
  <c r="K6" i="41"/>
  <c r="K5" i="41"/>
  <c r="J6" i="41"/>
  <c r="J5" i="41"/>
  <c r="I6" i="41"/>
  <c r="I5" i="41"/>
  <c r="O6" i="40"/>
  <c r="O5" i="40"/>
  <c r="N6" i="40"/>
  <c r="N5" i="40"/>
  <c r="M6" i="40"/>
  <c r="M5" i="40"/>
  <c r="L6" i="40"/>
  <c r="L5" i="40"/>
  <c r="K6" i="40"/>
  <c r="K5" i="40"/>
  <c r="J6" i="40"/>
  <c r="J5" i="40"/>
  <c r="I6" i="40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O6" i="38"/>
  <c r="O5" i="38"/>
  <c r="N6" i="38"/>
  <c r="M6" i="38"/>
  <c r="L6" i="38"/>
  <c r="K6" i="38"/>
  <c r="J6" i="38"/>
  <c r="I6" i="38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34" i="52"/>
  <c r="C34" i="51"/>
  <c r="C34" i="50"/>
  <c r="C34" i="49"/>
  <c r="C34" i="48"/>
  <c r="C34" i="47"/>
  <c r="C34" i="46"/>
  <c r="C34" i="45"/>
  <c r="C34" i="44"/>
  <c r="C34" i="43"/>
  <c r="C34" i="42"/>
  <c r="C34" i="41"/>
  <c r="C34" i="40"/>
  <c r="C34" i="39"/>
  <c r="C34" i="38"/>
  <c r="C34" i="37"/>
  <c r="C17" i="44"/>
  <c r="I332" i="55"/>
  <c r="C24" i="55" s="1"/>
  <c r="I332" i="54"/>
  <c r="I332" i="53"/>
  <c r="C29" i="53" s="1"/>
  <c r="I332" i="52"/>
  <c r="I332" i="51"/>
  <c r="I332" i="50"/>
  <c r="C29" i="50" s="1"/>
  <c r="I332" i="49"/>
  <c r="C24" i="49" s="1"/>
  <c r="I332" i="48"/>
  <c r="I332" i="47"/>
  <c r="C24" i="47" s="1"/>
  <c r="I332" i="46"/>
  <c r="C29" i="46" s="1"/>
  <c r="I332" i="45"/>
  <c r="C29" i="45" s="1"/>
  <c r="I332" i="44"/>
  <c r="I332" i="43"/>
  <c r="I332" i="42"/>
  <c r="I332" i="41"/>
  <c r="C24" i="41" s="1"/>
  <c r="I332" i="40"/>
  <c r="C24" i="40" s="1"/>
  <c r="I332" i="39"/>
  <c r="I332" i="38"/>
  <c r="I332" i="37"/>
  <c r="C24" i="37" s="1"/>
  <c r="H327" i="55"/>
  <c r="C17" i="55" s="1"/>
  <c r="H327" i="54"/>
  <c r="C17" i="54" s="1"/>
  <c r="H327" i="53"/>
  <c r="C17" i="53" s="1"/>
  <c r="H327" i="52"/>
  <c r="C17" i="52" s="1"/>
  <c r="H327" i="51"/>
  <c r="C17" i="51" s="1"/>
  <c r="H327" i="50"/>
  <c r="C17" i="50" s="1"/>
  <c r="H327" i="49"/>
  <c r="C17" i="49" s="1"/>
  <c r="H327" i="48"/>
  <c r="C17" i="48" s="1"/>
  <c r="H327" i="47"/>
  <c r="C17" i="47" s="1"/>
  <c r="H327" i="46"/>
  <c r="C17" i="46" s="1"/>
  <c r="H327" i="45"/>
  <c r="C17" i="45" s="1"/>
  <c r="H177" i="56" s="1"/>
  <c r="H327" i="44"/>
  <c r="H327" i="43"/>
  <c r="C17" i="43" s="1"/>
  <c r="H327" i="42"/>
  <c r="C17" i="42" s="1"/>
  <c r="H327" i="41"/>
  <c r="C17" i="41" s="1"/>
  <c r="H327" i="40"/>
  <c r="C17" i="40" s="1"/>
  <c r="H327" i="39"/>
  <c r="C17" i="39" s="1"/>
  <c r="H327" i="38"/>
  <c r="C17" i="38" s="1"/>
  <c r="H327" i="37"/>
  <c r="C17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3" i="37"/>
  <c r="C8" i="37" s="1"/>
  <c r="C34" i="17"/>
  <c r="C33" i="17"/>
  <c r="C23" i="17"/>
  <c r="I332" i="17"/>
  <c r="C28" i="17"/>
  <c r="H327" i="17"/>
  <c r="C17" i="17" s="1"/>
  <c r="H24" i="56" s="1"/>
  <c r="C3" i="17"/>
  <c r="C8" i="17" s="1"/>
  <c r="R23" i="17"/>
  <c r="R28" i="17" s="1"/>
  <c r="J6" i="17"/>
  <c r="O6" i="17"/>
  <c r="O5" i="17"/>
  <c r="N6" i="17"/>
  <c r="N5" i="17"/>
  <c r="M6" i="17"/>
  <c r="L6" i="17"/>
  <c r="M5" i="17"/>
  <c r="L5" i="17"/>
  <c r="K6" i="17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Y165" i="55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R31" i="55" s="1"/>
  <c r="Y100" i="55"/>
  <c r="R30" i="55" s="1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Y165" i="54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R31" i="54" s="1"/>
  <c r="Y100" i="54"/>
  <c r="R30" i="54" s="1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R31" i="53" s="1"/>
  <c r="Y100" i="53"/>
  <c r="R30" i="53" s="1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R31" i="52" s="1"/>
  <c r="Y100" i="52"/>
  <c r="R30" i="52" s="1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Y170" i="5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R31" i="51" s="1"/>
  <c r="Y100" i="51"/>
  <c r="R30" i="51" s="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Y176" i="50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R31" i="50" s="1"/>
  <c r="Y100" i="50"/>
  <c r="R30" i="50" s="1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Y126" i="49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R31" i="49" s="1"/>
  <c r="Y100" i="49"/>
  <c r="R30" i="49" s="1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R31" i="48" s="1"/>
  <c r="Y100" i="48"/>
  <c r="R30" i="48" s="1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Y130" i="47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R31" i="47" s="1"/>
  <c r="Y100" i="47"/>
  <c r="R30" i="47" s="1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R31" i="46" s="1"/>
  <c r="Y100" i="46"/>
  <c r="R30" i="46" s="1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R31" i="45" s="1"/>
  <c r="Y100" i="45"/>
  <c r="R30" i="45" s="1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R31" i="44" s="1"/>
  <c r="Y100" i="44"/>
  <c r="R30" i="44" s="1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Y126" i="43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R31" i="43" s="1"/>
  <c r="Y100" i="43"/>
  <c r="R30" i="43" s="1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R31" i="41" s="1"/>
  <c r="Y100" i="41"/>
  <c r="R30" i="41" s="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R31" i="40" s="1"/>
  <c r="Y100" i="40"/>
  <c r="R30" i="40" s="1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Y165" i="39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R31" i="39" s="1"/>
  <c r="Y100" i="39"/>
  <c r="R30" i="39" s="1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Y135" i="38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R31" i="38" s="1"/>
  <c r="Y100" i="38"/>
  <c r="R30" i="38" s="1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R31" i="37" s="1"/>
  <c r="Y100" i="37"/>
  <c r="R30" i="37" s="1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C24" i="53" l="1"/>
  <c r="C24" i="45"/>
  <c r="C18" i="45"/>
  <c r="R24" i="17"/>
  <c r="R25" i="17"/>
  <c r="C18" i="42"/>
  <c r="H126" i="56"/>
  <c r="C18" i="48"/>
  <c r="H228" i="56"/>
  <c r="C18" i="50"/>
  <c r="H262" i="56"/>
  <c r="C18" i="53"/>
  <c r="H313" i="56"/>
  <c r="C18" i="44"/>
  <c r="H160" i="56"/>
  <c r="C18" i="54"/>
  <c r="H330" i="56"/>
  <c r="C18" i="41"/>
  <c r="H109" i="56"/>
  <c r="I11" i="17"/>
  <c r="I8" i="17"/>
  <c r="I16" i="17"/>
  <c r="I7" i="17"/>
  <c r="I15" i="17"/>
  <c r="I10" i="17"/>
  <c r="I13" i="17"/>
  <c r="I9" i="17"/>
  <c r="C18" i="43"/>
  <c r="H143" i="56"/>
  <c r="C18" i="55"/>
  <c r="H347" i="56"/>
  <c r="C18" i="46"/>
  <c r="H194" i="56"/>
  <c r="C18" i="47"/>
  <c r="H211" i="56"/>
  <c r="C18" i="37"/>
  <c r="H41" i="56"/>
  <c r="C18" i="49"/>
  <c r="H245" i="56"/>
  <c r="C18" i="38"/>
  <c r="H58" i="56"/>
  <c r="C18" i="39"/>
  <c r="H75" i="56"/>
  <c r="C18" i="51"/>
  <c r="H279" i="56"/>
  <c r="C18" i="40"/>
  <c r="H92" i="56"/>
  <c r="C18" i="52"/>
  <c r="H296" i="56"/>
  <c r="J11" i="17"/>
  <c r="J10" i="17"/>
  <c r="J9" i="17"/>
  <c r="J16" i="17"/>
  <c r="J8" i="17"/>
  <c r="J15" i="17"/>
  <c r="J7" i="17"/>
  <c r="J14" i="17"/>
  <c r="J13" i="17"/>
  <c r="J12" i="17"/>
  <c r="K13" i="17"/>
  <c r="K9" i="17"/>
  <c r="K16" i="17"/>
  <c r="K12" i="17"/>
  <c r="K8" i="17"/>
  <c r="K10" i="17"/>
  <c r="K14" i="17"/>
  <c r="K15" i="17"/>
  <c r="K11" i="17"/>
  <c r="K7" i="17"/>
  <c r="K12" i="55"/>
  <c r="K13" i="55"/>
  <c r="K10" i="55"/>
  <c r="K14" i="55"/>
  <c r="K11" i="55"/>
  <c r="K15" i="55"/>
  <c r="K7" i="55"/>
  <c r="K16" i="55"/>
  <c r="K8" i="55"/>
  <c r="K9" i="55"/>
  <c r="O16" i="55"/>
  <c r="O8" i="55"/>
  <c r="O7" i="55"/>
  <c r="O9" i="55"/>
  <c r="O15" i="55"/>
  <c r="O10" i="55"/>
  <c r="O11" i="55"/>
  <c r="O14" i="55"/>
  <c r="O12" i="55"/>
  <c r="O13" i="55"/>
  <c r="L13" i="55"/>
  <c r="L11" i="55"/>
  <c r="L12" i="55"/>
  <c r="L14" i="55"/>
  <c r="L15" i="55"/>
  <c r="L7" i="55"/>
  <c r="L16" i="55"/>
  <c r="L8" i="55"/>
  <c r="L9" i="55"/>
  <c r="L10" i="55"/>
  <c r="I10" i="55"/>
  <c r="I11" i="55"/>
  <c r="I8" i="55"/>
  <c r="I12" i="55"/>
  <c r="I13" i="55"/>
  <c r="I9" i="55"/>
  <c r="I14" i="55"/>
  <c r="I15" i="55"/>
  <c r="I7" i="55"/>
  <c r="I16" i="55"/>
  <c r="M14" i="55"/>
  <c r="M15" i="55"/>
  <c r="M7" i="55"/>
  <c r="M16" i="55"/>
  <c r="M8" i="55"/>
  <c r="M12" i="55"/>
  <c r="M9" i="55"/>
  <c r="M13" i="55"/>
  <c r="M10" i="55"/>
  <c r="M11" i="55"/>
  <c r="J11" i="55"/>
  <c r="J9" i="55"/>
  <c r="J12" i="55"/>
  <c r="J13" i="55"/>
  <c r="J14" i="55"/>
  <c r="J15" i="55"/>
  <c r="J7" i="55"/>
  <c r="J10" i="55"/>
  <c r="J16" i="55"/>
  <c r="J8" i="55"/>
  <c r="N15" i="55"/>
  <c r="N7" i="55"/>
  <c r="N16" i="55"/>
  <c r="N8" i="55"/>
  <c r="N9" i="55"/>
  <c r="N10" i="55"/>
  <c r="N11" i="55"/>
  <c r="N13" i="55"/>
  <c r="N12" i="55"/>
  <c r="N14" i="55"/>
  <c r="J13" i="54"/>
  <c r="J14" i="54"/>
  <c r="J10" i="54"/>
  <c r="J15" i="54"/>
  <c r="J7" i="54"/>
  <c r="J16" i="54"/>
  <c r="J8" i="54"/>
  <c r="J9" i="54"/>
  <c r="J11" i="54"/>
  <c r="J12" i="54"/>
  <c r="N9" i="54"/>
  <c r="N14" i="54"/>
  <c r="N10" i="54"/>
  <c r="N11" i="54"/>
  <c r="N12" i="54"/>
  <c r="N13" i="54"/>
  <c r="N15" i="54"/>
  <c r="N7" i="54"/>
  <c r="N16" i="54"/>
  <c r="N8" i="54"/>
  <c r="K14" i="54"/>
  <c r="K11" i="54"/>
  <c r="K15" i="54"/>
  <c r="K7" i="54"/>
  <c r="K16" i="54"/>
  <c r="K8" i="54"/>
  <c r="K9" i="54"/>
  <c r="K10" i="54"/>
  <c r="K12" i="54"/>
  <c r="K13" i="54"/>
  <c r="O10" i="54"/>
  <c r="O7" i="54"/>
  <c r="O11" i="54"/>
  <c r="O15" i="54"/>
  <c r="O12" i="54"/>
  <c r="O13" i="54"/>
  <c r="O14" i="54"/>
  <c r="O16" i="54"/>
  <c r="O8" i="54"/>
  <c r="O9" i="54"/>
  <c r="L15" i="54"/>
  <c r="L7" i="54"/>
  <c r="L16" i="54"/>
  <c r="L8" i="54"/>
  <c r="L12" i="54"/>
  <c r="L9" i="54"/>
  <c r="L10" i="54"/>
  <c r="L11" i="54"/>
  <c r="L13" i="54"/>
  <c r="L14" i="54"/>
  <c r="I12" i="54"/>
  <c r="I13" i="54"/>
  <c r="I14" i="54"/>
  <c r="I9" i="54"/>
  <c r="I15" i="54"/>
  <c r="I7" i="54"/>
  <c r="I16" i="54"/>
  <c r="I8" i="54"/>
  <c r="I10" i="54"/>
  <c r="I11" i="54"/>
  <c r="M16" i="54"/>
  <c r="M8" i="54"/>
  <c r="M9" i="54"/>
  <c r="M10" i="54"/>
  <c r="M13" i="54"/>
  <c r="M11" i="54"/>
  <c r="M12" i="54"/>
  <c r="M14" i="54"/>
  <c r="M15" i="54"/>
  <c r="M7" i="54"/>
  <c r="I14" i="53"/>
  <c r="I12" i="53"/>
  <c r="I13" i="53"/>
  <c r="I15" i="53"/>
  <c r="I7" i="53"/>
  <c r="I16" i="53"/>
  <c r="I8" i="53"/>
  <c r="I9" i="53"/>
  <c r="I10" i="53"/>
  <c r="I11" i="53"/>
  <c r="M10" i="53"/>
  <c r="M11" i="53"/>
  <c r="M12" i="53"/>
  <c r="M8" i="53"/>
  <c r="M9" i="53"/>
  <c r="M13" i="53"/>
  <c r="M16" i="53"/>
  <c r="M14" i="53"/>
  <c r="M15" i="53"/>
  <c r="M7" i="53"/>
  <c r="J15" i="53"/>
  <c r="J7" i="53"/>
  <c r="J16" i="53"/>
  <c r="J8" i="53"/>
  <c r="J9" i="53"/>
  <c r="J13" i="53"/>
  <c r="J14" i="53"/>
  <c r="J10" i="53"/>
  <c r="J11" i="53"/>
  <c r="J12" i="53"/>
  <c r="N11" i="53"/>
  <c r="N9" i="53"/>
  <c r="N10" i="53"/>
  <c r="N12" i="53"/>
  <c r="N13" i="53"/>
  <c r="N14" i="53"/>
  <c r="N15" i="53"/>
  <c r="N7" i="53"/>
  <c r="N16" i="53"/>
  <c r="N8" i="53"/>
  <c r="K16" i="53"/>
  <c r="K8" i="53"/>
  <c r="K9" i="53"/>
  <c r="K10" i="53"/>
  <c r="K14" i="53"/>
  <c r="K15" i="53"/>
  <c r="K7" i="53"/>
  <c r="K11" i="53"/>
  <c r="K12" i="53"/>
  <c r="K13" i="53"/>
  <c r="O12" i="53"/>
  <c r="O13" i="53"/>
  <c r="O14" i="53"/>
  <c r="O10" i="53"/>
  <c r="O11" i="53"/>
  <c r="O15" i="53"/>
  <c r="O7" i="53"/>
  <c r="O16" i="53"/>
  <c r="O8" i="53"/>
  <c r="O9" i="53"/>
  <c r="L9" i="53"/>
  <c r="L15" i="53"/>
  <c r="L16" i="53"/>
  <c r="L8" i="53"/>
  <c r="L10" i="53"/>
  <c r="L11" i="53"/>
  <c r="L12" i="53"/>
  <c r="L7" i="53"/>
  <c r="L13" i="53"/>
  <c r="L14" i="53"/>
  <c r="L11" i="52"/>
  <c r="L12" i="52"/>
  <c r="L16" i="52"/>
  <c r="L8" i="52"/>
  <c r="L13" i="52"/>
  <c r="L15" i="52"/>
  <c r="L7" i="52"/>
  <c r="L14" i="52"/>
  <c r="L9" i="52"/>
  <c r="L10" i="52"/>
  <c r="I16" i="52"/>
  <c r="I8" i="52"/>
  <c r="I9" i="52"/>
  <c r="I13" i="52"/>
  <c r="I10" i="52"/>
  <c r="I12" i="52"/>
  <c r="I11" i="52"/>
  <c r="I14" i="52"/>
  <c r="I15" i="52"/>
  <c r="I7" i="52"/>
  <c r="M12" i="52"/>
  <c r="M13" i="52"/>
  <c r="M16" i="52"/>
  <c r="M9" i="52"/>
  <c r="M14" i="52"/>
  <c r="M15" i="52"/>
  <c r="M7" i="52"/>
  <c r="M8" i="52"/>
  <c r="M10" i="52"/>
  <c r="M11" i="52"/>
  <c r="J9" i="52"/>
  <c r="J10" i="52"/>
  <c r="J13" i="52"/>
  <c r="J14" i="52"/>
  <c r="J11" i="52"/>
  <c r="J12" i="52"/>
  <c r="J15" i="52"/>
  <c r="J7" i="52"/>
  <c r="J16" i="52"/>
  <c r="J8" i="52"/>
  <c r="N13" i="52"/>
  <c r="N14" i="52"/>
  <c r="N9" i="52"/>
  <c r="N15" i="52"/>
  <c r="N7" i="52"/>
  <c r="N16" i="52"/>
  <c r="N8" i="52"/>
  <c r="N10" i="52"/>
  <c r="N11" i="52"/>
  <c r="N12" i="52"/>
  <c r="K10" i="52"/>
  <c r="K11" i="52"/>
  <c r="K15" i="52"/>
  <c r="K7" i="52"/>
  <c r="K12" i="52"/>
  <c r="K13" i="52"/>
  <c r="K14" i="52"/>
  <c r="K16" i="52"/>
  <c r="K8" i="52"/>
  <c r="K9" i="52"/>
  <c r="O14" i="52"/>
  <c r="O15" i="52"/>
  <c r="O7" i="52"/>
  <c r="O11" i="52"/>
  <c r="O16" i="52"/>
  <c r="O8" i="52"/>
  <c r="O9" i="52"/>
  <c r="O10" i="52"/>
  <c r="O12" i="52"/>
  <c r="O13" i="52"/>
  <c r="K12" i="51"/>
  <c r="K8" i="51"/>
  <c r="K9" i="51"/>
  <c r="K13" i="51"/>
  <c r="K16" i="51"/>
  <c r="K14" i="51"/>
  <c r="K15" i="51"/>
  <c r="K7" i="51"/>
  <c r="K10" i="51"/>
  <c r="K11" i="51"/>
  <c r="O16" i="51"/>
  <c r="O8" i="51"/>
  <c r="O13" i="51"/>
  <c r="O9" i="51"/>
  <c r="O10" i="51"/>
  <c r="O11" i="51"/>
  <c r="O12" i="51"/>
  <c r="O14" i="51"/>
  <c r="O15" i="51"/>
  <c r="O7" i="51"/>
  <c r="L13" i="51"/>
  <c r="L14" i="51"/>
  <c r="L9" i="51"/>
  <c r="L10" i="51"/>
  <c r="L15" i="51"/>
  <c r="L7" i="51"/>
  <c r="L16" i="51"/>
  <c r="L8" i="51"/>
  <c r="L11" i="51"/>
  <c r="L12" i="51"/>
  <c r="I10" i="51"/>
  <c r="I15" i="51"/>
  <c r="I7" i="51"/>
  <c r="I11" i="51"/>
  <c r="I12" i="51"/>
  <c r="I14" i="51"/>
  <c r="I13" i="51"/>
  <c r="I16" i="51"/>
  <c r="I8" i="51"/>
  <c r="I9" i="51"/>
  <c r="M14" i="51"/>
  <c r="M11" i="51"/>
  <c r="M15" i="51"/>
  <c r="M7" i="51"/>
  <c r="M16" i="51"/>
  <c r="M8" i="51"/>
  <c r="M10" i="51"/>
  <c r="M9" i="51"/>
  <c r="M12" i="51"/>
  <c r="M13" i="51"/>
  <c r="J11" i="51"/>
  <c r="J15" i="51"/>
  <c r="J12" i="51"/>
  <c r="J16" i="51"/>
  <c r="J8" i="51"/>
  <c r="J13" i="51"/>
  <c r="J7" i="51"/>
  <c r="J14" i="51"/>
  <c r="J9" i="51"/>
  <c r="J10" i="51"/>
  <c r="N15" i="51"/>
  <c r="N7" i="51"/>
  <c r="N11" i="51"/>
  <c r="N16" i="51"/>
  <c r="N8" i="51"/>
  <c r="N12" i="51"/>
  <c r="N9" i="51"/>
  <c r="N10" i="51"/>
  <c r="N13" i="51"/>
  <c r="N14" i="51"/>
  <c r="J13" i="50"/>
  <c r="J14" i="50"/>
  <c r="J10" i="50"/>
  <c r="J15" i="50"/>
  <c r="J7" i="50"/>
  <c r="J16" i="50"/>
  <c r="J8" i="50"/>
  <c r="J9" i="50"/>
  <c r="J11" i="50"/>
  <c r="J12" i="50"/>
  <c r="N9" i="50"/>
  <c r="N10" i="50"/>
  <c r="N11" i="50"/>
  <c r="N12" i="50"/>
  <c r="N13" i="50"/>
  <c r="N14" i="50"/>
  <c r="N15" i="50"/>
  <c r="N7" i="50"/>
  <c r="N16" i="50"/>
  <c r="N8" i="50"/>
  <c r="K14" i="50"/>
  <c r="K15" i="50"/>
  <c r="K7" i="50"/>
  <c r="K16" i="50"/>
  <c r="K8" i="50"/>
  <c r="K9" i="50"/>
  <c r="K10" i="50"/>
  <c r="K11" i="50"/>
  <c r="K12" i="50"/>
  <c r="K13" i="50"/>
  <c r="O10" i="50"/>
  <c r="O11" i="50"/>
  <c r="O15" i="50"/>
  <c r="O12" i="50"/>
  <c r="O13" i="50"/>
  <c r="O14" i="50"/>
  <c r="O7" i="50"/>
  <c r="O16" i="50"/>
  <c r="O8" i="50"/>
  <c r="O9" i="50"/>
  <c r="L15" i="50"/>
  <c r="L7" i="50"/>
  <c r="L16" i="50"/>
  <c r="L8" i="50"/>
  <c r="L9" i="50"/>
  <c r="L12" i="50"/>
  <c r="L10" i="50"/>
  <c r="L11" i="50"/>
  <c r="L13" i="50"/>
  <c r="L14" i="50"/>
  <c r="I12" i="50"/>
  <c r="I13" i="50"/>
  <c r="I14" i="50"/>
  <c r="I15" i="50"/>
  <c r="I7" i="50"/>
  <c r="I9" i="50"/>
  <c r="I16" i="50"/>
  <c r="I8" i="50"/>
  <c r="I10" i="50"/>
  <c r="I11" i="50"/>
  <c r="M16" i="50"/>
  <c r="M8" i="50"/>
  <c r="M9" i="50"/>
  <c r="M10" i="50"/>
  <c r="M11" i="50"/>
  <c r="M13" i="50"/>
  <c r="M12" i="50"/>
  <c r="M14" i="50"/>
  <c r="M15" i="50"/>
  <c r="M7" i="50"/>
  <c r="I14" i="49"/>
  <c r="I15" i="49"/>
  <c r="I7" i="49"/>
  <c r="I11" i="49"/>
  <c r="I16" i="49"/>
  <c r="I8" i="49"/>
  <c r="I9" i="49"/>
  <c r="I10" i="49"/>
  <c r="I12" i="49"/>
  <c r="I13" i="49"/>
  <c r="M10" i="49"/>
  <c r="M11" i="49"/>
  <c r="M15" i="49"/>
  <c r="M12" i="49"/>
  <c r="M13" i="49"/>
  <c r="M14" i="49"/>
  <c r="M7" i="49"/>
  <c r="M16" i="49"/>
  <c r="M8" i="49"/>
  <c r="M9" i="49"/>
  <c r="J15" i="49"/>
  <c r="J7" i="49"/>
  <c r="J16" i="49"/>
  <c r="J8" i="49"/>
  <c r="J9" i="49"/>
  <c r="J10" i="49"/>
  <c r="J11" i="49"/>
  <c r="J12" i="49"/>
  <c r="J13" i="49"/>
  <c r="J14" i="49"/>
  <c r="N11" i="49"/>
  <c r="N12" i="49"/>
  <c r="N8" i="49"/>
  <c r="N13" i="49"/>
  <c r="N14" i="49"/>
  <c r="N15" i="49"/>
  <c r="N7" i="49"/>
  <c r="N16" i="49"/>
  <c r="N9" i="49"/>
  <c r="N10" i="49"/>
  <c r="K16" i="49"/>
  <c r="K8" i="49"/>
  <c r="K9" i="49"/>
  <c r="K13" i="49"/>
  <c r="K10" i="49"/>
  <c r="K11" i="49"/>
  <c r="K12" i="49"/>
  <c r="K14" i="49"/>
  <c r="K15" i="49"/>
  <c r="K7" i="49"/>
  <c r="O12" i="49"/>
  <c r="O13" i="49"/>
  <c r="O14" i="49"/>
  <c r="O15" i="49"/>
  <c r="O7" i="49"/>
  <c r="O16" i="49"/>
  <c r="O8" i="49"/>
  <c r="O9" i="49"/>
  <c r="O10" i="49"/>
  <c r="O11" i="49"/>
  <c r="L9" i="49"/>
  <c r="L10" i="49"/>
  <c r="L11" i="49"/>
  <c r="L12" i="49"/>
  <c r="L13" i="49"/>
  <c r="L14" i="49"/>
  <c r="L15" i="49"/>
  <c r="L7" i="49"/>
  <c r="L16" i="49"/>
  <c r="L8" i="49"/>
  <c r="L11" i="48"/>
  <c r="L12" i="48"/>
  <c r="L13" i="48"/>
  <c r="L14" i="48"/>
  <c r="L15" i="48"/>
  <c r="L7" i="48"/>
  <c r="L10" i="48"/>
  <c r="L16" i="48"/>
  <c r="L8" i="48"/>
  <c r="L9" i="48"/>
  <c r="I16" i="48"/>
  <c r="I8" i="48"/>
  <c r="I9" i="48"/>
  <c r="I10" i="48"/>
  <c r="I11" i="48"/>
  <c r="I12" i="48"/>
  <c r="I13" i="48"/>
  <c r="I7" i="48"/>
  <c r="I14" i="48"/>
  <c r="I15" i="48"/>
  <c r="M12" i="48"/>
  <c r="M13" i="48"/>
  <c r="M11" i="48"/>
  <c r="M14" i="48"/>
  <c r="M15" i="48"/>
  <c r="M7" i="48"/>
  <c r="M16" i="48"/>
  <c r="M8" i="48"/>
  <c r="M9" i="48"/>
  <c r="M10" i="48"/>
  <c r="J9" i="48"/>
  <c r="J8" i="48"/>
  <c r="J10" i="48"/>
  <c r="J11" i="48"/>
  <c r="J12" i="48"/>
  <c r="J13" i="48"/>
  <c r="J14" i="48"/>
  <c r="J16" i="48"/>
  <c r="J15" i="48"/>
  <c r="J7" i="48"/>
  <c r="N13" i="48"/>
  <c r="N14" i="48"/>
  <c r="N15" i="48"/>
  <c r="N7" i="48"/>
  <c r="N16" i="48"/>
  <c r="N8" i="48"/>
  <c r="N12" i="48"/>
  <c r="N9" i="48"/>
  <c r="N10" i="48"/>
  <c r="N11" i="48"/>
  <c r="K10" i="48"/>
  <c r="K11" i="48"/>
  <c r="K12" i="48"/>
  <c r="K9" i="48"/>
  <c r="K13" i="48"/>
  <c r="K14" i="48"/>
  <c r="K15" i="48"/>
  <c r="K7" i="48"/>
  <c r="K16" i="48"/>
  <c r="K8" i="48"/>
  <c r="O14" i="48"/>
  <c r="O13" i="48"/>
  <c r="O15" i="48"/>
  <c r="O7" i="48"/>
  <c r="O16" i="48"/>
  <c r="O8" i="48"/>
  <c r="O9" i="48"/>
  <c r="O10" i="48"/>
  <c r="O11" i="48"/>
  <c r="O12" i="48"/>
  <c r="K12" i="47"/>
  <c r="K13" i="47"/>
  <c r="K10" i="47"/>
  <c r="K14" i="47"/>
  <c r="K11" i="47"/>
  <c r="K15" i="47"/>
  <c r="K7" i="47"/>
  <c r="K16" i="47"/>
  <c r="K8" i="47"/>
  <c r="K9" i="47"/>
  <c r="O16" i="47"/>
  <c r="O8" i="47"/>
  <c r="O7" i="47"/>
  <c r="O9" i="47"/>
  <c r="O10" i="47"/>
  <c r="O15" i="47"/>
  <c r="O11" i="47"/>
  <c r="O12" i="47"/>
  <c r="O14" i="47"/>
  <c r="O13" i="47"/>
  <c r="L13" i="47"/>
  <c r="L14" i="47"/>
  <c r="L15" i="47"/>
  <c r="L7" i="47"/>
  <c r="L11" i="47"/>
  <c r="L16" i="47"/>
  <c r="L8" i="47"/>
  <c r="L9" i="47"/>
  <c r="L12" i="47"/>
  <c r="L10" i="47"/>
  <c r="I10" i="47"/>
  <c r="I11" i="47"/>
  <c r="I12" i="47"/>
  <c r="I16" i="47"/>
  <c r="I13" i="47"/>
  <c r="I14" i="47"/>
  <c r="I9" i="47"/>
  <c r="I15" i="47"/>
  <c r="I7" i="47"/>
  <c r="I8" i="47"/>
  <c r="M14" i="47"/>
  <c r="M13" i="47"/>
  <c r="M15" i="47"/>
  <c r="M7" i="47"/>
  <c r="M16" i="47"/>
  <c r="M8" i="47"/>
  <c r="M9" i="47"/>
  <c r="M10" i="47"/>
  <c r="M11" i="47"/>
  <c r="M12" i="47"/>
  <c r="J11" i="47"/>
  <c r="J9" i="47"/>
  <c r="J12" i="47"/>
  <c r="J13" i="47"/>
  <c r="J14" i="47"/>
  <c r="J15" i="47"/>
  <c r="J7" i="47"/>
  <c r="J16" i="47"/>
  <c r="J8" i="47"/>
  <c r="J10" i="47"/>
  <c r="N15" i="47"/>
  <c r="N7" i="47"/>
  <c r="N13" i="47"/>
  <c r="N16" i="47"/>
  <c r="N8" i="47"/>
  <c r="N9" i="47"/>
  <c r="N10" i="47"/>
  <c r="N11" i="47"/>
  <c r="N12" i="47"/>
  <c r="N14" i="47"/>
  <c r="J13" i="46"/>
  <c r="J14" i="46"/>
  <c r="J15" i="46"/>
  <c r="J7" i="46"/>
  <c r="J16" i="46"/>
  <c r="J8" i="46"/>
  <c r="J10" i="46"/>
  <c r="J9" i="46"/>
  <c r="J11" i="46"/>
  <c r="J12" i="46"/>
  <c r="N9" i="46"/>
  <c r="N14" i="46"/>
  <c r="N10" i="46"/>
  <c r="N11" i="46"/>
  <c r="N12" i="46"/>
  <c r="N13" i="46"/>
  <c r="N15" i="46"/>
  <c r="N7" i="46"/>
  <c r="N16" i="46"/>
  <c r="N8" i="46"/>
  <c r="K14" i="46"/>
  <c r="K11" i="46"/>
  <c r="K15" i="46"/>
  <c r="K7" i="46"/>
  <c r="K16" i="46"/>
  <c r="K8" i="46"/>
  <c r="K9" i="46"/>
  <c r="K10" i="46"/>
  <c r="K12" i="46"/>
  <c r="K13" i="46"/>
  <c r="O10" i="46"/>
  <c r="O11" i="46"/>
  <c r="O12" i="46"/>
  <c r="O13" i="46"/>
  <c r="O14" i="46"/>
  <c r="O15" i="46"/>
  <c r="O7" i="46"/>
  <c r="O16" i="46"/>
  <c r="O8" i="46"/>
  <c r="O9" i="46"/>
  <c r="L15" i="46"/>
  <c r="L7" i="46"/>
  <c r="L16" i="46"/>
  <c r="L8" i="46"/>
  <c r="L12" i="46"/>
  <c r="L9" i="46"/>
  <c r="L10" i="46"/>
  <c r="L11" i="46"/>
  <c r="L13" i="46"/>
  <c r="L14" i="46"/>
  <c r="I12" i="46"/>
  <c r="I13" i="46"/>
  <c r="I9" i="46"/>
  <c r="I14" i="46"/>
  <c r="I15" i="46"/>
  <c r="I7" i="46"/>
  <c r="I16" i="46"/>
  <c r="I8" i="46"/>
  <c r="I10" i="46"/>
  <c r="I11" i="46"/>
  <c r="M16" i="46"/>
  <c r="M8" i="46"/>
  <c r="M9" i="46"/>
  <c r="M10" i="46"/>
  <c r="M11" i="46"/>
  <c r="M13" i="46"/>
  <c r="M12" i="46"/>
  <c r="M14" i="46"/>
  <c r="M15" i="46"/>
  <c r="M7" i="46"/>
  <c r="I14" i="45"/>
  <c r="I15" i="45"/>
  <c r="I7" i="45"/>
  <c r="I12" i="45"/>
  <c r="I16" i="45"/>
  <c r="I8" i="45"/>
  <c r="I9" i="45"/>
  <c r="I10" i="45"/>
  <c r="I11" i="45"/>
  <c r="I13" i="45"/>
  <c r="M10" i="45"/>
  <c r="M11" i="45"/>
  <c r="M16" i="45"/>
  <c r="M8" i="45"/>
  <c r="M9" i="45"/>
  <c r="M12" i="45"/>
  <c r="M13" i="45"/>
  <c r="M7" i="45"/>
  <c r="M14" i="45"/>
  <c r="M15" i="45"/>
  <c r="J15" i="45"/>
  <c r="J7" i="45"/>
  <c r="J16" i="45"/>
  <c r="J8" i="45"/>
  <c r="J12" i="45"/>
  <c r="J14" i="45"/>
  <c r="J9" i="45"/>
  <c r="J10" i="45"/>
  <c r="J11" i="45"/>
  <c r="J13" i="45"/>
  <c r="N11" i="45"/>
  <c r="N12" i="45"/>
  <c r="N16" i="45"/>
  <c r="N8" i="45"/>
  <c r="N13" i="45"/>
  <c r="N14" i="45"/>
  <c r="N15" i="45"/>
  <c r="N7" i="45"/>
  <c r="N9" i="45"/>
  <c r="N10" i="45"/>
  <c r="K16" i="45"/>
  <c r="K8" i="45"/>
  <c r="K9" i="45"/>
  <c r="K14" i="45"/>
  <c r="K7" i="45"/>
  <c r="K10" i="45"/>
  <c r="K13" i="45"/>
  <c r="K11" i="45"/>
  <c r="K12" i="45"/>
  <c r="K15" i="45"/>
  <c r="O12" i="45"/>
  <c r="O13" i="45"/>
  <c r="O11" i="45"/>
  <c r="O14" i="45"/>
  <c r="O9" i="45"/>
  <c r="O15" i="45"/>
  <c r="O7" i="45"/>
  <c r="O16" i="45"/>
  <c r="O8" i="45"/>
  <c r="O10" i="45"/>
  <c r="L9" i="45"/>
  <c r="L10" i="45"/>
  <c r="L16" i="45"/>
  <c r="L11" i="45"/>
  <c r="L12" i="45"/>
  <c r="L14" i="45"/>
  <c r="L13" i="45"/>
  <c r="L15" i="45"/>
  <c r="L7" i="45"/>
  <c r="L8" i="45"/>
  <c r="L11" i="44"/>
  <c r="L12" i="44"/>
  <c r="L13" i="44"/>
  <c r="L14" i="44"/>
  <c r="L15" i="44"/>
  <c r="L7" i="44"/>
  <c r="L9" i="44"/>
  <c r="L16" i="44"/>
  <c r="L8" i="44"/>
  <c r="L10" i="44"/>
  <c r="I16" i="44"/>
  <c r="I8" i="44"/>
  <c r="I9" i="44"/>
  <c r="I7" i="44"/>
  <c r="I10" i="44"/>
  <c r="I11" i="44"/>
  <c r="I12" i="44"/>
  <c r="I14" i="44"/>
  <c r="I13" i="44"/>
  <c r="I15" i="44"/>
  <c r="M12" i="44"/>
  <c r="M13" i="44"/>
  <c r="M11" i="44"/>
  <c r="M14" i="44"/>
  <c r="M15" i="44"/>
  <c r="M7" i="44"/>
  <c r="M16" i="44"/>
  <c r="M8" i="44"/>
  <c r="M9" i="44"/>
  <c r="M10" i="44"/>
  <c r="J9" i="44"/>
  <c r="J10" i="44"/>
  <c r="J15" i="44"/>
  <c r="J16" i="44"/>
  <c r="J11" i="44"/>
  <c r="J12" i="44"/>
  <c r="J13" i="44"/>
  <c r="J14" i="44"/>
  <c r="J7" i="44"/>
  <c r="J8" i="44"/>
  <c r="N13" i="44"/>
  <c r="N14" i="44"/>
  <c r="N11" i="44"/>
  <c r="N15" i="44"/>
  <c r="N7" i="44"/>
  <c r="N16" i="44"/>
  <c r="N8" i="44"/>
  <c r="N9" i="44"/>
  <c r="N10" i="44"/>
  <c r="N12" i="44"/>
  <c r="K10" i="44"/>
  <c r="K11" i="44"/>
  <c r="K8" i="44"/>
  <c r="K9" i="44"/>
  <c r="K12" i="44"/>
  <c r="K13" i="44"/>
  <c r="K14" i="44"/>
  <c r="K15" i="44"/>
  <c r="K7" i="44"/>
  <c r="K16" i="44"/>
  <c r="O14" i="44"/>
  <c r="O15" i="44"/>
  <c r="O7" i="44"/>
  <c r="O13" i="44"/>
  <c r="O16" i="44"/>
  <c r="O8" i="44"/>
  <c r="O12" i="44"/>
  <c r="O9" i="44"/>
  <c r="O10" i="44"/>
  <c r="O11" i="44"/>
  <c r="K12" i="43"/>
  <c r="K13" i="43"/>
  <c r="K14" i="43"/>
  <c r="K16" i="43"/>
  <c r="K8" i="43"/>
  <c r="K15" i="43"/>
  <c r="K7" i="43"/>
  <c r="K10" i="43"/>
  <c r="K11" i="43"/>
  <c r="K9" i="43"/>
  <c r="O16" i="43"/>
  <c r="O8" i="43"/>
  <c r="O9" i="43"/>
  <c r="O10" i="43"/>
  <c r="O12" i="43"/>
  <c r="O11" i="43"/>
  <c r="O14" i="43"/>
  <c r="O15" i="43"/>
  <c r="O7" i="43"/>
  <c r="O13" i="43"/>
  <c r="L13" i="43"/>
  <c r="L14" i="43"/>
  <c r="L9" i="43"/>
  <c r="L15" i="43"/>
  <c r="L7" i="43"/>
  <c r="L10" i="43"/>
  <c r="L16" i="43"/>
  <c r="L8" i="43"/>
  <c r="L11" i="43"/>
  <c r="L12" i="43"/>
  <c r="I10" i="43"/>
  <c r="I11" i="43"/>
  <c r="I12" i="43"/>
  <c r="I15" i="43"/>
  <c r="I13" i="43"/>
  <c r="I14" i="43"/>
  <c r="I16" i="43"/>
  <c r="I8" i="43"/>
  <c r="I9" i="43"/>
  <c r="I7" i="43"/>
  <c r="M14" i="43"/>
  <c r="M15" i="43"/>
  <c r="M7" i="43"/>
  <c r="M16" i="43"/>
  <c r="M8" i="43"/>
  <c r="M10" i="43"/>
  <c r="M9" i="43"/>
  <c r="M12" i="43"/>
  <c r="M13" i="43"/>
  <c r="M11" i="43"/>
  <c r="J11" i="43"/>
  <c r="J12" i="43"/>
  <c r="J15" i="43"/>
  <c r="J7" i="43"/>
  <c r="J13" i="43"/>
  <c r="J8" i="43"/>
  <c r="J14" i="43"/>
  <c r="J9" i="43"/>
  <c r="J10" i="43"/>
  <c r="J16" i="43"/>
  <c r="N15" i="43"/>
  <c r="N7" i="43"/>
  <c r="N16" i="43"/>
  <c r="N8" i="43"/>
  <c r="N11" i="43"/>
  <c r="N9" i="43"/>
  <c r="N12" i="43"/>
  <c r="N10" i="43"/>
  <c r="N13" i="43"/>
  <c r="N14" i="43"/>
  <c r="J13" i="42"/>
  <c r="J14" i="42"/>
  <c r="J11" i="42"/>
  <c r="J12" i="42"/>
  <c r="J15" i="42"/>
  <c r="J7" i="42"/>
  <c r="J16" i="42"/>
  <c r="J8" i="42"/>
  <c r="J9" i="42"/>
  <c r="J10" i="42"/>
  <c r="N9" i="42"/>
  <c r="N7" i="42"/>
  <c r="N10" i="42"/>
  <c r="N16" i="42"/>
  <c r="N11" i="42"/>
  <c r="N12" i="42"/>
  <c r="N13" i="42"/>
  <c r="N15" i="42"/>
  <c r="N14" i="42"/>
  <c r="N8" i="42"/>
  <c r="K14" i="42"/>
  <c r="K12" i="42"/>
  <c r="K15" i="42"/>
  <c r="K7" i="42"/>
  <c r="K16" i="42"/>
  <c r="K8" i="42"/>
  <c r="K9" i="42"/>
  <c r="K10" i="42"/>
  <c r="K11" i="42"/>
  <c r="K13" i="42"/>
  <c r="O10" i="42"/>
  <c r="O11" i="42"/>
  <c r="O16" i="42"/>
  <c r="O9" i="42"/>
  <c r="O12" i="42"/>
  <c r="O13" i="42"/>
  <c r="O14" i="42"/>
  <c r="O8" i="42"/>
  <c r="O15" i="42"/>
  <c r="O7" i="42"/>
  <c r="L15" i="42"/>
  <c r="L7" i="42"/>
  <c r="L14" i="42"/>
  <c r="L16" i="42"/>
  <c r="L8" i="42"/>
  <c r="L9" i="42"/>
  <c r="L10" i="42"/>
  <c r="L11" i="42"/>
  <c r="L12" i="42"/>
  <c r="L13" i="42"/>
  <c r="I12" i="42"/>
  <c r="I13" i="42"/>
  <c r="I14" i="42"/>
  <c r="I15" i="42"/>
  <c r="I7" i="42"/>
  <c r="I16" i="42"/>
  <c r="I8" i="42"/>
  <c r="I9" i="42"/>
  <c r="I10" i="42"/>
  <c r="I11" i="42"/>
  <c r="M16" i="42"/>
  <c r="M8" i="42"/>
  <c r="M14" i="42"/>
  <c r="M9" i="42"/>
  <c r="M7" i="42"/>
  <c r="M10" i="42"/>
  <c r="M11" i="42"/>
  <c r="M12" i="42"/>
  <c r="M13" i="42"/>
  <c r="M15" i="42"/>
  <c r="I14" i="41"/>
  <c r="I15" i="41"/>
  <c r="I7" i="41"/>
  <c r="I11" i="41"/>
  <c r="I12" i="41"/>
  <c r="I16" i="41"/>
  <c r="I8" i="41"/>
  <c r="I9" i="41"/>
  <c r="I10" i="41"/>
  <c r="I13" i="41"/>
  <c r="M10" i="41"/>
  <c r="M11" i="41"/>
  <c r="M7" i="41"/>
  <c r="M16" i="41"/>
  <c r="M8" i="41"/>
  <c r="M9" i="41"/>
  <c r="M12" i="41"/>
  <c r="M13" i="41"/>
  <c r="M14" i="41"/>
  <c r="M15" i="41"/>
  <c r="J15" i="41"/>
  <c r="J7" i="41"/>
  <c r="J16" i="41"/>
  <c r="J8" i="41"/>
  <c r="J14" i="41"/>
  <c r="J9" i="41"/>
  <c r="J10" i="41"/>
  <c r="J11" i="41"/>
  <c r="J12" i="41"/>
  <c r="J13" i="41"/>
  <c r="N11" i="41"/>
  <c r="N8" i="41"/>
  <c r="N12" i="41"/>
  <c r="N16" i="41"/>
  <c r="N13" i="41"/>
  <c r="N14" i="41"/>
  <c r="N15" i="41"/>
  <c r="N7" i="41"/>
  <c r="N9" i="41"/>
  <c r="N10" i="41"/>
  <c r="K16" i="41"/>
  <c r="K8" i="41"/>
  <c r="K9" i="41"/>
  <c r="K13" i="41"/>
  <c r="K14" i="41"/>
  <c r="K7" i="41"/>
  <c r="K10" i="41"/>
  <c r="K11" i="41"/>
  <c r="K12" i="41"/>
  <c r="K15" i="41"/>
  <c r="O12" i="41"/>
  <c r="O13" i="41"/>
  <c r="O11" i="41"/>
  <c r="O14" i="41"/>
  <c r="O15" i="41"/>
  <c r="O7" i="41"/>
  <c r="O16" i="41"/>
  <c r="O8" i="41"/>
  <c r="O9" i="41"/>
  <c r="O10" i="41"/>
  <c r="L9" i="41"/>
  <c r="L10" i="41"/>
  <c r="L16" i="41"/>
  <c r="L11" i="41"/>
  <c r="L14" i="41"/>
  <c r="L7" i="41"/>
  <c r="L12" i="41"/>
  <c r="L13" i="41"/>
  <c r="L15" i="41"/>
  <c r="L8" i="41"/>
  <c r="L11" i="40"/>
  <c r="L7" i="40"/>
  <c r="L12" i="40"/>
  <c r="L16" i="40"/>
  <c r="L8" i="40"/>
  <c r="L13" i="40"/>
  <c r="L14" i="40"/>
  <c r="L15" i="40"/>
  <c r="L9" i="40"/>
  <c r="L10" i="40"/>
  <c r="I16" i="40"/>
  <c r="I8" i="40"/>
  <c r="I12" i="40"/>
  <c r="I9" i="40"/>
  <c r="I13" i="40"/>
  <c r="I10" i="40"/>
  <c r="I11" i="40"/>
  <c r="I14" i="40"/>
  <c r="I15" i="40"/>
  <c r="I7" i="40"/>
  <c r="M12" i="40"/>
  <c r="M16" i="40"/>
  <c r="M9" i="40"/>
  <c r="M13" i="40"/>
  <c r="M8" i="40"/>
  <c r="M14" i="40"/>
  <c r="M15" i="40"/>
  <c r="M7" i="40"/>
  <c r="M10" i="40"/>
  <c r="M11" i="40"/>
  <c r="J9" i="40"/>
  <c r="J14" i="40"/>
  <c r="J10" i="40"/>
  <c r="J11" i="40"/>
  <c r="J13" i="40"/>
  <c r="J12" i="40"/>
  <c r="J15" i="40"/>
  <c r="J7" i="40"/>
  <c r="J16" i="40"/>
  <c r="J8" i="40"/>
  <c r="N13" i="40"/>
  <c r="N14" i="40"/>
  <c r="N10" i="40"/>
  <c r="N15" i="40"/>
  <c r="N7" i="40"/>
  <c r="N9" i="40"/>
  <c r="N16" i="40"/>
  <c r="N8" i="40"/>
  <c r="N11" i="40"/>
  <c r="N12" i="40"/>
  <c r="K10" i="40"/>
  <c r="K15" i="40"/>
  <c r="K7" i="40"/>
  <c r="K11" i="40"/>
  <c r="K14" i="40"/>
  <c r="K12" i="40"/>
  <c r="K13" i="40"/>
  <c r="K16" i="40"/>
  <c r="K8" i="40"/>
  <c r="K9" i="40"/>
  <c r="O14" i="40"/>
  <c r="O11" i="40"/>
  <c r="O15" i="40"/>
  <c r="O7" i="40"/>
  <c r="O10" i="40"/>
  <c r="O16" i="40"/>
  <c r="O8" i="40"/>
  <c r="O9" i="40"/>
  <c r="O12" i="40"/>
  <c r="O13" i="40"/>
  <c r="K12" i="39"/>
  <c r="K13" i="39"/>
  <c r="K14" i="39"/>
  <c r="K15" i="39"/>
  <c r="K7" i="39"/>
  <c r="K16" i="39"/>
  <c r="K8" i="39"/>
  <c r="K9" i="39"/>
  <c r="K10" i="39"/>
  <c r="K11" i="39"/>
  <c r="O16" i="39"/>
  <c r="O8" i="39"/>
  <c r="O9" i="39"/>
  <c r="O13" i="39"/>
  <c r="O10" i="39"/>
  <c r="O11" i="39"/>
  <c r="O12" i="39"/>
  <c r="O14" i="39"/>
  <c r="O15" i="39"/>
  <c r="O7" i="39"/>
  <c r="L13" i="39"/>
  <c r="L14" i="39"/>
  <c r="L15" i="39"/>
  <c r="L7" i="39"/>
  <c r="L16" i="39"/>
  <c r="L8" i="39"/>
  <c r="L10" i="39"/>
  <c r="L9" i="39"/>
  <c r="L11" i="39"/>
  <c r="L12" i="39"/>
  <c r="I10" i="39"/>
  <c r="I11" i="39"/>
  <c r="I15" i="39"/>
  <c r="I12" i="39"/>
  <c r="I13" i="39"/>
  <c r="I14" i="39"/>
  <c r="I7" i="39"/>
  <c r="I16" i="39"/>
  <c r="I8" i="39"/>
  <c r="I9" i="39"/>
  <c r="M14" i="39"/>
  <c r="M15" i="39"/>
  <c r="M7" i="39"/>
  <c r="M11" i="39"/>
  <c r="M16" i="39"/>
  <c r="M8" i="39"/>
  <c r="M9" i="39"/>
  <c r="M10" i="39"/>
  <c r="M12" i="39"/>
  <c r="M13" i="39"/>
  <c r="J11" i="39"/>
  <c r="J12" i="39"/>
  <c r="J8" i="39"/>
  <c r="J13" i="39"/>
  <c r="J14" i="39"/>
  <c r="J15" i="39"/>
  <c r="J7" i="39"/>
  <c r="J16" i="39"/>
  <c r="J9" i="39"/>
  <c r="J10" i="39"/>
  <c r="N15" i="39"/>
  <c r="N7" i="39"/>
  <c r="N16" i="39"/>
  <c r="N8" i="39"/>
  <c r="N9" i="39"/>
  <c r="N10" i="39"/>
  <c r="N11" i="39"/>
  <c r="N12" i="39"/>
  <c r="N13" i="39"/>
  <c r="N14" i="39"/>
  <c r="N9" i="38"/>
  <c r="N14" i="38"/>
  <c r="N10" i="38"/>
  <c r="N11" i="38"/>
  <c r="N12" i="38"/>
  <c r="N13" i="38"/>
  <c r="N15" i="38"/>
  <c r="N7" i="38"/>
  <c r="N16" i="38"/>
  <c r="N8" i="38"/>
  <c r="M16" i="38"/>
  <c r="M8" i="38"/>
  <c r="M9" i="38"/>
  <c r="M13" i="38"/>
  <c r="M10" i="38"/>
  <c r="M11" i="38"/>
  <c r="M12" i="38"/>
  <c r="M14" i="38"/>
  <c r="M15" i="38"/>
  <c r="M7" i="38"/>
  <c r="O10" i="38"/>
  <c r="O11" i="38"/>
  <c r="O12" i="38"/>
  <c r="O15" i="38"/>
  <c r="O7" i="38"/>
  <c r="O13" i="38"/>
  <c r="O14" i="38"/>
  <c r="O16" i="38"/>
  <c r="O8" i="38"/>
  <c r="O9" i="38"/>
  <c r="I12" i="38"/>
  <c r="I13" i="38"/>
  <c r="I14" i="38"/>
  <c r="I15" i="38"/>
  <c r="I7" i="38"/>
  <c r="I16" i="38"/>
  <c r="I8" i="38"/>
  <c r="I9" i="38"/>
  <c r="I10" i="38"/>
  <c r="I11" i="38"/>
  <c r="J13" i="38"/>
  <c r="J14" i="38"/>
  <c r="J10" i="38"/>
  <c r="J15" i="38"/>
  <c r="J7" i="38"/>
  <c r="J16" i="38"/>
  <c r="J8" i="38"/>
  <c r="J9" i="38"/>
  <c r="J11" i="38"/>
  <c r="J12" i="38"/>
  <c r="K14" i="38"/>
  <c r="K11" i="38"/>
  <c r="K15" i="38"/>
  <c r="K7" i="38"/>
  <c r="K16" i="38"/>
  <c r="K8" i="38"/>
  <c r="K9" i="38"/>
  <c r="K10" i="38"/>
  <c r="K12" i="38"/>
  <c r="K13" i="38"/>
  <c r="L15" i="38"/>
  <c r="L7" i="38"/>
  <c r="L16" i="38"/>
  <c r="L8" i="38"/>
  <c r="L9" i="38"/>
  <c r="L12" i="38"/>
  <c r="L10" i="38"/>
  <c r="L11" i="38"/>
  <c r="L13" i="38"/>
  <c r="L14" i="38"/>
  <c r="M10" i="37"/>
  <c r="M15" i="37"/>
  <c r="M7" i="37"/>
  <c r="M12" i="37"/>
  <c r="M14" i="37"/>
  <c r="M11" i="37"/>
  <c r="M9" i="37"/>
  <c r="M16" i="37"/>
  <c r="M8" i="37"/>
  <c r="M13" i="37"/>
  <c r="N15" i="37"/>
  <c r="N7" i="37"/>
  <c r="N12" i="37"/>
  <c r="N11" i="37"/>
  <c r="N9" i="37"/>
  <c r="N14" i="37"/>
  <c r="N16" i="37"/>
  <c r="N13" i="37"/>
  <c r="N10" i="37"/>
  <c r="N8" i="37"/>
  <c r="O12" i="37"/>
  <c r="O9" i="37"/>
  <c r="O13" i="37"/>
  <c r="O14" i="37"/>
  <c r="O11" i="37"/>
  <c r="O16" i="37"/>
  <c r="O10" i="37"/>
  <c r="O8" i="37"/>
  <c r="O15" i="37"/>
  <c r="O7" i="37"/>
  <c r="K16" i="37"/>
  <c r="K8" i="37"/>
  <c r="K9" i="37"/>
  <c r="K13" i="37"/>
  <c r="K10" i="37"/>
  <c r="K11" i="37"/>
  <c r="K12" i="37"/>
  <c r="K14" i="37"/>
  <c r="K15" i="37"/>
  <c r="K7" i="37"/>
  <c r="J15" i="37"/>
  <c r="J7" i="37"/>
  <c r="J16" i="37"/>
  <c r="J8" i="37"/>
  <c r="J9" i="37"/>
  <c r="J10" i="37"/>
  <c r="J11" i="37"/>
  <c r="J12" i="37"/>
  <c r="J13" i="37"/>
  <c r="J14" i="37"/>
  <c r="L9" i="37"/>
  <c r="L10" i="37"/>
  <c r="L11" i="37"/>
  <c r="L12" i="37"/>
  <c r="L13" i="37"/>
  <c r="L14" i="37"/>
  <c r="L15" i="37"/>
  <c r="L7" i="37"/>
  <c r="L16" i="37"/>
  <c r="L8" i="37"/>
  <c r="I14" i="37"/>
  <c r="I15" i="37"/>
  <c r="I7" i="37"/>
  <c r="I16" i="37"/>
  <c r="I8" i="37"/>
  <c r="I9" i="37"/>
  <c r="I10" i="37"/>
  <c r="I11" i="37"/>
  <c r="I12" i="37"/>
  <c r="I13" i="37"/>
  <c r="O16" i="17"/>
  <c r="O8" i="17"/>
  <c r="O13" i="17"/>
  <c r="O10" i="17"/>
  <c r="O15" i="17"/>
  <c r="O7" i="17"/>
  <c r="O12" i="17"/>
  <c r="O9" i="17"/>
  <c r="O11" i="17"/>
  <c r="O14" i="17"/>
  <c r="N16" i="17"/>
  <c r="N14" i="17"/>
  <c r="N12" i="17"/>
  <c r="N10" i="17"/>
  <c r="N8" i="17"/>
  <c r="N15" i="17"/>
  <c r="N13" i="17"/>
  <c r="N11" i="17"/>
  <c r="N9" i="17"/>
  <c r="N7" i="17"/>
  <c r="M10" i="17"/>
  <c r="M13" i="17"/>
  <c r="M7" i="17"/>
  <c r="M16" i="17"/>
  <c r="M8" i="17"/>
  <c r="M11" i="17"/>
  <c r="M14" i="17"/>
  <c r="M9" i="17"/>
  <c r="M12" i="17"/>
  <c r="M15" i="17"/>
  <c r="L15" i="17"/>
  <c r="L11" i="17"/>
  <c r="L7" i="17"/>
  <c r="L10" i="17"/>
  <c r="L16" i="17"/>
  <c r="L12" i="17"/>
  <c r="L8" i="17"/>
  <c r="L13" i="17"/>
  <c r="L9" i="17"/>
  <c r="L14" i="17"/>
  <c r="R26" i="17"/>
  <c r="C24" i="42"/>
  <c r="C24" i="50"/>
  <c r="C24" i="43"/>
  <c r="C29" i="43"/>
  <c r="C24" i="51"/>
  <c r="C29" i="51"/>
  <c r="C24" i="44"/>
  <c r="C29" i="44"/>
  <c r="C24" i="52"/>
  <c r="C29" i="52"/>
  <c r="C29" i="42"/>
  <c r="R22" i="17"/>
  <c r="R27" i="17"/>
  <c r="C29" i="38"/>
  <c r="C24" i="46"/>
  <c r="C24" i="54"/>
  <c r="C24" i="38"/>
  <c r="C29" i="54"/>
  <c r="C29" i="40"/>
  <c r="C29" i="48"/>
  <c r="C24" i="48"/>
  <c r="C29" i="41"/>
  <c r="C29" i="49"/>
  <c r="C29" i="37"/>
  <c r="C29" i="47"/>
  <c r="C29" i="55"/>
  <c r="C29" i="39"/>
  <c r="C24" i="39"/>
  <c r="C29" i="17"/>
  <c r="C24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Z136" i="17"/>
  <c r="I14" i="17" s="1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E37" i="56" l="1"/>
  <c r="F37" i="56"/>
  <c r="E274" i="56"/>
  <c r="F274" i="56"/>
  <c r="F272" i="56"/>
  <c r="E272" i="56"/>
  <c r="E326" i="56"/>
  <c r="F326" i="56"/>
  <c r="F33" i="56"/>
  <c r="E33" i="56"/>
  <c r="F51" i="56"/>
  <c r="E51" i="56"/>
  <c r="F105" i="56"/>
  <c r="E105" i="56"/>
  <c r="F133" i="56"/>
  <c r="E133" i="56"/>
  <c r="F154" i="56"/>
  <c r="E154" i="56"/>
  <c r="E150" i="56"/>
  <c r="F150" i="56"/>
  <c r="F188" i="56"/>
  <c r="E188" i="56"/>
  <c r="F306" i="56"/>
  <c r="E306" i="56"/>
  <c r="F307" i="56"/>
  <c r="E307" i="56"/>
  <c r="E323" i="56"/>
  <c r="F323" i="56"/>
  <c r="E325" i="56"/>
  <c r="F325" i="56"/>
  <c r="E32" i="56"/>
  <c r="F32" i="56"/>
  <c r="F101" i="56"/>
  <c r="E101" i="56"/>
  <c r="F186" i="56"/>
  <c r="E186" i="56"/>
  <c r="E304" i="56"/>
  <c r="F304" i="56"/>
  <c r="F156" i="56"/>
  <c r="E156" i="56"/>
  <c r="F151" i="56"/>
  <c r="E151" i="56"/>
  <c r="F309" i="56"/>
  <c r="E309" i="56"/>
  <c r="E31" i="56"/>
  <c r="F31" i="56"/>
  <c r="F35" i="56"/>
  <c r="E35" i="56"/>
  <c r="F54" i="56"/>
  <c r="E54" i="56"/>
  <c r="F235" i="56"/>
  <c r="E235" i="56"/>
  <c r="F291" i="56"/>
  <c r="E291" i="56"/>
  <c r="F321" i="56"/>
  <c r="E321" i="56"/>
  <c r="F337" i="56"/>
  <c r="E337" i="56"/>
  <c r="F100" i="56"/>
  <c r="E100" i="56"/>
  <c r="F134" i="56"/>
  <c r="E134" i="56"/>
  <c r="E320" i="56"/>
  <c r="F320" i="56"/>
  <c r="E239" i="56"/>
  <c r="F239" i="56"/>
  <c r="F102" i="56"/>
  <c r="E102" i="56"/>
  <c r="E138" i="56"/>
  <c r="F138" i="56"/>
  <c r="F184" i="56"/>
  <c r="E184" i="56"/>
  <c r="F237" i="56"/>
  <c r="E237" i="56"/>
  <c r="E286" i="56"/>
  <c r="F286" i="56"/>
  <c r="F342" i="56"/>
  <c r="E342" i="56"/>
  <c r="F340" i="56"/>
  <c r="E340" i="56"/>
  <c r="F273" i="56"/>
  <c r="E273" i="56"/>
  <c r="F275" i="56"/>
  <c r="E275" i="56"/>
  <c r="E271" i="56"/>
  <c r="F271" i="56"/>
  <c r="E288" i="56"/>
  <c r="F288" i="56"/>
  <c r="F49" i="56"/>
  <c r="E49" i="56"/>
  <c r="F99" i="56"/>
  <c r="E99" i="56"/>
  <c r="E155" i="56"/>
  <c r="F155" i="56"/>
  <c r="F240" i="56"/>
  <c r="E240" i="56"/>
  <c r="E236" i="56"/>
  <c r="F236" i="56"/>
  <c r="E308" i="56"/>
  <c r="F308" i="56"/>
  <c r="F322" i="56"/>
  <c r="E322" i="56"/>
  <c r="F269" i="56"/>
  <c r="E269" i="56"/>
  <c r="F303" i="56"/>
  <c r="E303" i="56"/>
  <c r="F343" i="56"/>
  <c r="E343" i="56"/>
  <c r="F187" i="56"/>
  <c r="E187" i="56"/>
  <c r="F53" i="56"/>
  <c r="E53" i="56"/>
  <c r="E185" i="56"/>
  <c r="F185" i="56"/>
  <c r="F103" i="56"/>
  <c r="E103" i="56"/>
  <c r="E292" i="56"/>
  <c r="F292" i="56"/>
  <c r="F290" i="56"/>
  <c r="E290" i="56"/>
  <c r="F338" i="56"/>
  <c r="E338" i="56"/>
  <c r="F14" i="56"/>
  <c r="E14" i="56"/>
  <c r="F189" i="56"/>
  <c r="E189" i="56"/>
  <c r="F52" i="56"/>
  <c r="E52" i="56"/>
  <c r="F50" i="56"/>
  <c r="E50" i="56"/>
  <c r="E153" i="56"/>
  <c r="F153" i="56"/>
  <c r="F238" i="56"/>
  <c r="E238" i="56"/>
  <c r="F287" i="56"/>
  <c r="E287" i="56"/>
  <c r="F324" i="56"/>
  <c r="E324" i="56"/>
  <c r="E48" i="56"/>
  <c r="F48" i="56"/>
  <c r="F136" i="56"/>
  <c r="E136" i="56"/>
  <c r="F152" i="56"/>
  <c r="E152" i="56"/>
  <c r="F270" i="56"/>
  <c r="E270" i="56"/>
  <c r="E289" i="56"/>
  <c r="F289" i="56"/>
  <c r="E36" i="56"/>
  <c r="F36" i="56"/>
  <c r="F34" i="56"/>
  <c r="E34" i="56"/>
  <c r="F104" i="56"/>
  <c r="E104" i="56"/>
  <c r="F137" i="56"/>
  <c r="E137" i="56"/>
  <c r="F139" i="56"/>
  <c r="E139" i="56"/>
  <c r="F135" i="56"/>
  <c r="E135" i="56"/>
  <c r="F190" i="56"/>
  <c r="E190" i="56"/>
  <c r="F241" i="56"/>
  <c r="E241" i="56"/>
  <c r="F305" i="56"/>
  <c r="E305" i="56"/>
  <c r="F341" i="56"/>
  <c r="E341" i="56"/>
  <c r="E339" i="56"/>
  <c r="F339" i="56"/>
  <c r="F15" i="56"/>
  <c r="E15" i="56"/>
  <c r="F16" i="56"/>
  <c r="E16" i="56"/>
  <c r="F120" i="56"/>
  <c r="E120" i="56"/>
  <c r="F68" i="56"/>
  <c r="E68" i="56"/>
  <c r="F84" i="56"/>
  <c r="E84" i="56"/>
  <c r="F167" i="56"/>
  <c r="E167" i="56"/>
  <c r="F201" i="56"/>
  <c r="E201" i="56"/>
  <c r="E203" i="56"/>
  <c r="F203" i="56"/>
  <c r="F19" i="56"/>
  <c r="E19" i="56"/>
  <c r="E70" i="56"/>
  <c r="F70" i="56"/>
  <c r="E86" i="56"/>
  <c r="F86" i="56"/>
  <c r="E82" i="56"/>
  <c r="F82" i="56"/>
  <c r="F122" i="56"/>
  <c r="E122" i="56"/>
  <c r="F118" i="56"/>
  <c r="E118" i="56"/>
  <c r="F171" i="56"/>
  <c r="E171" i="56"/>
  <c r="F206" i="56"/>
  <c r="E206" i="56"/>
  <c r="F223" i="56"/>
  <c r="E223" i="56"/>
  <c r="F204" i="56"/>
  <c r="E204" i="56"/>
  <c r="F67" i="56"/>
  <c r="E67" i="56"/>
  <c r="F116" i="56"/>
  <c r="E116" i="56"/>
  <c r="E207" i="56"/>
  <c r="F207" i="56"/>
  <c r="E252" i="56"/>
  <c r="F252" i="56"/>
  <c r="F254" i="56"/>
  <c r="E254" i="56"/>
  <c r="F173" i="56"/>
  <c r="E173" i="56"/>
  <c r="F71" i="56"/>
  <c r="E71" i="56"/>
  <c r="F85" i="56"/>
  <c r="E85" i="56"/>
  <c r="E117" i="56"/>
  <c r="F117" i="56"/>
  <c r="F205" i="56"/>
  <c r="E205" i="56"/>
  <c r="F220" i="56"/>
  <c r="E220" i="56"/>
  <c r="F222" i="56"/>
  <c r="E222" i="56"/>
  <c r="F218" i="56"/>
  <c r="E218" i="56"/>
  <c r="E256" i="56"/>
  <c r="F256" i="56"/>
  <c r="F20" i="56"/>
  <c r="E20" i="56"/>
  <c r="F83" i="56"/>
  <c r="E83" i="56"/>
  <c r="F17" i="56"/>
  <c r="E17" i="56"/>
  <c r="F258" i="56"/>
  <c r="E258" i="56"/>
  <c r="F253" i="56"/>
  <c r="E253" i="56"/>
  <c r="F255" i="56"/>
  <c r="E255" i="56"/>
  <c r="F87" i="56"/>
  <c r="E87" i="56"/>
  <c r="F65" i="56"/>
  <c r="E65" i="56"/>
  <c r="F69" i="56"/>
  <c r="E69" i="56"/>
  <c r="F88" i="56"/>
  <c r="E88" i="56"/>
  <c r="E121" i="56"/>
  <c r="F121" i="56"/>
  <c r="F172" i="56"/>
  <c r="E172" i="56"/>
  <c r="F168" i="56"/>
  <c r="E168" i="56"/>
  <c r="F224" i="56"/>
  <c r="E224" i="56"/>
  <c r="F219" i="56"/>
  <c r="E219" i="56"/>
  <c r="F119" i="56"/>
  <c r="E119" i="56"/>
  <c r="E221" i="56"/>
  <c r="F221" i="56"/>
  <c r="F257" i="56"/>
  <c r="E257" i="56"/>
  <c r="E18" i="56"/>
  <c r="F18" i="56"/>
  <c r="E66" i="56"/>
  <c r="F66" i="56"/>
  <c r="E170" i="56"/>
  <c r="F170" i="56"/>
  <c r="F169" i="56"/>
  <c r="E169" i="56"/>
  <c r="F202" i="56"/>
  <c r="E202" i="56"/>
  <c r="Q184" i="17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Q165" i="55"/>
  <c r="Q165" i="54"/>
  <c r="Q165" i="53"/>
  <c r="Q165" i="52"/>
  <c r="Q165" i="51"/>
  <c r="Q165" i="50"/>
  <c r="Q165" i="49"/>
  <c r="Q165" i="48"/>
  <c r="Q165" i="47"/>
  <c r="Q165" i="46"/>
  <c r="Q165" i="44"/>
  <c r="Q165" i="39"/>
  <c r="Q165" i="38"/>
  <c r="Q165" i="45"/>
  <c r="Q165" i="43"/>
  <c r="Q165" i="40"/>
  <c r="Q165" i="37"/>
  <c r="Q165" i="4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Q176" i="55"/>
  <c r="Q176" i="54"/>
  <c r="Q176" i="53"/>
  <c r="Q176" i="52"/>
  <c r="Q176" i="51"/>
  <c r="Q176" i="50"/>
  <c r="Q176" i="49"/>
  <c r="Q176" i="48"/>
  <c r="Q176" i="46"/>
  <c r="Q176" i="45"/>
  <c r="Q176" i="44"/>
  <c r="Q176" i="43"/>
  <c r="Q176" i="41"/>
  <c r="Q176" i="47"/>
  <c r="Q176" i="37"/>
  <c r="Q176" i="40"/>
  <c r="Q176" i="39"/>
  <c r="Q176" i="38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Q170" i="55"/>
  <c r="Q170" i="54"/>
  <c r="Q170" i="53"/>
  <c r="Q170" i="52"/>
  <c r="Q170" i="51"/>
  <c r="Q170" i="50"/>
  <c r="Q170" i="48"/>
  <c r="Q170" i="47"/>
  <c r="Q170" i="46"/>
  <c r="Q170" i="45"/>
  <c r="Q170" i="44"/>
  <c r="Q170" i="43"/>
  <c r="Q170" i="49"/>
  <c r="Q170" i="41"/>
  <c r="Q170" i="38"/>
  <c r="Q170" i="37"/>
  <c r="Q170" i="40"/>
  <c r="Q170" i="39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M22" i="62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Q97" i="4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R29" i="48" s="1"/>
  <c r="Q100" i="47"/>
  <c r="R29" i="47" s="1"/>
  <c r="Q100" i="55"/>
  <c r="R29" i="55" s="1"/>
  <c r="Q100" i="53"/>
  <c r="R29" i="53" s="1"/>
  <c r="Q100" i="51"/>
  <c r="R29" i="51" s="1"/>
  <c r="Q100" i="49"/>
  <c r="R29" i="49" s="1"/>
  <c r="Q100" i="54"/>
  <c r="R29" i="54" s="1"/>
  <c r="Q100" i="52"/>
  <c r="R29" i="52" s="1"/>
  <c r="Q100" i="46"/>
  <c r="R29" i="46" s="1"/>
  <c r="Q100" i="45"/>
  <c r="R29" i="45" s="1"/>
  <c r="Q100" i="44"/>
  <c r="R29" i="44" s="1"/>
  <c r="Q100" i="43"/>
  <c r="R29" i="43" s="1"/>
  <c r="Q100" i="50"/>
  <c r="R29" i="50" s="1"/>
  <c r="Q100" i="37"/>
  <c r="R29" i="37" s="1"/>
  <c r="Q100" i="40"/>
  <c r="R29" i="40" s="1"/>
  <c r="Q100" i="39"/>
  <c r="R29" i="39" s="1"/>
  <c r="Q100" i="38"/>
  <c r="R29" i="38" s="1"/>
  <c r="Q100" i="41"/>
  <c r="R29" i="41" s="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Q140" i="39"/>
  <c r="Q140" i="38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Q135" i="53"/>
  <c r="Q135" i="51"/>
  <c r="Q135" i="49"/>
  <c r="Q135" i="48"/>
  <c r="Q135" i="47"/>
  <c r="Q135" i="54"/>
  <c r="Q135" i="52"/>
  <c r="Q135" i="50"/>
  <c r="Q135" i="46"/>
  <c r="Q135" i="45"/>
  <c r="Q135" i="44"/>
  <c r="Q135" i="43"/>
  <c r="Q135" i="41"/>
  <c r="Q135" i="40"/>
  <c r="Q135" i="39"/>
  <c r="Q135" i="38"/>
  <c r="Q135" i="37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Q126" i="53"/>
  <c r="Q126" i="51"/>
  <c r="Q126" i="49"/>
  <c r="Q126" i="54"/>
  <c r="Q126" i="52"/>
  <c r="Q126" i="46"/>
  <c r="Q126" i="45"/>
  <c r="Q126" i="44"/>
  <c r="Q126" i="47"/>
  <c r="Q126" i="48"/>
  <c r="Q126" i="50"/>
  <c r="Q126" i="40"/>
  <c r="Q126" i="39"/>
  <c r="Q126" i="38"/>
  <c r="Q126" i="37"/>
  <c r="Q126" i="41"/>
  <c r="Q126" i="43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Q131" i="53"/>
  <c r="Q131" i="51"/>
  <c r="Q131" i="49"/>
  <c r="Q131" i="54"/>
  <c r="Q131" i="52"/>
  <c r="Q131" i="48"/>
  <c r="Q131" i="50"/>
  <c r="Q131" i="47"/>
  <c r="Q131" i="46"/>
  <c r="Q131" i="45"/>
  <c r="Q131" i="44"/>
  <c r="Q131" i="43"/>
  <c r="Q131" i="41"/>
  <c r="Q131" i="40"/>
  <c r="Q131" i="39"/>
  <c r="Q131" i="38"/>
  <c r="Q131" i="37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Q130" i="54"/>
  <c r="Q130" i="53"/>
  <c r="Q130" i="52"/>
  <c r="Q130" i="51"/>
  <c r="Q130" i="50"/>
  <c r="Q130" i="49"/>
  <c r="Q130" i="48"/>
  <c r="Q130" i="47"/>
  <c r="Q130" i="46"/>
  <c r="Q130" i="45"/>
  <c r="Q130" i="44"/>
  <c r="Q130" i="43"/>
  <c r="Q130" i="37"/>
  <c r="Q130" i="38"/>
  <c r="Q130" i="41"/>
  <c r="Q130" i="40"/>
  <c r="Q130" i="39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I73" i="63"/>
  <c r="E33" i="63"/>
  <c r="R32" i="63"/>
  <c r="E32" i="63"/>
  <c r="U29" i="63"/>
  <c r="Q29" i="63"/>
  <c r="U28" i="63"/>
  <c r="Q28" i="63"/>
  <c r="N19" i="63"/>
  <c r="N16" i="63"/>
  <c r="N59" i="63"/>
  <c r="R62" i="62"/>
  <c r="E63" i="62"/>
  <c r="E62" i="62"/>
  <c r="U29" i="62"/>
  <c r="Q29" i="62"/>
  <c r="I108" i="62"/>
  <c r="L28" i="46"/>
  <c r="Q141" i="17"/>
  <c r="J26" i="17"/>
  <c r="N20" i="63"/>
  <c r="AW53" i="17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48" i="62" s="1"/>
  <c r="E27" i="58"/>
  <c r="F26" i="58"/>
  <c r="H47" i="62" s="1"/>
  <c r="E26" i="58"/>
  <c r="F25" i="58"/>
  <c r="H46" i="62" s="1"/>
  <c r="E25" i="58"/>
  <c r="G46" i="62" s="1"/>
  <c r="F24" i="58"/>
  <c r="H45" i="62" s="1"/>
  <c r="E24" i="58"/>
  <c r="G45" i="62" s="1"/>
  <c r="F23" i="58"/>
  <c r="H44" i="62" s="1"/>
  <c r="E23" i="58"/>
  <c r="F22" i="58"/>
  <c r="H43" i="62" s="1"/>
  <c r="E22" i="58"/>
  <c r="F20" i="58"/>
  <c r="H41" i="62" s="1"/>
  <c r="F21" i="58"/>
  <c r="H42" i="62" s="1"/>
  <c r="E21" i="58"/>
  <c r="E20" i="58"/>
  <c r="G41" i="62" s="1"/>
  <c r="F19" i="58"/>
  <c r="H40" i="62" s="1"/>
  <c r="E19" i="58"/>
  <c r="F18" i="58"/>
  <c r="H39" i="62" s="1"/>
  <c r="E18" i="58"/>
  <c r="F17" i="58"/>
  <c r="H38" i="62" s="1"/>
  <c r="E17" i="58"/>
  <c r="F16" i="58"/>
  <c r="H37" i="62" s="1"/>
  <c r="E16" i="58"/>
  <c r="G37" i="62" s="1"/>
  <c r="F15" i="58"/>
  <c r="H36" i="62" s="1"/>
  <c r="E15" i="58"/>
  <c r="G36" i="62" s="1"/>
  <c r="F14" i="58"/>
  <c r="H35" i="62" s="1"/>
  <c r="E14" i="58"/>
  <c r="G35" i="62" s="1"/>
  <c r="F13" i="58"/>
  <c r="H34" i="62" s="1"/>
  <c r="E13" i="58"/>
  <c r="G34" i="62" s="1"/>
  <c r="F12" i="58"/>
  <c r="H33" i="62" s="1"/>
  <c r="E12" i="58"/>
  <c r="G33" i="62" s="1"/>
  <c r="F11" i="58"/>
  <c r="H32" i="62" s="1"/>
  <c r="E11" i="58"/>
  <c r="G32" i="62" s="1"/>
  <c r="F10" i="58"/>
  <c r="H31" i="62" s="1"/>
  <c r="E10" i="58"/>
  <c r="G31" i="62" s="1"/>
  <c r="F9" i="58"/>
  <c r="H30" i="62" s="1"/>
  <c r="E9" i="58"/>
  <c r="G30" i="62" s="1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E41" i="62" s="1"/>
  <c r="D27" i="58"/>
  <c r="E48" i="62" s="1"/>
  <c r="D26" i="58"/>
  <c r="E47" i="62" s="1"/>
  <c r="D25" i="58"/>
  <c r="E46" i="62" s="1"/>
  <c r="D24" i="58"/>
  <c r="E45" i="62" s="1"/>
  <c r="D23" i="58"/>
  <c r="E44" i="62" s="1"/>
  <c r="D22" i="58"/>
  <c r="E43" i="62" s="1"/>
  <c r="D21" i="58"/>
  <c r="E42" i="62" s="1"/>
  <c r="D19" i="58"/>
  <c r="E40" i="62" s="1"/>
  <c r="D18" i="58"/>
  <c r="E39" i="62" s="1"/>
  <c r="D17" i="58"/>
  <c r="E38" i="62" s="1"/>
  <c r="D16" i="58"/>
  <c r="E37" i="62" s="1"/>
  <c r="D15" i="58"/>
  <c r="E36" i="62" s="1"/>
  <c r="D14" i="58"/>
  <c r="E35" i="62" s="1"/>
  <c r="D13" i="58"/>
  <c r="E34" i="62" s="1"/>
  <c r="D12" i="58"/>
  <c r="E33" i="62" s="1"/>
  <c r="D11" i="58"/>
  <c r="E32" i="62" s="1"/>
  <c r="D10" i="58"/>
  <c r="E31" i="62" s="1"/>
  <c r="D9" i="58"/>
  <c r="E30" i="62" s="1"/>
  <c r="D8" i="58"/>
  <c r="C27" i="58"/>
  <c r="D48" i="62" s="1"/>
  <c r="C26" i="58"/>
  <c r="D47" i="62" s="1"/>
  <c r="C25" i="58"/>
  <c r="D46" i="62" s="1"/>
  <c r="C24" i="58"/>
  <c r="D45" i="62" s="1"/>
  <c r="C23" i="58"/>
  <c r="D44" i="62" s="1"/>
  <c r="C22" i="58"/>
  <c r="D43" i="62" s="1"/>
  <c r="C21" i="58"/>
  <c r="D42" i="62" s="1"/>
  <c r="C20" i="58"/>
  <c r="D41" i="62" s="1"/>
  <c r="C19" i="58"/>
  <c r="D40" i="62" s="1"/>
  <c r="C18" i="58"/>
  <c r="D39" i="62" s="1"/>
  <c r="C17" i="58"/>
  <c r="D38" i="62" s="1"/>
  <c r="C16" i="58"/>
  <c r="D37" i="62" s="1"/>
  <c r="C15" i="58"/>
  <c r="D36" i="62" s="1"/>
  <c r="C14" i="58"/>
  <c r="D35" i="62" s="1"/>
  <c r="C13" i="58"/>
  <c r="D34" i="62" s="1"/>
  <c r="C12" i="58"/>
  <c r="D33" i="62" s="1"/>
  <c r="C11" i="58"/>
  <c r="D32" i="62" s="1"/>
  <c r="C10" i="58"/>
  <c r="D31" i="62" s="1"/>
  <c r="C9" i="58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E344" i="56"/>
  <c r="AY11" i="55"/>
  <c r="AY21" i="55" s="1"/>
  <c r="J58" i="55"/>
  <c r="E8" i="55"/>
  <c r="I54" i="55" s="1"/>
  <c r="C8" i="55"/>
  <c r="C54" i="55" s="1"/>
  <c r="E7" i="55"/>
  <c r="AW53" i="54"/>
  <c r="C47" i="54"/>
  <c r="AR11" i="54"/>
  <c r="AR21" i="54" s="1"/>
  <c r="J330" i="56"/>
  <c r="AY11" i="54"/>
  <c r="E8" i="54"/>
  <c r="I54" i="54" s="1"/>
  <c r="C8" i="54"/>
  <c r="E7" i="54"/>
  <c r="AW53" i="53"/>
  <c r="C47" i="53"/>
  <c r="AR11" i="53"/>
  <c r="AR21" i="53" s="1"/>
  <c r="BF11" i="53"/>
  <c r="I313" i="56"/>
  <c r="E8" i="53"/>
  <c r="I54" i="53" s="1"/>
  <c r="C8" i="53"/>
  <c r="E7" i="53"/>
  <c r="AW53" i="52"/>
  <c r="C47" i="52"/>
  <c r="AR11" i="52"/>
  <c r="AR21" i="52" s="1"/>
  <c r="BF11" i="52"/>
  <c r="BF21" i="52" s="1"/>
  <c r="J58" i="52"/>
  <c r="E8" i="52"/>
  <c r="I54" i="52" s="1"/>
  <c r="C8" i="52"/>
  <c r="E7" i="52"/>
  <c r="AW53" i="51"/>
  <c r="C47" i="51"/>
  <c r="AR11" i="51"/>
  <c r="AR21" i="51" s="1"/>
  <c r="J279" i="56"/>
  <c r="E276" i="56"/>
  <c r="AY11" i="51"/>
  <c r="AY21" i="51" s="1"/>
  <c r="E8" i="51"/>
  <c r="I54" i="51" s="1"/>
  <c r="C8" i="51"/>
  <c r="G279" i="56" s="1"/>
  <c r="E7" i="51"/>
  <c r="AW53" i="50"/>
  <c r="C47" i="50"/>
  <c r="AR11" i="50"/>
  <c r="AR21" i="50" s="1"/>
  <c r="E259" i="56"/>
  <c r="I262" i="56"/>
  <c r="E8" i="50"/>
  <c r="I54" i="50" s="1"/>
  <c r="C8" i="50"/>
  <c r="G262" i="56" s="1"/>
  <c r="E7" i="50"/>
  <c r="N369" i="49"/>
  <c r="P369" i="49" s="1"/>
  <c r="AW53" i="49"/>
  <c r="C47" i="49"/>
  <c r="AR11" i="49"/>
  <c r="AR21" i="49" s="1"/>
  <c r="BF11" i="49"/>
  <c r="BF21" i="49" s="1"/>
  <c r="E8" i="49"/>
  <c r="I54" i="49" s="1"/>
  <c r="C8" i="49"/>
  <c r="C54" i="49" s="1"/>
  <c r="E7" i="49"/>
  <c r="AW53" i="48"/>
  <c r="C47" i="48"/>
  <c r="AR11" i="48"/>
  <c r="AR21" i="48" s="1"/>
  <c r="BF11" i="48"/>
  <c r="AY11" i="48"/>
  <c r="AY21" i="48" s="1"/>
  <c r="E8" i="48"/>
  <c r="I54" i="48" s="1"/>
  <c r="C8" i="48"/>
  <c r="E7" i="48"/>
  <c r="AW53" i="47"/>
  <c r="C47" i="47"/>
  <c r="AR11" i="47"/>
  <c r="AR21" i="47" s="1"/>
  <c r="BF11" i="47"/>
  <c r="AY11" i="47"/>
  <c r="AY21" i="47" s="1"/>
  <c r="E8" i="47"/>
  <c r="I54" i="47" s="1"/>
  <c r="C8" i="47"/>
  <c r="C54" i="47" s="1"/>
  <c r="E7" i="47"/>
  <c r="AW53" i="46"/>
  <c r="C47" i="46"/>
  <c r="AR11" i="46"/>
  <c r="AR21" i="46" s="1"/>
  <c r="J194" i="56"/>
  <c r="E191" i="56"/>
  <c r="E8" i="46"/>
  <c r="I54" i="46" s="1"/>
  <c r="C8" i="46"/>
  <c r="E7" i="46"/>
  <c r="AW53" i="45"/>
  <c r="C47" i="45"/>
  <c r="AR11" i="45"/>
  <c r="AR21" i="45" s="1"/>
  <c r="BF11" i="45"/>
  <c r="AY11" i="45"/>
  <c r="J58" i="45"/>
  <c r="E8" i="45"/>
  <c r="I54" i="45" s="1"/>
  <c r="C8" i="45"/>
  <c r="G177" i="56" s="1"/>
  <c r="E7" i="45"/>
  <c r="AW53" i="44"/>
  <c r="C47" i="44"/>
  <c r="AR11" i="44"/>
  <c r="AR21" i="44" s="1"/>
  <c r="J160" i="56"/>
  <c r="E157" i="56"/>
  <c r="AY11" i="44"/>
  <c r="E8" i="44"/>
  <c r="I54" i="44" s="1"/>
  <c r="C8" i="44"/>
  <c r="G160" i="56" s="1"/>
  <c r="E7" i="44"/>
  <c r="AW53" i="43"/>
  <c r="C47" i="43"/>
  <c r="AR11" i="43"/>
  <c r="AR21" i="43" s="1"/>
  <c r="BF11" i="43"/>
  <c r="BF21" i="43" s="1"/>
  <c r="E140" i="56"/>
  <c r="AY11" i="43"/>
  <c r="AY21" i="43" s="1"/>
  <c r="J58" i="43"/>
  <c r="E8" i="43"/>
  <c r="I54" i="43" s="1"/>
  <c r="C8" i="43"/>
  <c r="E7" i="43"/>
  <c r="AW53" i="42"/>
  <c r="C47" i="42"/>
  <c r="AR11" i="42"/>
  <c r="AR21" i="42" s="1"/>
  <c r="E123" i="56"/>
  <c r="E8" i="42"/>
  <c r="I54" i="42" s="1"/>
  <c r="C8" i="42"/>
  <c r="E7" i="42"/>
  <c r="AW53" i="41"/>
  <c r="C47" i="41"/>
  <c r="AR11" i="41"/>
  <c r="AR21" i="41" s="1"/>
  <c r="J109" i="56"/>
  <c r="E8" i="41"/>
  <c r="I54" i="41" s="1"/>
  <c r="C8" i="41"/>
  <c r="E7" i="41"/>
  <c r="AW53" i="40"/>
  <c r="C47" i="40"/>
  <c r="AR11" i="40"/>
  <c r="AR21" i="40" s="1"/>
  <c r="J92" i="56"/>
  <c r="E8" i="40"/>
  <c r="I54" i="40" s="1"/>
  <c r="C8" i="40"/>
  <c r="G92" i="56" s="1"/>
  <c r="E7" i="40"/>
  <c r="AW53" i="39"/>
  <c r="C47" i="39"/>
  <c r="AR11" i="39"/>
  <c r="AR21" i="39" s="1"/>
  <c r="J75" i="56"/>
  <c r="E72" i="56"/>
  <c r="AY11" i="39"/>
  <c r="E8" i="39"/>
  <c r="I54" i="39" s="1"/>
  <c r="C8" i="39"/>
  <c r="C54" i="39" s="1"/>
  <c r="E7" i="39"/>
  <c r="N530" i="45"/>
  <c r="AW53" i="38"/>
  <c r="C47" i="38"/>
  <c r="AR11" i="38"/>
  <c r="AR21" i="38" s="1"/>
  <c r="E55" i="56"/>
  <c r="AY11" i="38"/>
  <c r="AY21" i="38" s="1"/>
  <c r="E8" i="38"/>
  <c r="I54" i="38" s="1"/>
  <c r="C8" i="38"/>
  <c r="E7" i="38"/>
  <c r="AW53" i="37"/>
  <c r="C47" i="37"/>
  <c r="AR11" i="37"/>
  <c r="AR21" i="37" s="1"/>
  <c r="J41" i="56"/>
  <c r="E38" i="56"/>
  <c r="J58" i="37"/>
  <c r="E8" i="37"/>
  <c r="I54" i="37" s="1"/>
  <c r="G41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I12" i="17" s="1"/>
  <c r="Q97" i="17"/>
  <c r="AR11" i="17"/>
  <c r="AR21" i="17" s="1"/>
  <c r="C47" i="17"/>
  <c r="J24" i="56"/>
  <c r="E21" i="56"/>
  <c r="C18" i="17"/>
  <c r="J58" i="17" s="1"/>
  <c r="E8" i="17"/>
  <c r="I54" i="17" s="1"/>
  <c r="G24" i="56"/>
  <c r="E7" i="17"/>
  <c r="G26" i="58" l="1"/>
  <c r="I47" i="62" s="1"/>
  <c r="G47" i="62"/>
  <c r="G21" i="58"/>
  <c r="I42" i="62" s="1"/>
  <c r="G42" i="62"/>
  <c r="G27" i="58"/>
  <c r="I48" i="62" s="1"/>
  <c r="G48" i="62"/>
  <c r="G22" i="58"/>
  <c r="I43" i="62" s="1"/>
  <c r="G43" i="62"/>
  <c r="G17" i="58"/>
  <c r="I38" i="62" s="1"/>
  <c r="G38" i="62"/>
  <c r="G23" i="58"/>
  <c r="I44" i="62" s="1"/>
  <c r="G44" i="62"/>
  <c r="D29" i="63"/>
  <c r="D30" i="62"/>
  <c r="G18" i="58"/>
  <c r="I39" i="62" s="1"/>
  <c r="G39" i="62"/>
  <c r="G19" i="58"/>
  <c r="I40" i="62" s="1"/>
  <c r="G40" i="62"/>
  <c r="H21" i="58"/>
  <c r="K42" i="62" s="1"/>
  <c r="J32" i="66"/>
  <c r="L32" i="66" s="1"/>
  <c r="H13" i="58"/>
  <c r="K34" i="62" s="1"/>
  <c r="J24" i="66"/>
  <c r="L24" i="66" s="1"/>
  <c r="N18" i="63"/>
  <c r="N15" i="63"/>
  <c r="J20" i="66"/>
  <c r="L20" i="66" s="1"/>
  <c r="H15" i="58"/>
  <c r="K36" i="62" s="1"/>
  <c r="J26" i="66"/>
  <c r="L26" i="66" s="1"/>
  <c r="H20" i="58"/>
  <c r="K41" i="62" s="1"/>
  <c r="J31" i="66"/>
  <c r="L31" i="66" s="1"/>
  <c r="H27" i="58"/>
  <c r="K48" i="62" s="1"/>
  <c r="J38" i="66"/>
  <c r="L38" i="66" s="1"/>
  <c r="H10" i="58"/>
  <c r="K31" i="62" s="1"/>
  <c r="J21" i="66"/>
  <c r="L21" i="66" s="1"/>
  <c r="H16" i="58"/>
  <c r="J27" i="66"/>
  <c r="L27" i="66" s="1"/>
  <c r="H22" i="58"/>
  <c r="K43" i="62" s="1"/>
  <c r="J33" i="66"/>
  <c r="L33" i="66" s="1"/>
  <c r="H25" i="58"/>
  <c r="K46" i="62" s="1"/>
  <c r="J36" i="66"/>
  <c r="L36" i="66" s="1"/>
  <c r="H11" i="58"/>
  <c r="K32" i="62" s="1"/>
  <c r="J22" i="66"/>
  <c r="L22" i="66" s="1"/>
  <c r="H17" i="58"/>
  <c r="J28" i="66"/>
  <c r="L28" i="66" s="1"/>
  <c r="H23" i="58"/>
  <c r="K44" i="62" s="1"/>
  <c r="J34" i="66"/>
  <c r="L34" i="66" s="1"/>
  <c r="H12" i="58"/>
  <c r="K33" i="62" s="1"/>
  <c r="J23" i="66"/>
  <c r="L23" i="66" s="1"/>
  <c r="H18" i="58"/>
  <c r="K39" i="62" s="1"/>
  <c r="J29" i="66"/>
  <c r="L29" i="66" s="1"/>
  <c r="H24" i="58"/>
  <c r="K45" i="62" s="1"/>
  <c r="J35" i="66"/>
  <c r="L35" i="66" s="1"/>
  <c r="H19" i="58"/>
  <c r="K40" i="62" s="1"/>
  <c r="J30" i="66"/>
  <c r="L30" i="66" s="1"/>
  <c r="H14" i="58"/>
  <c r="K35" i="62" s="1"/>
  <c r="J25" i="66"/>
  <c r="L25" i="66" s="1"/>
  <c r="H26" i="58"/>
  <c r="K47" i="62" s="1"/>
  <c r="J37" i="66"/>
  <c r="L37" i="66" s="1"/>
  <c r="J19" i="66"/>
  <c r="L19" i="66" s="1"/>
  <c r="G25" i="58"/>
  <c r="I46" i="62" s="1"/>
  <c r="G24" i="58"/>
  <c r="I45" i="62" s="1"/>
  <c r="G20" i="58"/>
  <c r="I41" i="62" s="1"/>
  <c r="G16" i="58"/>
  <c r="I37" i="62" s="1"/>
  <c r="G15" i="58"/>
  <c r="I36" i="62" s="1"/>
  <c r="G14" i="58"/>
  <c r="I35" i="62" s="1"/>
  <c r="G13" i="58"/>
  <c r="I34" i="62" s="1"/>
  <c r="G12" i="58"/>
  <c r="I33" i="62" s="1"/>
  <c r="G11" i="58"/>
  <c r="I32" i="62" s="1"/>
  <c r="G10" i="58"/>
  <c r="I31" i="62" s="1"/>
  <c r="I458" i="37"/>
  <c r="K458" i="37" s="1"/>
  <c r="N476" i="37"/>
  <c r="M476" i="37" s="1"/>
  <c r="N478" i="37" s="1"/>
  <c r="P478" i="37" s="1"/>
  <c r="N476" i="38"/>
  <c r="O476" i="38" s="1"/>
  <c r="I458" i="40"/>
  <c r="K458" i="40" s="1"/>
  <c r="N491" i="43"/>
  <c r="I491" i="44"/>
  <c r="N476" i="45"/>
  <c r="I476" i="46"/>
  <c r="H476" i="46" s="1"/>
  <c r="N458" i="47"/>
  <c r="M458" i="47" s="1"/>
  <c r="N491" i="50"/>
  <c r="P491" i="50" s="1"/>
  <c r="I476" i="51"/>
  <c r="H476" i="51" s="1"/>
  <c r="I478" i="51" s="1"/>
  <c r="I476" i="52"/>
  <c r="H476" i="52" s="1"/>
  <c r="H478" i="52" s="1"/>
  <c r="K476" i="52" s="1"/>
  <c r="I458" i="53"/>
  <c r="J458" i="53" s="1"/>
  <c r="I458" i="54"/>
  <c r="K458" i="54" s="1"/>
  <c r="N491" i="55"/>
  <c r="O491" i="55" s="1"/>
  <c r="I476" i="17"/>
  <c r="J476" i="17" s="1"/>
  <c r="I491" i="17"/>
  <c r="H491" i="17" s="1"/>
  <c r="I493" i="17" s="1"/>
  <c r="I476" i="37"/>
  <c r="H476" i="37" s="1"/>
  <c r="H478" i="37" s="1"/>
  <c r="K476" i="37" s="1"/>
  <c r="I491" i="38"/>
  <c r="K491" i="38" s="1"/>
  <c r="N458" i="40"/>
  <c r="M458" i="40" s="1"/>
  <c r="M460" i="40" s="1"/>
  <c r="I458" i="41"/>
  <c r="H458" i="41" s="1"/>
  <c r="H460" i="41" s="1"/>
  <c r="N491" i="44"/>
  <c r="I491" i="45"/>
  <c r="H491" i="45" s="1"/>
  <c r="H493" i="45" s="1"/>
  <c r="N476" i="46"/>
  <c r="I476" i="47"/>
  <c r="N476" i="51"/>
  <c r="O476" i="51" s="1"/>
  <c r="N476" i="52"/>
  <c r="M476" i="52" s="1"/>
  <c r="M478" i="52" s="1"/>
  <c r="N458" i="53"/>
  <c r="P458" i="53" s="1"/>
  <c r="N458" i="54"/>
  <c r="O458" i="54" s="1"/>
  <c r="I458" i="17"/>
  <c r="K458" i="17" s="1"/>
  <c r="N476" i="17"/>
  <c r="P476" i="17" s="1"/>
  <c r="N491" i="17"/>
  <c r="P491" i="17" s="1"/>
  <c r="I491" i="37"/>
  <c r="J491" i="37" s="1"/>
  <c r="N491" i="38"/>
  <c r="M491" i="38" s="1"/>
  <c r="I476" i="40"/>
  <c r="H476" i="40" s="1"/>
  <c r="H478" i="40" s="1"/>
  <c r="N458" i="41"/>
  <c r="O458" i="41" s="1"/>
  <c r="I458" i="42"/>
  <c r="N491" i="45"/>
  <c r="M491" i="45" s="1"/>
  <c r="I491" i="46"/>
  <c r="K491" i="46" s="1"/>
  <c r="N476" i="47"/>
  <c r="P476" i="47" s="1"/>
  <c r="I458" i="48"/>
  <c r="J458" i="48" s="1"/>
  <c r="I458" i="49"/>
  <c r="I491" i="51"/>
  <c r="K491" i="51" s="1"/>
  <c r="I491" i="52"/>
  <c r="J491" i="52" s="1"/>
  <c r="I476" i="53"/>
  <c r="H476" i="53" s="1"/>
  <c r="I476" i="54"/>
  <c r="N458" i="17"/>
  <c r="O458" i="17" s="1"/>
  <c r="N476" i="40"/>
  <c r="I476" i="41"/>
  <c r="J476" i="41" s="1"/>
  <c r="N458" i="42"/>
  <c r="P458" i="42" s="1"/>
  <c r="I458" i="43"/>
  <c r="K458" i="43" s="1"/>
  <c r="N491" i="46"/>
  <c r="P491" i="46" s="1"/>
  <c r="I491" i="47"/>
  <c r="H491" i="47" s="1"/>
  <c r="N458" i="48"/>
  <c r="M458" i="48" s="1"/>
  <c r="N458" i="49"/>
  <c r="M458" i="49" s="1"/>
  <c r="I458" i="50"/>
  <c r="J458" i="50" s="1"/>
  <c r="N491" i="51"/>
  <c r="O491" i="51" s="1"/>
  <c r="N491" i="52"/>
  <c r="N476" i="53"/>
  <c r="P476" i="53" s="1"/>
  <c r="N476" i="54"/>
  <c r="I458" i="55"/>
  <c r="K458" i="55" s="1"/>
  <c r="N458" i="37"/>
  <c r="O458" i="37" s="1"/>
  <c r="I491" i="40"/>
  <c r="K491" i="40" s="1"/>
  <c r="N476" i="41"/>
  <c r="M476" i="41" s="1"/>
  <c r="M478" i="41" s="1"/>
  <c r="I476" i="42"/>
  <c r="N458" i="43"/>
  <c r="P458" i="43" s="1"/>
  <c r="I458" i="44"/>
  <c r="N491" i="47"/>
  <c r="O491" i="47" s="1"/>
  <c r="N476" i="48"/>
  <c r="P476" i="48" s="1"/>
  <c r="I476" i="49"/>
  <c r="N458" i="50"/>
  <c r="M458" i="50" s="1"/>
  <c r="N460" i="50" s="1"/>
  <c r="P460" i="50" s="1"/>
  <c r="I491" i="53"/>
  <c r="J491" i="53" s="1"/>
  <c r="I491" i="54"/>
  <c r="K491" i="54" s="1"/>
  <c r="N458" i="55"/>
  <c r="O458" i="55" s="1"/>
  <c r="I458" i="38"/>
  <c r="H458" i="38" s="1"/>
  <c r="H460" i="38" s="1"/>
  <c r="N491" i="40"/>
  <c r="P491" i="40" s="1"/>
  <c r="I491" i="41"/>
  <c r="N476" i="42"/>
  <c r="I476" i="43"/>
  <c r="H476" i="43" s="1"/>
  <c r="H478" i="43" s="1"/>
  <c r="K476" i="43" s="1"/>
  <c r="N458" i="44"/>
  <c r="I458" i="45"/>
  <c r="H458" i="45" s="1"/>
  <c r="I476" i="48"/>
  <c r="H476" i="48" s="1"/>
  <c r="N476" i="49"/>
  <c r="M476" i="49" s="1"/>
  <c r="I476" i="50"/>
  <c r="N491" i="53"/>
  <c r="M491" i="53" s="1"/>
  <c r="N493" i="53" s="1"/>
  <c r="N491" i="54"/>
  <c r="P491" i="54" s="1"/>
  <c r="I476" i="55"/>
  <c r="H476" i="55" s="1"/>
  <c r="N458" i="38"/>
  <c r="M458" i="38" s="1"/>
  <c r="M460" i="38" s="1"/>
  <c r="N491" i="41"/>
  <c r="O491" i="41" s="1"/>
  <c r="I491" i="42"/>
  <c r="K491" i="42" s="1"/>
  <c r="N476" i="43"/>
  <c r="I476" i="44"/>
  <c r="J476" i="44" s="1"/>
  <c r="N458" i="45"/>
  <c r="O458" i="45" s="1"/>
  <c r="I458" i="46"/>
  <c r="K458" i="46" s="1"/>
  <c r="I491" i="48"/>
  <c r="H491" i="48" s="1"/>
  <c r="I493" i="48" s="1"/>
  <c r="K493" i="48" s="1"/>
  <c r="I491" i="49"/>
  <c r="K491" i="49" s="1"/>
  <c r="N476" i="50"/>
  <c r="I458" i="51"/>
  <c r="K458" i="51" s="1"/>
  <c r="I458" i="52"/>
  <c r="J458" i="52" s="1"/>
  <c r="N476" i="55"/>
  <c r="M476" i="55" s="1"/>
  <c r="N478" i="55" s="1"/>
  <c r="N491" i="37"/>
  <c r="O491" i="37" s="1"/>
  <c r="I476" i="38"/>
  <c r="H476" i="38" s="1"/>
  <c r="I478" i="38" s="1"/>
  <c r="K478" i="38" s="1"/>
  <c r="N491" i="42"/>
  <c r="P491" i="42" s="1"/>
  <c r="I491" i="43"/>
  <c r="N476" i="44"/>
  <c r="O476" i="44" s="1"/>
  <c r="I476" i="45"/>
  <c r="J476" i="45" s="1"/>
  <c r="N458" i="46"/>
  <c r="O458" i="46" s="1"/>
  <c r="I458" i="47"/>
  <c r="K458" i="47" s="1"/>
  <c r="N491" i="48"/>
  <c r="M491" i="48" s="1"/>
  <c r="N493" i="48" s="1"/>
  <c r="P493" i="48" s="1"/>
  <c r="N491" i="49"/>
  <c r="M491" i="49" s="1"/>
  <c r="I491" i="50"/>
  <c r="H491" i="50" s="1"/>
  <c r="H493" i="50" s="1"/>
  <c r="N458" i="51"/>
  <c r="O458" i="51" s="1"/>
  <c r="N458" i="52"/>
  <c r="I491" i="55"/>
  <c r="J491" i="55" s="1"/>
  <c r="N458" i="39"/>
  <c r="N491" i="39"/>
  <c r="I458" i="39"/>
  <c r="J458" i="39" s="1"/>
  <c r="I476" i="39"/>
  <c r="H476" i="39" s="1"/>
  <c r="I478" i="39" s="1"/>
  <c r="J478" i="39" s="1"/>
  <c r="N476" i="39"/>
  <c r="M476" i="39" s="1"/>
  <c r="N478" i="39" s="1"/>
  <c r="O478" i="39" s="1"/>
  <c r="I491" i="39"/>
  <c r="AY11" i="37"/>
  <c r="I41" i="56"/>
  <c r="C54" i="37"/>
  <c r="E28" i="63"/>
  <c r="M20" i="62"/>
  <c r="M17" i="62"/>
  <c r="C39" i="4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96" i="58"/>
  <c r="V11" i="58" s="1"/>
  <c r="C98" i="58"/>
  <c r="X13" i="58" s="1"/>
  <c r="C100" i="58"/>
  <c r="V15" i="58" s="1"/>
  <c r="C104" i="58"/>
  <c r="V19" i="58" s="1"/>
  <c r="I440" i="42"/>
  <c r="J440" i="42" s="1"/>
  <c r="H405" i="50"/>
  <c r="H407" i="50" s="1"/>
  <c r="I514" i="50"/>
  <c r="K514" i="50" s="1"/>
  <c r="J405" i="50"/>
  <c r="M384" i="53"/>
  <c r="N386" i="53" s="1"/>
  <c r="M532" i="53"/>
  <c r="O530" i="53"/>
  <c r="G245" i="56"/>
  <c r="C110" i="58"/>
  <c r="U25" i="58" s="1"/>
  <c r="C112" i="58"/>
  <c r="V27" i="58" s="1"/>
  <c r="C54" i="44"/>
  <c r="I211" i="56"/>
  <c r="I425" i="40"/>
  <c r="K425" i="40" s="1"/>
  <c r="K424" i="40" s="1"/>
  <c r="J58" i="50"/>
  <c r="C97" i="58"/>
  <c r="C99" i="58"/>
  <c r="C109" i="58"/>
  <c r="J423" i="40"/>
  <c r="H545" i="54"/>
  <c r="I547" i="54" s="1"/>
  <c r="J547" i="54" s="1"/>
  <c r="J245" i="56"/>
  <c r="C106" i="58"/>
  <c r="C105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P423" i="53"/>
  <c r="O423" i="53"/>
  <c r="H369" i="48"/>
  <c r="I371" i="48" s="1"/>
  <c r="K512" i="50"/>
  <c r="K545" i="44"/>
  <c r="P530" i="53"/>
  <c r="J323" i="56"/>
  <c r="J423" i="53"/>
  <c r="H423" i="53"/>
  <c r="H425" i="53" s="1"/>
  <c r="K423" i="53" s="1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P545" i="50"/>
  <c r="M545" i="50"/>
  <c r="M547" i="50" s="1"/>
  <c r="K384" i="51"/>
  <c r="J384" i="51"/>
  <c r="H384" i="51"/>
  <c r="I386" i="51" s="1"/>
  <c r="J386" i="51" s="1"/>
  <c r="H491" i="52"/>
  <c r="I493" i="52" s="1"/>
  <c r="K493" i="52" s="1"/>
  <c r="O351" i="40"/>
  <c r="M369" i="47"/>
  <c r="M371" i="47" s="1"/>
  <c r="J423" i="48"/>
  <c r="J476" i="46"/>
  <c r="J296" i="56"/>
  <c r="P351" i="17"/>
  <c r="O405" i="47"/>
  <c r="J512" i="51"/>
  <c r="K491" i="52"/>
  <c r="P405" i="54"/>
  <c r="J476" i="43"/>
  <c r="H476" i="44"/>
  <c r="H478" i="44" s="1"/>
  <c r="K476" i="44" s="1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K491" i="45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BF11" i="50"/>
  <c r="BF21" i="50" s="1"/>
  <c r="J262" i="56"/>
  <c r="J545" i="41"/>
  <c r="K545" i="41"/>
  <c r="M438" i="50"/>
  <c r="O438" i="50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O545" i="42"/>
  <c r="J491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P438" i="50"/>
  <c r="H491" i="42"/>
  <c r="P545" i="47"/>
  <c r="H545" i="51"/>
  <c r="I547" i="51" s="1"/>
  <c r="O545" i="53"/>
  <c r="M423" i="55"/>
  <c r="M425" i="55" s="1"/>
  <c r="J308" i="56"/>
  <c r="M351" i="39"/>
  <c r="N353" i="39" s="1"/>
  <c r="P351" i="39"/>
  <c r="M438" i="41"/>
  <c r="O438" i="41"/>
  <c r="M26" i="42"/>
  <c r="K512" i="42"/>
  <c r="J512" i="42"/>
  <c r="N89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J476" i="52"/>
  <c r="P369" i="53"/>
  <c r="O369" i="53"/>
  <c r="M369" i="53"/>
  <c r="O438" i="37"/>
  <c r="M545" i="44"/>
  <c r="O545" i="44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M384" i="43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491" i="50"/>
  <c r="N493" i="50" s="1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M460" i="50"/>
  <c r="M384" i="42"/>
  <c r="M386" i="42" s="1"/>
  <c r="O384" i="42"/>
  <c r="P384" i="42"/>
  <c r="P530" i="42"/>
  <c r="O530" i="42"/>
  <c r="M530" i="42"/>
  <c r="M532" i="42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P386" i="48"/>
  <c r="O386" i="48"/>
  <c r="J530" i="43"/>
  <c r="H530" i="43"/>
  <c r="I532" i="43" s="1"/>
  <c r="M478" i="39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H458" i="47"/>
  <c r="I460" i="47" s="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K512" i="47"/>
  <c r="M25" i="49"/>
  <c r="M27" i="49"/>
  <c r="O438" i="38"/>
  <c r="O353" i="51"/>
  <c r="J512" i="39"/>
  <c r="M353" i="43"/>
  <c r="P405" i="52"/>
  <c r="H512" i="47"/>
  <c r="H514" i="47" s="1"/>
  <c r="H369" i="55"/>
  <c r="H371" i="55" s="1"/>
  <c r="K369" i="55" s="1"/>
  <c r="H458" i="55"/>
  <c r="G347" i="56"/>
  <c r="AF90" i="38"/>
  <c r="AI120" i="38" s="1"/>
  <c r="P438" i="38"/>
  <c r="H353" i="39"/>
  <c r="J458" i="55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54"/>
  <c r="H491" i="54"/>
  <c r="H493" i="54" s="1"/>
  <c r="J491" i="49"/>
  <c r="H491" i="49"/>
  <c r="J491" i="45"/>
  <c r="O491" i="42"/>
  <c r="M491" i="42"/>
  <c r="M493" i="42" s="1"/>
  <c r="O491" i="38"/>
  <c r="M476" i="53"/>
  <c r="P476" i="39"/>
  <c r="J476" i="38"/>
  <c r="I478" i="37"/>
  <c r="J478" i="37" s="1"/>
  <c r="O491" i="17"/>
  <c r="O458" i="50"/>
  <c r="J458" i="46"/>
  <c r="H458" i="46"/>
  <c r="P458" i="41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M423" i="38"/>
  <c r="M425" i="38" s="1"/>
  <c r="O423" i="38"/>
  <c r="H405" i="38"/>
  <c r="K405" i="38"/>
  <c r="J405" i="38"/>
  <c r="M423" i="17"/>
  <c r="P423" i="17"/>
  <c r="P384" i="37"/>
  <c r="O384" i="37"/>
  <c r="AY21" i="37"/>
  <c r="P476" i="37"/>
  <c r="K351" i="38"/>
  <c r="J351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P458" i="54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M493" i="53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O476" i="49"/>
  <c r="P405" i="40"/>
  <c r="M405" i="40"/>
  <c r="J423" i="42"/>
  <c r="H423" i="42"/>
  <c r="M476" i="43"/>
  <c r="N478" i="43" s="1"/>
  <c r="P476" i="43"/>
  <c r="O476" i="43"/>
  <c r="P438" i="45"/>
  <c r="M438" i="45"/>
  <c r="J58" i="46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P491" i="52"/>
  <c r="O491" i="52"/>
  <c r="K405" i="53"/>
  <c r="H405" i="53"/>
  <c r="I407" i="53" s="1"/>
  <c r="J405" i="53"/>
  <c r="C39" i="40"/>
  <c r="M458" i="46"/>
  <c r="J351" i="47"/>
  <c r="K351" i="47"/>
  <c r="O530" i="49"/>
  <c r="P530" i="49"/>
  <c r="M530" i="49"/>
  <c r="M351" i="50"/>
  <c r="P351" i="50"/>
  <c r="M27" i="40"/>
  <c r="H491" i="41"/>
  <c r="H493" i="41" s="1"/>
  <c r="K491" i="41"/>
  <c r="J491" i="41"/>
  <c r="AF90" i="42"/>
  <c r="C39" i="42"/>
  <c r="M405" i="43"/>
  <c r="P405" i="43"/>
  <c r="H423" i="46"/>
  <c r="H425" i="46" s="1"/>
  <c r="K423" i="46" s="1"/>
  <c r="J423" i="46"/>
  <c r="P13" i="17"/>
  <c r="O369" i="17"/>
  <c r="M458" i="41"/>
  <c r="N460" i="41" s="1"/>
  <c r="H512" i="43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O438" i="52"/>
  <c r="M438" i="52"/>
  <c r="M440" i="52" s="1"/>
  <c r="K351" i="53"/>
  <c r="H351" i="53"/>
  <c r="J351" i="53"/>
  <c r="K491" i="53"/>
  <c r="H491" i="53"/>
  <c r="K405" i="54"/>
  <c r="H405" i="54"/>
  <c r="J405" i="54"/>
  <c r="P476" i="54"/>
  <c r="O476" i="54"/>
  <c r="M476" i="54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P405" i="53"/>
  <c r="M405" i="53"/>
  <c r="J512" i="54"/>
  <c r="H512" i="54"/>
  <c r="I514" i="54" s="1"/>
  <c r="K512" i="54"/>
  <c r="P512" i="55"/>
  <c r="O512" i="55"/>
  <c r="M476" i="51"/>
  <c r="N478" i="51" s="1"/>
  <c r="I371" i="53"/>
  <c r="K438" i="53"/>
  <c r="H438" i="53"/>
  <c r="J438" i="53"/>
  <c r="J512" i="53"/>
  <c r="K512" i="53"/>
  <c r="K351" i="54"/>
  <c r="H351" i="54"/>
  <c r="J351" i="54"/>
  <c r="M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J322" i="56"/>
  <c r="E293" i="56"/>
  <c r="F208" i="56"/>
  <c r="E208" i="56"/>
  <c r="F225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I386" i="53"/>
  <c r="H386" i="53"/>
  <c r="J423" i="43"/>
  <c r="H423" i="43"/>
  <c r="P458" i="44"/>
  <c r="O458" i="44"/>
  <c r="M458" i="44"/>
  <c r="P351" i="46"/>
  <c r="O351" i="46"/>
  <c r="M351" i="46"/>
  <c r="N423" i="46"/>
  <c r="O491" i="46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J58" i="48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J58" i="51"/>
  <c r="H423" i="52"/>
  <c r="H425" i="52" s="1"/>
  <c r="J423" i="52"/>
  <c r="H530" i="52"/>
  <c r="H532" i="52" s="1"/>
  <c r="K530" i="52" s="1"/>
  <c r="J530" i="52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K351" i="46"/>
  <c r="H351" i="46"/>
  <c r="P384" i="47"/>
  <c r="M384" i="47"/>
  <c r="M386" i="47" s="1"/>
  <c r="O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H530" i="42"/>
  <c r="J530" i="42"/>
  <c r="N371" i="40"/>
  <c r="M438" i="51"/>
  <c r="P438" i="51"/>
  <c r="O438" i="51"/>
  <c r="J58" i="54"/>
  <c r="M423" i="43"/>
  <c r="P423" i="43"/>
  <c r="P491" i="41"/>
  <c r="M491" i="41"/>
  <c r="M353" i="17"/>
  <c r="M491" i="37"/>
  <c r="P369" i="38"/>
  <c r="J476" i="37"/>
  <c r="K384" i="37"/>
  <c r="P12" i="17"/>
  <c r="P14" i="17"/>
  <c r="E14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J512" i="46"/>
  <c r="K512" i="46"/>
  <c r="H512" i="46"/>
  <c r="P491" i="47"/>
  <c r="M491" i="47"/>
  <c r="J545" i="48"/>
  <c r="K545" i="48"/>
  <c r="H476" i="49"/>
  <c r="J476" i="49"/>
  <c r="M512" i="50"/>
  <c r="P512" i="50"/>
  <c r="K458" i="53"/>
  <c r="H458" i="53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I245" i="56"/>
  <c r="K438" i="46"/>
  <c r="H438" i="46"/>
  <c r="H491" i="51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P351" i="49"/>
  <c r="M351" i="49"/>
  <c r="P423" i="49"/>
  <c r="M423" i="49"/>
  <c r="H438" i="51"/>
  <c r="J438" i="51"/>
  <c r="AF90" i="47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E327" i="56"/>
  <c r="P8" i="53"/>
  <c r="C11" i="53" s="1"/>
  <c r="J321" i="56"/>
  <c r="J320" i="56"/>
  <c r="P7" i="50"/>
  <c r="C10" i="50" s="1"/>
  <c r="E242" i="56"/>
  <c r="F344" i="56"/>
  <c r="P9" i="51"/>
  <c r="C12" i="51" s="1"/>
  <c r="P13" i="50"/>
  <c r="C14" i="50" s="1"/>
  <c r="P12" i="49"/>
  <c r="P7" i="49"/>
  <c r="C10" i="49" s="1"/>
  <c r="E225" i="56"/>
  <c r="P14" i="45"/>
  <c r="E14" i="45" s="1"/>
  <c r="P12" i="44"/>
  <c r="F157" i="56"/>
  <c r="P14" i="53"/>
  <c r="E14" i="53" s="1"/>
  <c r="P7" i="52"/>
  <c r="C10" i="52" s="1"/>
  <c r="C38" i="52" s="1"/>
  <c r="F191" i="56"/>
  <c r="P14" i="46"/>
  <c r="E14" i="46" s="1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512" i="17"/>
  <c r="O530" i="38"/>
  <c r="J405" i="37"/>
  <c r="M405" i="37"/>
  <c r="P491" i="38"/>
  <c r="P512" i="38"/>
  <c r="J512" i="17"/>
  <c r="P512" i="17"/>
  <c r="N547" i="37"/>
  <c r="P547" i="37" s="1"/>
  <c r="P530" i="38"/>
  <c r="H405" i="37"/>
  <c r="O423" i="37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K458" i="50"/>
  <c r="J478" i="38"/>
  <c r="J369" i="40"/>
  <c r="H369" i="40"/>
  <c r="O423" i="40"/>
  <c r="M423" i="40"/>
  <c r="P423" i="40"/>
  <c r="I160" i="56"/>
  <c r="AY21" i="44"/>
  <c r="P476" i="46"/>
  <c r="M476" i="46"/>
  <c r="O476" i="46"/>
  <c r="P7" i="47"/>
  <c r="C10" i="47" s="1"/>
  <c r="C38" i="47" s="1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H458" i="49"/>
  <c r="K458" i="49"/>
  <c r="J458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P384" i="48"/>
  <c r="H547" i="48"/>
  <c r="I547" i="48"/>
  <c r="K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M476" i="48"/>
  <c r="BF21" i="55"/>
  <c r="J347" i="56"/>
  <c r="M369" i="55"/>
  <c r="P369" i="55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N17" i="63" s="1"/>
  <c r="AF90" i="51"/>
  <c r="C39" i="51"/>
  <c r="I126" i="56"/>
  <c r="P13" i="46"/>
  <c r="C14" i="46" s="1"/>
  <c r="G75" i="56"/>
  <c r="I194" i="56"/>
  <c r="J126" i="56"/>
  <c r="P7" i="54"/>
  <c r="P8" i="49"/>
  <c r="C11" i="49" s="1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29" i="63"/>
  <c r="P8" i="52"/>
  <c r="C11" i="52" s="1"/>
  <c r="P8" i="44"/>
  <c r="C11" i="44" s="1"/>
  <c r="P9" i="48"/>
  <c r="C12" i="48" s="1"/>
  <c r="P9" i="54"/>
  <c r="C12" i="54" s="1"/>
  <c r="P9" i="50"/>
  <c r="C12" i="50" s="1"/>
  <c r="P12" i="45"/>
  <c r="P9" i="55"/>
  <c r="C12" i="55" s="1"/>
  <c r="P9" i="47"/>
  <c r="C12" i="47" s="1"/>
  <c r="F276" i="56"/>
  <c r="F140" i="56"/>
  <c r="H9" i="58"/>
  <c r="K30" i="62" s="1"/>
  <c r="F259" i="56"/>
  <c r="P12" i="41"/>
  <c r="P12" i="37"/>
  <c r="P9" i="40"/>
  <c r="C12" i="40" s="1"/>
  <c r="P13" i="42"/>
  <c r="C14" i="42" s="1"/>
  <c r="P14" i="42"/>
  <c r="E14" i="42" s="1"/>
  <c r="P14" i="38"/>
  <c r="E14" i="38" s="1"/>
  <c r="P7" i="42"/>
  <c r="C10" i="42" s="1"/>
  <c r="C38" i="42" s="1"/>
  <c r="P12" i="42"/>
  <c r="P13" i="41"/>
  <c r="C14" i="41" s="1"/>
  <c r="P8" i="41"/>
  <c r="C11" i="41" s="1"/>
  <c r="P14" i="40"/>
  <c r="E14" i="40" s="1"/>
  <c r="F72" i="56"/>
  <c r="P14" i="39"/>
  <c r="E14" i="39" s="1"/>
  <c r="P9" i="39"/>
  <c r="C12" i="39" s="1"/>
  <c r="P13" i="38"/>
  <c r="C14" i="38" s="1"/>
  <c r="P12" i="38"/>
  <c r="F38" i="56"/>
  <c r="P14" i="37"/>
  <c r="E14" i="37" s="1"/>
  <c r="P9" i="37"/>
  <c r="C12" i="37" s="1"/>
  <c r="P7" i="37"/>
  <c r="C10" i="37" s="1"/>
  <c r="C38" i="37" s="1"/>
  <c r="P8" i="37"/>
  <c r="C11" i="37" s="1"/>
  <c r="P8" i="54"/>
  <c r="C11" i="54" s="1"/>
  <c r="F123" i="56"/>
  <c r="P7" i="53"/>
  <c r="C10" i="53" s="1"/>
  <c r="C38" i="53" s="1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E106" i="56"/>
  <c r="F106" i="56"/>
  <c r="P12" i="40"/>
  <c r="P7" i="48"/>
  <c r="P7" i="55"/>
  <c r="P8" i="51"/>
  <c r="C11" i="51" s="1"/>
  <c r="P8" i="43"/>
  <c r="C11" i="43" s="1"/>
  <c r="P8" i="50"/>
  <c r="C11" i="50" s="1"/>
  <c r="P8" i="46"/>
  <c r="C11" i="46" s="1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P7" i="44"/>
  <c r="E174" i="56"/>
  <c r="P7" i="38"/>
  <c r="P7" i="43"/>
  <c r="C10" i="43" s="1"/>
  <c r="C38" i="43" s="1"/>
  <c r="P7" i="46"/>
  <c r="P8" i="17"/>
  <c r="C11" i="17" s="1"/>
  <c r="F21" i="56"/>
  <c r="P9" i="17"/>
  <c r="C12" i="17" s="1"/>
  <c r="P7" i="17"/>
  <c r="P530" i="17"/>
  <c r="M530" i="17"/>
  <c r="H493" i="17"/>
  <c r="O530" i="17"/>
  <c r="J491" i="17"/>
  <c r="O438" i="17"/>
  <c r="M438" i="17"/>
  <c r="K491" i="17"/>
  <c r="K493" i="17"/>
  <c r="J493" i="17"/>
  <c r="BF11" i="17"/>
  <c r="BF21" i="17" s="1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N31" i="37"/>
  <c r="K438" i="37"/>
  <c r="J438" i="37"/>
  <c r="O512" i="37"/>
  <c r="M512" i="37"/>
  <c r="P384" i="38"/>
  <c r="M384" i="38"/>
  <c r="P369" i="37"/>
  <c r="M369" i="37"/>
  <c r="J458" i="37"/>
  <c r="H458" i="37"/>
  <c r="H478" i="38"/>
  <c r="K476" i="38" s="1"/>
  <c r="J423" i="38"/>
  <c r="H423" i="38"/>
  <c r="J491" i="38"/>
  <c r="H491" i="38"/>
  <c r="K530" i="38"/>
  <c r="J369" i="38"/>
  <c r="J514" i="50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P7" i="40"/>
  <c r="H476" i="45"/>
  <c r="H8" i="58"/>
  <c r="H29" i="62"/>
  <c r="H28" i="63"/>
  <c r="H369" i="17"/>
  <c r="J369" i="17"/>
  <c r="H351" i="17"/>
  <c r="J351" i="17"/>
  <c r="K351" i="17"/>
  <c r="G9" i="58"/>
  <c r="I30" i="62" s="1"/>
  <c r="G29" i="63"/>
  <c r="D29" i="62"/>
  <c r="D28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8" i="63"/>
  <c r="H29" i="63"/>
  <c r="J458" i="40" l="1"/>
  <c r="J458" i="47"/>
  <c r="M491" i="55"/>
  <c r="O476" i="52"/>
  <c r="K458" i="52"/>
  <c r="H458" i="52"/>
  <c r="H460" i="52" s="1"/>
  <c r="P476" i="52"/>
  <c r="P458" i="51"/>
  <c r="K491" i="50"/>
  <c r="J491" i="50"/>
  <c r="I493" i="50"/>
  <c r="J493" i="50" s="1"/>
  <c r="J492" i="50" s="1"/>
  <c r="O491" i="50"/>
  <c r="O493" i="48"/>
  <c r="M493" i="48"/>
  <c r="H371" i="48"/>
  <c r="K369" i="48" s="1"/>
  <c r="J491" i="46"/>
  <c r="H491" i="46"/>
  <c r="P491" i="45"/>
  <c r="H458" i="43"/>
  <c r="I460" i="43" s="1"/>
  <c r="K460" i="43" s="1"/>
  <c r="J458" i="43"/>
  <c r="J491" i="40"/>
  <c r="H491" i="40"/>
  <c r="M476" i="38"/>
  <c r="N478" i="38" s="1"/>
  <c r="P476" i="38"/>
  <c r="J458" i="38"/>
  <c r="K458" i="38"/>
  <c r="I460" i="38"/>
  <c r="K460" i="38" s="1"/>
  <c r="P458" i="17"/>
  <c r="H458" i="17"/>
  <c r="H460" i="17" s="1"/>
  <c r="H458" i="40"/>
  <c r="C95" i="58"/>
  <c r="C101" i="58"/>
  <c r="K37" i="62"/>
  <c r="N460" i="38"/>
  <c r="P460" i="38" s="1"/>
  <c r="O491" i="40"/>
  <c r="H476" i="17"/>
  <c r="I478" i="17" s="1"/>
  <c r="K478" i="17" s="1"/>
  <c r="M491" i="46"/>
  <c r="M493" i="46" s="1"/>
  <c r="M478" i="55"/>
  <c r="M491" i="40"/>
  <c r="C102" i="58"/>
  <c r="T17" i="58" s="1"/>
  <c r="K38" i="62"/>
  <c r="N478" i="41"/>
  <c r="O478" i="41" s="1"/>
  <c r="O477" i="41" s="1"/>
  <c r="O476" i="41"/>
  <c r="C111" i="58"/>
  <c r="P476" i="41"/>
  <c r="M458" i="53"/>
  <c r="N460" i="53" s="1"/>
  <c r="O460" i="53" s="1"/>
  <c r="O458" i="53"/>
  <c r="O459" i="53" s="1"/>
  <c r="C108" i="58"/>
  <c r="V23" i="58" s="1"/>
  <c r="O476" i="55"/>
  <c r="C107" i="58"/>
  <c r="O458" i="38"/>
  <c r="P476" i="55"/>
  <c r="M458" i="51"/>
  <c r="N460" i="51" s="1"/>
  <c r="P458" i="38"/>
  <c r="C103" i="58"/>
  <c r="I478" i="53"/>
  <c r="H478" i="53"/>
  <c r="K476" i="53" s="1"/>
  <c r="J458" i="45"/>
  <c r="K491" i="48"/>
  <c r="J476" i="40"/>
  <c r="J477" i="40" s="1"/>
  <c r="K458" i="45"/>
  <c r="H458" i="54"/>
  <c r="I460" i="54" s="1"/>
  <c r="K460" i="54" s="1"/>
  <c r="K459" i="54" s="1"/>
  <c r="E25" i="54" s="1"/>
  <c r="K476" i="40"/>
  <c r="P458" i="55"/>
  <c r="J491" i="48"/>
  <c r="M458" i="55"/>
  <c r="I460" i="41"/>
  <c r="K460" i="41" s="1"/>
  <c r="K459" i="41" s="1"/>
  <c r="E25" i="41" s="1"/>
  <c r="O491" i="54"/>
  <c r="P476" i="51"/>
  <c r="M458" i="45"/>
  <c r="O476" i="39"/>
  <c r="O477" i="39" s="1"/>
  <c r="M491" i="51"/>
  <c r="M493" i="51" s="1"/>
  <c r="K458" i="39"/>
  <c r="P458" i="45"/>
  <c r="O476" i="53"/>
  <c r="O476" i="48"/>
  <c r="P458" i="46"/>
  <c r="K491" i="37"/>
  <c r="H458" i="51"/>
  <c r="H460" i="51" s="1"/>
  <c r="O491" i="49"/>
  <c r="O491" i="45"/>
  <c r="J476" i="53"/>
  <c r="P491" i="51"/>
  <c r="H458" i="39"/>
  <c r="I460" i="39" s="1"/>
  <c r="K460" i="39" s="1"/>
  <c r="J458" i="54"/>
  <c r="H491" i="37"/>
  <c r="H493" i="37" s="1"/>
  <c r="M476" i="44"/>
  <c r="M478" i="44" s="1"/>
  <c r="P491" i="49"/>
  <c r="P458" i="47"/>
  <c r="O476" i="37"/>
  <c r="M458" i="37"/>
  <c r="N460" i="37" s="1"/>
  <c r="P460" i="37" s="1"/>
  <c r="P459" i="37" s="1"/>
  <c r="E26" i="37" s="1"/>
  <c r="P458" i="50"/>
  <c r="P459" i="50" s="1"/>
  <c r="E26" i="50" s="1"/>
  <c r="J458" i="41"/>
  <c r="M440" i="43"/>
  <c r="C93" i="58"/>
  <c r="W8" i="58" s="1"/>
  <c r="Q17" i="63"/>
  <c r="M458" i="42"/>
  <c r="J476" i="48"/>
  <c r="O458" i="42"/>
  <c r="H458" i="50"/>
  <c r="H460" i="50" s="1"/>
  <c r="M476" i="47"/>
  <c r="M478" i="47" s="1"/>
  <c r="O476" i="47"/>
  <c r="O491" i="48"/>
  <c r="O492" i="48" s="1"/>
  <c r="K491" i="55"/>
  <c r="H491" i="55"/>
  <c r="I493" i="55" s="1"/>
  <c r="H476" i="41"/>
  <c r="H478" i="41" s="1"/>
  <c r="K476" i="41" s="1"/>
  <c r="K478" i="39"/>
  <c r="K477" i="39" s="1"/>
  <c r="E30" i="39" s="1"/>
  <c r="K477" i="38"/>
  <c r="E30" i="38" s="1"/>
  <c r="P491" i="48"/>
  <c r="T11" i="58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H386" i="51"/>
  <c r="J425" i="48"/>
  <c r="J424" i="48" s="1"/>
  <c r="R414" i="48" s="1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AJ99" i="49" s="1"/>
  <c r="AJ98" i="49" s="1"/>
  <c r="AJ97" i="49" s="1"/>
  <c r="AR124" i="49" s="1"/>
  <c r="M425" i="50"/>
  <c r="I371" i="39"/>
  <c r="K371" i="39" s="1"/>
  <c r="K370" i="39" s="1"/>
  <c r="J493" i="48"/>
  <c r="X15" i="58"/>
  <c r="V17" i="58"/>
  <c r="W15" i="58"/>
  <c r="N478" i="52"/>
  <c r="P478" i="52" s="1"/>
  <c r="H547" i="55"/>
  <c r="K440" i="42"/>
  <c r="K440" i="37"/>
  <c r="T19" i="58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I104" i="44" s="1"/>
  <c r="AI103" i="44" s="1"/>
  <c r="AI102" i="44" s="1"/>
  <c r="AI101" i="44" s="1"/>
  <c r="AI100" i="44" s="1"/>
  <c r="AI99" i="44" s="1"/>
  <c r="AI98" i="44" s="1"/>
  <c r="AI97" i="44" s="1"/>
  <c r="AQ124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AH102" i="45" s="1"/>
  <c r="AH101" i="45" s="1"/>
  <c r="AH100" i="45" s="1"/>
  <c r="AH99" i="45" s="1"/>
  <c r="AH98" i="45" s="1"/>
  <c r="AH97" i="45" s="1"/>
  <c r="AP124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X17" i="58"/>
  <c r="U13" i="58"/>
  <c r="K425" i="47"/>
  <c r="U27" i="58"/>
  <c r="T27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X19" i="58"/>
  <c r="W19" i="58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K478" i="46"/>
  <c r="K477" i="46" s="1"/>
  <c r="E30" i="46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V25" i="58"/>
  <c r="T25" i="58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AK105" i="52" s="1"/>
  <c r="AK104" i="52" s="1"/>
  <c r="AK103" i="52" s="1"/>
  <c r="AK102" i="52" s="1"/>
  <c r="AK101" i="52" s="1"/>
  <c r="AK100" i="52" s="1"/>
  <c r="AK99" i="52" s="1"/>
  <c r="AK98" i="52" s="1"/>
  <c r="AK97" i="52" s="1"/>
  <c r="AS124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H407" i="46"/>
  <c r="I353" i="48"/>
  <c r="J353" i="48" s="1"/>
  <c r="J352" i="48" s="1"/>
  <c r="H532" i="49"/>
  <c r="K530" i="49" s="1"/>
  <c r="H386" i="17"/>
  <c r="M32" i="55"/>
  <c r="I48" i="55" s="1"/>
  <c r="K424" i="48"/>
  <c r="W18" i="58"/>
  <c r="T18" i="58"/>
  <c r="X18" i="58"/>
  <c r="V18" i="58"/>
  <c r="U18" i="58"/>
  <c r="W10" i="58"/>
  <c r="T10" i="58"/>
  <c r="X10" i="58"/>
  <c r="U10" i="58"/>
  <c r="V10" i="58"/>
  <c r="C94" i="58"/>
  <c r="M371" i="49"/>
  <c r="T21" i="58"/>
  <c r="X21" i="58"/>
  <c r="W21" i="58"/>
  <c r="U21" i="58"/>
  <c r="V21" i="58"/>
  <c r="W26" i="58"/>
  <c r="T26" i="58"/>
  <c r="X26" i="58"/>
  <c r="V26" i="58"/>
  <c r="U26" i="58"/>
  <c r="U16" i="58"/>
  <c r="X16" i="58"/>
  <c r="V16" i="58"/>
  <c r="T16" i="58"/>
  <c r="W16" i="58"/>
  <c r="O352" i="43"/>
  <c r="S359" i="43" s="1"/>
  <c r="K492" i="52"/>
  <c r="E35" i="52" s="1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W22" i="58"/>
  <c r="T22" i="58"/>
  <c r="X22" i="58"/>
  <c r="U22" i="58"/>
  <c r="V22" i="58"/>
  <c r="U12" i="58"/>
  <c r="T12" i="58"/>
  <c r="V12" i="58"/>
  <c r="W12" i="58"/>
  <c r="X1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AK99" i="55" s="1"/>
  <c r="AK98" i="55" s="1"/>
  <c r="AK97" i="55" s="1"/>
  <c r="AS124" i="55" s="1"/>
  <c r="K386" i="54"/>
  <c r="K385" i="54" s="1"/>
  <c r="J386" i="54"/>
  <c r="J385" i="54" s="1"/>
  <c r="M32" i="50"/>
  <c r="I48" i="50" s="1"/>
  <c r="J493" i="52"/>
  <c r="J492" i="52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E25" i="52" s="1"/>
  <c r="K425" i="17"/>
  <c r="O439" i="38"/>
  <c r="S415" i="38" s="1"/>
  <c r="P353" i="37"/>
  <c r="P352" i="37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J99" i="55" s="1"/>
  <c r="AJ98" i="55" s="1"/>
  <c r="AJ97" i="55" s="1"/>
  <c r="AR124" i="5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N386" i="41"/>
  <c r="M514" i="40"/>
  <c r="M460" i="53"/>
  <c r="O546" i="42"/>
  <c r="S522" i="42" s="1"/>
  <c r="J424" i="55"/>
  <c r="R414" i="55" s="1"/>
  <c r="AK103" i="53"/>
  <c r="AK102" i="53" s="1"/>
  <c r="AK101" i="53" s="1"/>
  <c r="AK100" i="53" s="1"/>
  <c r="AK99" i="53" s="1"/>
  <c r="AK98" i="53" s="1"/>
  <c r="AK97" i="53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H532" i="39"/>
  <c r="K530" i="39" s="1"/>
  <c r="O547" i="41"/>
  <c r="O546" i="41" s="1"/>
  <c r="S522" i="41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AG103" i="53" s="1"/>
  <c r="AG102" i="53" s="1"/>
  <c r="AG101" i="53" s="1"/>
  <c r="AG100" i="53" s="1"/>
  <c r="AG99" i="53" s="1"/>
  <c r="AG98" i="53" s="1"/>
  <c r="AG97" i="53" s="1"/>
  <c r="AO124" i="53" s="1"/>
  <c r="H407" i="42"/>
  <c r="O424" i="48"/>
  <c r="S414" i="48" s="1"/>
  <c r="P406" i="47"/>
  <c r="AK101" i="46"/>
  <c r="AK100" i="46" s="1"/>
  <c r="AK99" i="46" s="1"/>
  <c r="AK98" i="46" s="1"/>
  <c r="AK97" i="46" s="1"/>
  <c r="AS124" i="46" s="1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P513" i="46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AK104" i="44" s="1"/>
  <c r="AK103" i="44" s="1"/>
  <c r="AK102" i="44" s="1"/>
  <c r="AK101" i="44" s="1"/>
  <c r="AK100" i="44" s="1"/>
  <c r="AK99" i="44" s="1"/>
  <c r="AK98" i="44" s="1"/>
  <c r="AK97" i="44" s="1"/>
  <c r="AS124" i="44" s="1"/>
  <c r="I514" i="40"/>
  <c r="J514" i="40" s="1"/>
  <c r="J513" i="40" s="1"/>
  <c r="R520" i="40" s="1"/>
  <c r="O406" i="47"/>
  <c r="S413" i="47" s="1"/>
  <c r="K425" i="55"/>
  <c r="K424" i="55" s="1"/>
  <c r="J460" i="54"/>
  <c r="J459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AG107" i="40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AH99" i="55" s="1"/>
  <c r="AH98" i="55" s="1"/>
  <c r="AH97" i="55" s="1"/>
  <c r="AP124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M493" i="50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492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8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AJ103" i="53"/>
  <c r="AJ102" i="53" s="1"/>
  <c r="AJ101" i="53" s="1"/>
  <c r="AJ100" i="53" s="1"/>
  <c r="AJ99" i="53" s="1"/>
  <c r="AJ98" i="53" s="1"/>
  <c r="AJ97" i="53" s="1"/>
  <c r="AR124" i="53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386" i="40"/>
  <c r="N386" i="40"/>
  <c r="P492" i="53"/>
  <c r="E36" i="53" s="1"/>
  <c r="N386" i="47"/>
  <c r="O386" i="47" s="1"/>
  <c r="O385" i="47" s="1"/>
  <c r="P459" i="17"/>
  <c r="E26" i="17" s="1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I460" i="46"/>
  <c r="H460" i="46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E36" i="50" s="1"/>
  <c r="O493" i="50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L105" i="42" s="1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J105" i="42" s="1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I105" i="42" s="1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K29" i="63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I107" i="39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P478" i="55"/>
  <c r="P460" i="40"/>
  <c r="P459" i="40" s="1"/>
  <c r="E26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G99" i="55"/>
  <c r="AG98" i="55" s="1"/>
  <c r="AG97" i="55" s="1"/>
  <c r="AO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M460" i="42"/>
  <c r="N460" i="42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E35" i="45" s="1"/>
  <c r="J493" i="45"/>
  <c r="J492" i="45" s="1"/>
  <c r="M32" i="52"/>
  <c r="I48" i="52" s="1"/>
  <c r="M35" i="52"/>
  <c r="P353" i="45"/>
  <c r="P352" i="45" s="1"/>
  <c r="O353" i="45"/>
  <c r="O352" i="45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P11" i="48"/>
  <c r="E13" i="48" s="1"/>
  <c r="I56" i="48" s="1"/>
  <c r="M371" i="55"/>
  <c r="N371" i="55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H547" i="52"/>
  <c r="I547" i="52"/>
  <c r="N532" i="48"/>
  <c r="M532" i="48"/>
  <c r="H371" i="47"/>
  <c r="K369" i="47" s="1"/>
  <c r="I371" i="47"/>
  <c r="N386" i="39"/>
  <c r="M386" i="39"/>
  <c r="N514" i="17"/>
  <c r="M514" i="17"/>
  <c r="M407" i="42"/>
  <c r="N407" i="42"/>
  <c r="N532" i="51"/>
  <c r="M532" i="51"/>
  <c r="H386" i="48"/>
  <c r="I386" i="48"/>
  <c r="O460" i="54"/>
  <c r="O459" i="54" s="1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AS124" i="53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K478" i="53"/>
  <c r="K477" i="53" s="1"/>
  <c r="E30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H478" i="45"/>
  <c r="K476" i="45" s="1"/>
  <c r="I478" i="45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29" i="63"/>
  <c r="K29" i="62"/>
  <c r="P19" i="62" s="1"/>
  <c r="K28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P459" i="38" l="1"/>
  <c r="E26" i="38" s="1"/>
  <c r="O492" i="50"/>
  <c r="S468" i="50" s="1"/>
  <c r="J478" i="17"/>
  <c r="J477" i="17" s="1"/>
  <c r="K493" i="50"/>
  <c r="K492" i="50" s="1"/>
  <c r="E35" i="50" s="1"/>
  <c r="O477" i="55"/>
  <c r="J492" i="48"/>
  <c r="N493" i="46"/>
  <c r="O493" i="46" s="1"/>
  <c r="O492" i="46" s="1"/>
  <c r="N478" i="44"/>
  <c r="J460" i="41"/>
  <c r="J459" i="41" s="1"/>
  <c r="R466" i="41" s="1"/>
  <c r="P478" i="41"/>
  <c r="K477" i="40"/>
  <c r="E30" i="40" s="1"/>
  <c r="O460" i="38"/>
  <c r="O459" i="38" s="1"/>
  <c r="S466" i="38" s="1"/>
  <c r="M460" i="51"/>
  <c r="T23" i="58"/>
  <c r="N493" i="51"/>
  <c r="P493" i="51" s="1"/>
  <c r="P492" i="51" s="1"/>
  <c r="E36" i="51" s="1"/>
  <c r="J460" i="39"/>
  <c r="J459" i="39" s="1"/>
  <c r="P531" i="53"/>
  <c r="W23" i="58"/>
  <c r="X23" i="58"/>
  <c r="O371" i="41"/>
  <c r="O370" i="41" s="1"/>
  <c r="S360" i="41" s="1"/>
  <c r="H478" i="17"/>
  <c r="K476" i="17" s="1"/>
  <c r="K477" i="17" s="1"/>
  <c r="E30" i="17" s="1"/>
  <c r="U23" i="58"/>
  <c r="H460" i="39"/>
  <c r="J371" i="39"/>
  <c r="J370" i="39" s="1"/>
  <c r="R360" i="39" s="1"/>
  <c r="P386" i="51"/>
  <c r="P385" i="51" s="1"/>
  <c r="K353" i="52"/>
  <c r="K352" i="52" s="1"/>
  <c r="K492" i="55"/>
  <c r="O460" i="37"/>
  <c r="O459" i="37" s="1"/>
  <c r="I460" i="51"/>
  <c r="J460" i="51" s="1"/>
  <c r="J459" i="51" s="1"/>
  <c r="R466" i="51" s="1"/>
  <c r="I493" i="37"/>
  <c r="K493" i="37" s="1"/>
  <c r="K492" i="37" s="1"/>
  <c r="E35" i="37" s="1"/>
  <c r="H460" i="54"/>
  <c r="K531" i="43"/>
  <c r="M460" i="37"/>
  <c r="U8" i="58"/>
  <c r="T8" i="58"/>
  <c r="X8" i="58"/>
  <c r="V8" i="58"/>
  <c r="Y11" i="58"/>
  <c r="Z11" i="58" s="1"/>
  <c r="S468" i="38"/>
  <c r="C36" i="38"/>
  <c r="R468" i="45"/>
  <c r="C35" i="45"/>
  <c r="R468" i="17"/>
  <c r="C35" i="17"/>
  <c r="R468" i="47"/>
  <c r="C35" i="47"/>
  <c r="R467" i="50"/>
  <c r="C30" i="50"/>
  <c r="S468" i="46"/>
  <c r="C36" i="46"/>
  <c r="S466" i="50"/>
  <c r="C26" i="50"/>
  <c r="R467" i="52"/>
  <c r="C30" i="52"/>
  <c r="AD6" i="52" s="1"/>
  <c r="R466" i="43"/>
  <c r="C25" i="43"/>
  <c r="R467" i="46"/>
  <c r="C30" i="46"/>
  <c r="I478" i="41"/>
  <c r="K478" i="41" s="1"/>
  <c r="K477" i="41" s="1"/>
  <c r="C26" i="38"/>
  <c r="AC7" i="38" s="1"/>
  <c r="S467" i="43"/>
  <c r="C31" i="43"/>
  <c r="AD7" i="43" s="1"/>
  <c r="S466" i="41"/>
  <c r="C26" i="41"/>
  <c r="S467" i="55"/>
  <c r="C31" i="55"/>
  <c r="S468" i="53"/>
  <c r="C36" i="53"/>
  <c r="AB7" i="53" s="1"/>
  <c r="R468" i="50"/>
  <c r="C35" i="50"/>
  <c r="R466" i="47"/>
  <c r="C25" i="47"/>
  <c r="S468" i="44"/>
  <c r="C36" i="44"/>
  <c r="S466" i="37"/>
  <c r="C26" i="37"/>
  <c r="AC7" i="37" s="1"/>
  <c r="S466" i="54"/>
  <c r="C26" i="54"/>
  <c r="S466" i="48"/>
  <c r="C26" i="48"/>
  <c r="AC7" i="48" s="1"/>
  <c r="R466" i="38"/>
  <c r="C25" i="38"/>
  <c r="S466" i="53"/>
  <c r="C26" i="53"/>
  <c r="R467" i="43"/>
  <c r="C30" i="43"/>
  <c r="R468" i="43"/>
  <c r="C35" i="43"/>
  <c r="R467" i="40"/>
  <c r="C30" i="40"/>
  <c r="P492" i="48"/>
  <c r="E36" i="48" s="1"/>
  <c r="E30" i="41"/>
  <c r="S467" i="41"/>
  <c r="C31" i="41"/>
  <c r="S466" i="17"/>
  <c r="C26" i="17"/>
  <c r="AC7" i="17" s="1"/>
  <c r="R467" i="37"/>
  <c r="C30" i="37"/>
  <c r="AD6" i="37" s="1"/>
  <c r="S467" i="42"/>
  <c r="C31" i="42"/>
  <c r="R467" i="53"/>
  <c r="C30" i="53"/>
  <c r="R467" i="51"/>
  <c r="C30" i="51"/>
  <c r="R467" i="17"/>
  <c r="C30" i="17"/>
  <c r="R468" i="41"/>
  <c r="C35" i="41"/>
  <c r="R468" i="55"/>
  <c r="C35" i="55"/>
  <c r="AB6" i="55" s="1"/>
  <c r="R466" i="54"/>
  <c r="C25" i="54"/>
  <c r="C25" i="41"/>
  <c r="S466" i="40"/>
  <c r="C26" i="40"/>
  <c r="AC7" i="40" s="1"/>
  <c r="S468" i="42"/>
  <c r="C36" i="42"/>
  <c r="S466" i="49"/>
  <c r="C26" i="49"/>
  <c r="R468" i="48"/>
  <c r="C35" i="48"/>
  <c r="S468" i="48"/>
  <c r="C36" i="48"/>
  <c r="AB7" i="48" s="1"/>
  <c r="S467" i="51"/>
  <c r="C31" i="51"/>
  <c r="AD7" i="51" s="1"/>
  <c r="R467" i="38"/>
  <c r="C30" i="38"/>
  <c r="AD6" i="38" s="1"/>
  <c r="R468" i="52"/>
  <c r="C35" i="52"/>
  <c r="R466" i="17"/>
  <c r="C25" i="17"/>
  <c r="E35" i="55"/>
  <c r="R467" i="39"/>
  <c r="C30" i="39"/>
  <c r="AD6" i="39" s="1"/>
  <c r="S467" i="39"/>
  <c r="C31" i="39"/>
  <c r="R466" i="39"/>
  <c r="C25" i="39"/>
  <c r="AC6" i="39" s="1"/>
  <c r="J478" i="41"/>
  <c r="J477" i="41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P477" i="39"/>
  <c r="E31" i="39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AC6" i="38"/>
  <c r="R359" i="38"/>
  <c r="K424" i="54"/>
  <c r="J478" i="48"/>
  <c r="J477" i="48" s="1"/>
  <c r="K478" i="48"/>
  <c r="K477" i="48" s="1"/>
  <c r="E30" i="48" s="1"/>
  <c r="P370" i="49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AD6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AC6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G35" i="55" s="1"/>
  <c r="AR12" i="55" s="1"/>
  <c r="AR18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E30" i="49" s="1"/>
  <c r="J478" i="49"/>
  <c r="J477" i="49" s="1"/>
  <c r="K386" i="42"/>
  <c r="K385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G35" i="37" s="1"/>
  <c r="AR12" i="37" s="1"/>
  <c r="AR18" i="37" s="1"/>
  <c r="S359" i="39"/>
  <c r="S359" i="45"/>
  <c r="S360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G35" i="52" s="1"/>
  <c r="AR12" i="52" s="1"/>
  <c r="AR18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G35" i="49" s="1"/>
  <c r="AR12" i="49" s="1"/>
  <c r="AR18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R359" i="44"/>
  <c r="AB6" i="52"/>
  <c r="R361" i="52"/>
  <c r="P532" i="17"/>
  <c r="O532" i="17"/>
  <c r="O531" i="17" s="1"/>
  <c r="S521" i="17" s="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R359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G35" i="42" l="1"/>
  <c r="AR12" i="42" s="1"/>
  <c r="AR18" i="42" s="1"/>
  <c r="C36" i="50"/>
  <c r="O493" i="51"/>
  <c r="O492" i="51" s="1"/>
  <c r="C25" i="51"/>
  <c r="AC6" i="51" s="1"/>
  <c r="K460" i="51"/>
  <c r="K459" i="51" s="1"/>
  <c r="E25" i="51" s="1"/>
  <c r="G25" i="51" s="1"/>
  <c r="AY12" i="51" s="1"/>
  <c r="AY18" i="51" s="1"/>
  <c r="P370" i="41"/>
  <c r="G25" i="17"/>
  <c r="AY12" i="17" s="1"/>
  <c r="AY18" i="17" s="1"/>
  <c r="G35" i="48"/>
  <c r="AR12" i="48" s="1"/>
  <c r="AR18" i="48" s="1"/>
  <c r="G25" i="37"/>
  <c r="G35" i="51"/>
  <c r="AR12" i="51" s="1"/>
  <c r="AR18" i="51" s="1"/>
  <c r="P477" i="52"/>
  <c r="E31" i="52" s="1"/>
  <c r="G35" i="38"/>
  <c r="AR12" i="38" s="1"/>
  <c r="AR18" i="38" s="1"/>
  <c r="G25" i="43"/>
  <c r="G25" i="45"/>
  <c r="AY12" i="45" s="1"/>
  <c r="AY18" i="45" s="1"/>
  <c r="Y8" i="58"/>
  <c r="Z8" i="58" s="1"/>
  <c r="G25" i="42"/>
  <c r="AY12" i="42" s="1"/>
  <c r="AY18" i="42" s="1"/>
  <c r="S467" i="45"/>
  <c r="C31" i="45"/>
  <c r="AD7" i="45" s="1"/>
  <c r="R466" i="49"/>
  <c r="C25" i="49"/>
  <c r="AC6" i="49" s="1"/>
  <c r="S467" i="17"/>
  <c r="C31" i="17"/>
  <c r="AD7" i="17" s="1"/>
  <c r="S467" i="44"/>
  <c r="C31" i="44"/>
  <c r="AD7" i="44" s="1"/>
  <c r="R466" i="50"/>
  <c r="C25" i="50"/>
  <c r="AC6" i="50" s="1"/>
  <c r="S468" i="49"/>
  <c r="C36" i="49"/>
  <c r="AB7" i="49" s="1"/>
  <c r="R466" i="42"/>
  <c r="C25" i="42"/>
  <c r="AC6" i="42" s="1"/>
  <c r="R467" i="55"/>
  <c r="C30" i="55"/>
  <c r="AD6" i="55" s="1"/>
  <c r="R468" i="51"/>
  <c r="C35" i="51"/>
  <c r="AB6" i="51" s="1"/>
  <c r="S468" i="37"/>
  <c r="C36" i="37"/>
  <c r="AB7" i="37" s="1"/>
  <c r="S466" i="42"/>
  <c r="C26" i="42"/>
  <c r="AC7" i="42" s="1"/>
  <c r="AY14" i="42" s="1"/>
  <c r="S467" i="49"/>
  <c r="C31" i="49"/>
  <c r="AD7" i="49" s="1"/>
  <c r="S467" i="47"/>
  <c r="C31" i="47"/>
  <c r="AD7" i="47" s="1"/>
  <c r="R466" i="40"/>
  <c r="C25" i="40"/>
  <c r="AC6" i="40" s="1"/>
  <c r="AC8" i="40" s="1"/>
  <c r="Y19" i="40" s="1"/>
  <c r="R467" i="48"/>
  <c r="C30" i="48"/>
  <c r="AD6" i="48" s="1"/>
  <c r="G30" i="41"/>
  <c r="BF12" i="41" s="1"/>
  <c r="BF18" i="41" s="1"/>
  <c r="S468" i="43"/>
  <c r="C36" i="43"/>
  <c r="AB7" i="43" s="1"/>
  <c r="S467" i="50"/>
  <c r="C31" i="50"/>
  <c r="AD7" i="50" s="1"/>
  <c r="S468" i="47"/>
  <c r="C36" i="47"/>
  <c r="AB7" i="47" s="1"/>
  <c r="R467" i="47"/>
  <c r="C30" i="47"/>
  <c r="AD6" i="47" s="1"/>
  <c r="R466" i="53"/>
  <c r="C25" i="53"/>
  <c r="AC6" i="53" s="1"/>
  <c r="G25" i="55"/>
  <c r="AY12" i="55" s="1"/>
  <c r="AY18" i="55" s="1"/>
  <c r="R466" i="46"/>
  <c r="C25" i="46"/>
  <c r="AC6" i="46" s="1"/>
  <c r="R468" i="49"/>
  <c r="C35" i="49"/>
  <c r="AB6" i="49" s="1"/>
  <c r="R466" i="55"/>
  <c r="C25" i="55"/>
  <c r="AC6" i="55" s="1"/>
  <c r="R468" i="42"/>
  <c r="C35" i="42"/>
  <c r="G30" i="43"/>
  <c r="BF12" i="43" s="1"/>
  <c r="BF18" i="43" s="1"/>
  <c r="R468" i="54"/>
  <c r="C35" i="54"/>
  <c r="AB6" i="54" s="1"/>
  <c r="R466" i="44"/>
  <c r="C25" i="44"/>
  <c r="AC6" i="44" s="1"/>
  <c r="R466" i="48"/>
  <c r="C25" i="48"/>
  <c r="AC6" i="48" s="1"/>
  <c r="AC8" i="48" s="1"/>
  <c r="Y15" i="48" s="1"/>
  <c r="Y16" i="48" s="1"/>
  <c r="AF18" i="48" s="1"/>
  <c r="S468" i="52"/>
  <c r="C36" i="52"/>
  <c r="AB7" i="52" s="1"/>
  <c r="AR15" i="52" s="1"/>
  <c r="S467" i="40"/>
  <c r="C31" i="40"/>
  <c r="AD7" i="40" s="1"/>
  <c r="S468" i="40"/>
  <c r="C36" i="40"/>
  <c r="AB7" i="40" s="1"/>
  <c r="R466" i="45"/>
  <c r="C25" i="45"/>
  <c r="AC6" i="45" s="1"/>
  <c r="G30" i="52"/>
  <c r="BF12" i="52" s="1"/>
  <c r="BF18" i="52" s="1"/>
  <c r="R467" i="45"/>
  <c r="C30" i="45"/>
  <c r="S467" i="46"/>
  <c r="C31" i="46"/>
  <c r="AD7" i="46" s="1"/>
  <c r="S468" i="17"/>
  <c r="C36" i="17"/>
  <c r="AB7" i="17" s="1"/>
  <c r="R468" i="53"/>
  <c r="C35" i="53"/>
  <c r="AB6" i="53" s="1"/>
  <c r="R467" i="42"/>
  <c r="C30" i="42"/>
  <c r="AD6" i="42" s="1"/>
  <c r="G25" i="52"/>
  <c r="AY12" i="52" s="1"/>
  <c r="AY18" i="52" s="1"/>
  <c r="R467" i="54"/>
  <c r="C30" i="54"/>
  <c r="AD6" i="54" s="1"/>
  <c r="AB7" i="42"/>
  <c r="R466" i="52"/>
  <c r="C25" i="52"/>
  <c r="AC6" i="52" s="1"/>
  <c r="AY14" i="52" s="1"/>
  <c r="S467" i="52"/>
  <c r="C31" i="52"/>
  <c r="AD7" i="52" s="1"/>
  <c r="BF15" i="52" s="1"/>
  <c r="R468" i="38"/>
  <c r="C35" i="38"/>
  <c r="AB6" i="38" s="1"/>
  <c r="S466" i="47"/>
  <c r="C26" i="47"/>
  <c r="AC7" i="47" s="1"/>
  <c r="AY15" i="47" s="1"/>
  <c r="S468" i="45"/>
  <c r="C36" i="45"/>
  <c r="AB7" i="45" s="1"/>
  <c r="S466" i="46"/>
  <c r="C26" i="46"/>
  <c r="AC7" i="46" s="1"/>
  <c r="S468" i="55"/>
  <c r="C36" i="55"/>
  <c r="AB7" i="55" s="1"/>
  <c r="AB8" i="55" s="1"/>
  <c r="S466" i="45"/>
  <c r="C26" i="45"/>
  <c r="AC7" i="45" s="1"/>
  <c r="S468" i="51"/>
  <c r="C36" i="51"/>
  <c r="AB7" i="51" s="1"/>
  <c r="R468" i="37"/>
  <c r="C35" i="37"/>
  <c r="AB6" i="37" s="1"/>
  <c r="G25" i="44"/>
  <c r="AY12" i="44" s="1"/>
  <c r="AY18" i="44" s="1"/>
  <c r="R467" i="41"/>
  <c r="C30" i="41"/>
  <c r="AD6" i="41" s="1"/>
  <c r="BF15" i="41" s="1"/>
  <c r="R468" i="40"/>
  <c r="C35" i="40"/>
  <c r="AB6" i="40" s="1"/>
  <c r="S466" i="44"/>
  <c r="C26" i="44"/>
  <c r="AC7" i="44" s="1"/>
  <c r="R468" i="46"/>
  <c r="C35" i="46"/>
  <c r="AB6" i="46" s="1"/>
  <c r="S466" i="51"/>
  <c r="C26" i="51"/>
  <c r="AC7" i="51" s="1"/>
  <c r="AY14" i="51" s="1"/>
  <c r="S466" i="55"/>
  <c r="C26" i="55"/>
  <c r="AC7" i="55" s="1"/>
  <c r="AC8" i="55" s="1"/>
  <c r="R467" i="44"/>
  <c r="C30" i="44"/>
  <c r="AD6" i="44" s="1"/>
  <c r="S467" i="38"/>
  <c r="C31" i="38"/>
  <c r="AD7" i="38" s="1"/>
  <c r="AD8" i="38" s="1"/>
  <c r="Y40" i="38" s="1"/>
  <c r="R468" i="44"/>
  <c r="C35" i="44"/>
  <c r="AB6" i="44" s="1"/>
  <c r="G35" i="40"/>
  <c r="AR12" i="40" s="1"/>
  <c r="AR18" i="40" s="1"/>
  <c r="R466" i="37"/>
  <c r="C25" i="37"/>
  <c r="AC6" i="37" s="1"/>
  <c r="S466" i="52"/>
  <c r="C26" i="52"/>
  <c r="AC7" i="52" s="1"/>
  <c r="S468" i="41"/>
  <c r="C36" i="41"/>
  <c r="AB7" i="41" s="1"/>
  <c r="R467" i="49"/>
  <c r="C30" i="49"/>
  <c r="S467" i="54"/>
  <c r="C31" i="54"/>
  <c r="AD7" i="54" s="1"/>
  <c r="S468" i="54"/>
  <c r="C36" i="54"/>
  <c r="AB7" i="54" s="1"/>
  <c r="G25" i="50"/>
  <c r="S467" i="53"/>
  <c r="C31" i="53"/>
  <c r="AD7" i="53" s="1"/>
  <c r="BF15" i="53" s="1"/>
  <c r="G35" i="46"/>
  <c r="AR12" i="46" s="1"/>
  <c r="AR18" i="46" s="1"/>
  <c r="S466" i="43"/>
  <c r="C26" i="43"/>
  <c r="AC7" i="43" s="1"/>
  <c r="G25" i="47"/>
  <c r="AY12" i="47" s="1"/>
  <c r="AY18" i="47" s="1"/>
  <c r="S466" i="39"/>
  <c r="C26" i="39"/>
  <c r="AC7" i="39" s="1"/>
  <c r="AY14" i="39" s="1"/>
  <c r="S468" i="39"/>
  <c r="C36" i="39"/>
  <c r="AB7" i="39" s="1"/>
  <c r="R468" i="39"/>
  <c r="C35" i="39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S361" i="17"/>
  <c r="AY15" i="38"/>
  <c r="AY14" i="38"/>
  <c r="S359" i="47"/>
  <c r="R360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S359" i="53"/>
  <c r="AC7" i="53"/>
  <c r="P424" i="54"/>
  <c r="R359" i="40"/>
  <c r="P531" i="55"/>
  <c r="S360" i="53"/>
  <c r="P531" i="52"/>
  <c r="AB7" i="46"/>
  <c r="AR15" i="46" s="1"/>
  <c r="S361" i="46"/>
  <c r="P531" i="50"/>
  <c r="P531" i="46"/>
  <c r="S361" i="40"/>
  <c r="AB6" i="41"/>
  <c r="R361" i="41"/>
  <c r="R360" i="51"/>
  <c r="AD6" i="51"/>
  <c r="AD8" i="51" s="1"/>
  <c r="Y40" i="51" s="1"/>
  <c r="P477" i="53"/>
  <c r="E31" i="53" s="1"/>
  <c r="P477" i="49"/>
  <c r="E31" i="49" s="1"/>
  <c r="G30" i="49" s="1"/>
  <c r="BF12" i="49" s="1"/>
  <c r="BF18" i="49" s="1"/>
  <c r="P477" i="46"/>
  <c r="E31" i="46" s="1"/>
  <c r="G30" i="46" s="1"/>
  <c r="BF12" i="46" s="1"/>
  <c r="BF18" i="46" s="1"/>
  <c r="P477" i="40"/>
  <c r="E31" i="40" s="1"/>
  <c r="G30" i="40" s="1"/>
  <c r="BF12" i="40" s="1"/>
  <c r="BF18" i="40" s="1"/>
  <c r="G35" i="45"/>
  <c r="AR12" i="45" s="1"/>
  <c r="AR18" i="45" s="1"/>
  <c r="BF14" i="43"/>
  <c r="BF15" i="43"/>
  <c r="AD8" i="43"/>
  <c r="Y40" i="43" s="1"/>
  <c r="P424" i="39"/>
  <c r="G35" i="50"/>
  <c r="AR12" i="50" s="1"/>
  <c r="AR18" i="50" s="1"/>
  <c r="G35" i="44"/>
  <c r="AR12" i="44" s="1"/>
  <c r="AR18" i="44" s="1"/>
  <c r="J370" i="17"/>
  <c r="AY12" i="50"/>
  <c r="AY18" i="50" s="1"/>
  <c r="G25" i="49"/>
  <c r="AY12" i="43"/>
  <c r="AY18" i="43" s="1"/>
  <c r="AY15" i="42"/>
  <c r="G25" i="41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R359" i="49"/>
  <c r="R360" i="46"/>
  <c r="AD6" i="46"/>
  <c r="R361" i="47"/>
  <c r="AB6" i="47"/>
  <c r="AB8" i="47" s="1"/>
  <c r="P424" i="17"/>
  <c r="P370" i="39"/>
  <c r="G30" i="39" s="1"/>
  <c r="S360" i="39"/>
  <c r="AD7" i="39"/>
  <c r="AD8" i="39" s="1"/>
  <c r="Y40" i="39" s="1"/>
  <c r="S359" i="54"/>
  <c r="AC7" i="54"/>
  <c r="S361" i="45"/>
  <c r="R360" i="44"/>
  <c r="P531" i="49"/>
  <c r="P531" i="54"/>
  <c r="P370" i="48"/>
  <c r="R360" i="42"/>
  <c r="R360" i="50"/>
  <c r="AD6" i="50"/>
  <c r="G25" i="54"/>
  <c r="S360" i="38"/>
  <c r="S359" i="50"/>
  <c r="AC7" i="50"/>
  <c r="P424" i="44"/>
  <c r="P531" i="47"/>
  <c r="AD7" i="48"/>
  <c r="S360" i="48"/>
  <c r="R360" i="49"/>
  <c r="AD6" i="49"/>
  <c r="R361" i="44"/>
  <c r="R359" i="41"/>
  <c r="AC6" i="41"/>
  <c r="AC7" i="49"/>
  <c r="S359" i="49"/>
  <c r="S361" i="44"/>
  <c r="AB7" i="44"/>
  <c r="S359" i="46"/>
  <c r="AC6" i="43"/>
  <c r="R359" i="43"/>
  <c r="P424" i="49"/>
  <c r="R361" i="42"/>
  <c r="AB6" i="42"/>
  <c r="P370" i="54"/>
  <c r="G30" i="54" s="1"/>
  <c r="R361" i="37"/>
  <c r="R359" i="46"/>
  <c r="S360" i="54"/>
  <c r="R360" i="45"/>
  <c r="AD6" i="45"/>
  <c r="P531" i="37"/>
  <c r="S359" i="41"/>
  <c r="AC7" i="41"/>
  <c r="P425" i="46"/>
  <c r="O425" i="46"/>
  <c r="O424" i="46" s="1"/>
  <c r="S414" i="46" s="1"/>
  <c r="P531" i="51"/>
  <c r="P424" i="51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R361" i="49"/>
  <c r="P531" i="44"/>
  <c r="P424" i="40"/>
  <c r="R360" i="47"/>
  <c r="R360" i="40"/>
  <c r="AD6" i="40"/>
  <c r="P370" i="42"/>
  <c r="G30" i="42" s="1"/>
  <c r="AB6" i="48"/>
  <c r="R361" i="48"/>
  <c r="R361" i="43"/>
  <c r="AB6" i="43"/>
  <c r="R361" i="45"/>
  <c r="AB6" i="45"/>
  <c r="P531" i="17"/>
  <c r="P424" i="37"/>
  <c r="S361" i="52"/>
  <c r="P531" i="48"/>
  <c r="G35" i="39"/>
  <c r="AR12" i="39" s="1"/>
  <c r="AR18" i="39" s="1"/>
  <c r="P531" i="45"/>
  <c r="AB8" i="53"/>
  <c r="AR14" i="53"/>
  <c r="AR15" i="53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S360" i="37"/>
  <c r="AD7" i="37"/>
  <c r="R361" i="39"/>
  <c r="AB6" i="39"/>
  <c r="R359" i="17"/>
  <c r="AC6" i="17"/>
  <c r="P477" i="50"/>
  <c r="E31" i="50" s="1"/>
  <c r="G30" i="50" s="1"/>
  <c r="P424" i="47"/>
  <c r="AD8" i="54" l="1"/>
  <c r="AD8" i="41"/>
  <c r="Y40" i="41" s="1"/>
  <c r="AR14" i="40"/>
  <c r="AD8" i="46"/>
  <c r="Y40" i="46" s="1"/>
  <c r="AY15" i="39"/>
  <c r="AY14" i="45"/>
  <c r="AR15" i="54"/>
  <c r="AY15" i="52"/>
  <c r="G30" i="48"/>
  <c r="AD8" i="52"/>
  <c r="Y40" i="52" s="1"/>
  <c r="Y19" i="38"/>
  <c r="AF44" i="38" s="1"/>
  <c r="AC8" i="45"/>
  <c r="Y15" i="45" s="1"/>
  <c r="Y16" i="45" s="1"/>
  <c r="AF18" i="45" s="1"/>
  <c r="AR14" i="54"/>
  <c r="AC8" i="52"/>
  <c r="AY15" i="51"/>
  <c r="BA15" i="51" s="1"/>
  <c r="BA16" i="51" s="1"/>
  <c r="AB8" i="54"/>
  <c r="Y17" i="54" s="1"/>
  <c r="AR15" i="51"/>
  <c r="AC8" i="50"/>
  <c r="BF15" i="48"/>
  <c r="AY15" i="45"/>
  <c r="BA15" i="45" s="1"/>
  <c r="BA16" i="45" s="1"/>
  <c r="AY15" i="44"/>
  <c r="AY24" i="44" s="1"/>
  <c r="BA28" i="44" s="1"/>
  <c r="AX36" i="44" s="1"/>
  <c r="AC8" i="44"/>
  <c r="Y19" i="44" s="1"/>
  <c r="AY14" i="44"/>
  <c r="AY14" i="48"/>
  <c r="AC8" i="51"/>
  <c r="Y19" i="51" s="1"/>
  <c r="BF14" i="52"/>
  <c r="BH15" i="52" s="1"/>
  <c r="AY15" i="48"/>
  <c r="BF14" i="41"/>
  <c r="BH15" i="41" s="1"/>
  <c r="G30" i="38"/>
  <c r="BF12" i="38" s="1"/>
  <c r="BF18" i="38" s="1"/>
  <c r="AC8" i="42"/>
  <c r="AB8" i="51"/>
  <c r="Y43" i="51" s="1"/>
  <c r="AR14" i="55"/>
  <c r="G30" i="53"/>
  <c r="BF12" i="53" s="1"/>
  <c r="BF18" i="53" s="1"/>
  <c r="AR14" i="51"/>
  <c r="AT15" i="51" s="1"/>
  <c r="AC8" i="39"/>
  <c r="Y15" i="39" s="1"/>
  <c r="Y16" i="39" s="1"/>
  <c r="AF18" i="39" s="1"/>
  <c r="AY14" i="40"/>
  <c r="AR15" i="55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D8" i="53"/>
  <c r="Y40" i="53" s="1"/>
  <c r="BF14" i="53"/>
  <c r="BF24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AR14" i="47"/>
  <c r="BF15" i="51"/>
  <c r="AR15" i="40"/>
  <c r="AB8" i="40"/>
  <c r="AF40" i="40" s="1"/>
  <c r="AB8" i="41"/>
  <c r="AR15" i="41"/>
  <c r="AR14" i="41"/>
  <c r="Y43" i="54"/>
  <c r="P424" i="46"/>
  <c r="AB8" i="52"/>
  <c r="Y17" i="52" s="1"/>
  <c r="BF14" i="48"/>
  <c r="BF15" i="54"/>
  <c r="AR14" i="52"/>
  <c r="AR25" i="52" s="1"/>
  <c r="AT28" i="52" s="1"/>
  <c r="AX35" i="52" s="1"/>
  <c r="AY24" i="42"/>
  <c r="BA28" i="42" s="1"/>
  <c r="AX36" i="42" s="1"/>
  <c r="Y15" i="40"/>
  <c r="Y16" i="40" s="1"/>
  <c r="AF18" i="40" s="1"/>
  <c r="AD8" i="55"/>
  <c r="Y40" i="55" s="1"/>
  <c r="BF15" i="55"/>
  <c r="BF14" i="55"/>
  <c r="AT15" i="54"/>
  <c r="AR35" i="54"/>
  <c r="BF14" i="54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F12" i="48"/>
  <c r="BF18" i="48" s="1"/>
  <c r="BF12" i="47"/>
  <c r="BF18" i="47" s="1"/>
  <c r="AY14" i="46"/>
  <c r="AY15" i="46"/>
  <c r="AY12" i="46"/>
  <c r="AY18" i="46" s="1"/>
  <c r="BF12" i="45"/>
  <c r="BF18" i="45" s="1"/>
  <c r="AC8" i="43"/>
  <c r="Y19" i="43" s="1"/>
  <c r="AY15" i="43"/>
  <c r="AY14" i="43"/>
  <c r="BF12" i="42"/>
  <c r="BF18" i="42" s="1"/>
  <c r="BA15" i="42"/>
  <c r="BA16" i="42" s="1"/>
  <c r="AY12" i="41"/>
  <c r="AY18" i="41" s="1"/>
  <c r="AY15" i="41"/>
  <c r="AY14" i="41"/>
  <c r="AY24" i="39"/>
  <c r="BA28" i="39" s="1"/>
  <c r="AX36" i="39" s="1"/>
  <c r="BA15" i="39"/>
  <c r="BA1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5" i="50"/>
  <c r="Y16" i="50" s="1"/>
  <c r="AF18" i="50" s="1"/>
  <c r="Y19" i="50"/>
  <c r="Y20" i="50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AB8" i="50"/>
  <c r="AR14" i="50"/>
  <c r="AR15" i="50"/>
  <c r="Y20" i="51"/>
  <c r="AF44" i="51"/>
  <c r="AL19" i="51"/>
  <c r="AL21" i="51" s="1"/>
  <c r="AR39" i="51"/>
  <c r="Y43" i="55"/>
  <c r="Y17" i="55"/>
  <c r="AF40" i="55"/>
  <c r="AR35" i="55"/>
  <c r="AD6" i="17"/>
  <c r="F31" i="17"/>
  <c r="Y18" i="54"/>
  <c r="BH28" i="53" l="1"/>
  <c r="BH29" i="53" s="1"/>
  <c r="AX37" i="53" s="1"/>
  <c r="AT15" i="40"/>
  <c r="AR25" i="54"/>
  <c r="AT28" i="54" s="1"/>
  <c r="AX35" i="54" s="1"/>
  <c r="AF40" i="54"/>
  <c r="Y19" i="45"/>
  <c r="Y20" i="45" s="1"/>
  <c r="AL19" i="38"/>
  <c r="AL21" i="38" s="1"/>
  <c r="Y42" i="38" s="1"/>
  <c r="Y15" i="51"/>
  <c r="Y16" i="51" s="1"/>
  <c r="AF18" i="51" s="1"/>
  <c r="BH15" i="51"/>
  <c r="BA15" i="44"/>
  <c r="BA16" i="44" s="1"/>
  <c r="Y20" i="38"/>
  <c r="BA15" i="48"/>
  <c r="BA16" i="48" s="1"/>
  <c r="AY24" i="45"/>
  <c r="BA28" i="45" s="1"/>
  <c r="AX36" i="45" s="1"/>
  <c r="AF40" i="51"/>
  <c r="Y17" i="51"/>
  <c r="Y18" i="51" s="1"/>
  <c r="AY24" i="51"/>
  <c r="BA28" i="51" s="1"/>
  <c r="AX36" i="51" s="1"/>
  <c r="BF24" i="52"/>
  <c r="BH28" i="52" s="1"/>
  <c r="BH29" i="52" s="1"/>
  <c r="AX37" i="52" s="1"/>
  <c r="AR35" i="51"/>
  <c r="AY24" i="48"/>
  <c r="BA28" i="48" s="1"/>
  <c r="AX36" i="48" s="1"/>
  <c r="BF24" i="48"/>
  <c r="BH28" i="48" s="1"/>
  <c r="BH29" i="48" s="1"/>
  <c r="AX37" i="48" s="1"/>
  <c r="Y15" i="44"/>
  <c r="Y16" i="44" s="1"/>
  <c r="AF18" i="44" s="1"/>
  <c r="AR25" i="51"/>
  <c r="AT28" i="51" s="1"/>
  <c r="AX35" i="51" s="1"/>
  <c r="BF24" i="41"/>
  <c r="BH28" i="41" s="1"/>
  <c r="BH29" i="41" s="1"/>
  <c r="AX37" i="41" s="1"/>
  <c r="AR25" i="55"/>
  <c r="AT28" i="55" s="1"/>
  <c r="AX35" i="55" s="1"/>
  <c r="Y19" i="42"/>
  <c r="Y15" i="42"/>
  <c r="Y16" i="42" s="1"/>
  <c r="AF18" i="42" s="1"/>
  <c r="Y19" i="39"/>
  <c r="AY24" i="40"/>
  <c r="BA28" i="40" s="1"/>
  <c r="AX36" i="40" s="1"/>
  <c r="AR43" i="38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AF20" i="51" l="1"/>
  <c r="AL19" i="42"/>
  <c r="AL21" i="42" s="1"/>
  <c r="AF44" i="42"/>
  <c r="Y20" i="42"/>
  <c r="AR39" i="42"/>
  <c r="AF44" i="39"/>
  <c r="AR39" i="39"/>
  <c r="AL19" i="39"/>
  <c r="AL21" i="39" s="1"/>
  <c r="Y20" i="39"/>
  <c r="AR43" i="48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1" i="51" l="1"/>
  <c r="Y45" i="51" s="1"/>
  <c r="Y46" i="51" s="1"/>
  <c r="Y31" i="51" s="1"/>
  <c r="AF42" i="51" s="1"/>
  <c r="AR42" i="51"/>
  <c r="Y42" i="42"/>
  <c r="AR43" i="42"/>
  <c r="AR43" i="39"/>
  <c r="Y42" i="39"/>
  <c r="AF45" i="51"/>
  <c r="AR40" i="51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R37" i="51" l="1"/>
  <c r="AF48" i="51"/>
  <c r="Y45" i="42"/>
  <c r="Y46" i="42" s="1"/>
  <c r="Y31" i="42" s="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5" i="42" l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AF48" i="42" l="1"/>
  <c r="N27" i="42" s="1"/>
  <c r="F50" i="54"/>
  <c r="N26" i="46"/>
  <c r="AS52" i="54"/>
  <c r="N27" i="52"/>
  <c r="N26" i="54"/>
  <c r="F46" i="54"/>
  <c r="J46" i="54" s="1"/>
  <c r="C67" i="54"/>
  <c r="J26" i="58" s="1"/>
  <c r="N47" i="62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C52" i="42"/>
  <c r="AS52" i="42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N44" i="62" s="1"/>
  <c r="I23" i="58"/>
  <c r="M44" i="62" s="1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BU31" i="42" l="1"/>
  <c r="AS57" i="42" s="1"/>
  <c r="AS49" i="42"/>
  <c r="N25" i="42"/>
  <c r="N28" i="42"/>
  <c r="BM11" i="42"/>
  <c r="BM16" i="42" s="1"/>
  <c r="AX38" i="42" s="1"/>
  <c r="I26" i="58"/>
  <c r="M47" i="62" s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M46" i="62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N45" i="62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N33" i="62" s="1"/>
  <c r="I12" i="58"/>
  <c r="M33" i="62" s="1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M40" i="62" s="1"/>
  <c r="J19" i="58"/>
  <c r="N40" i="62" s="1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M39" i="62" s="1"/>
  <c r="J18" i="58"/>
  <c r="N39" i="62" s="1"/>
  <c r="J50" i="55"/>
  <c r="C50" i="50"/>
  <c r="F48" i="50" s="1"/>
  <c r="J48" i="50" s="1"/>
  <c r="N29" i="50"/>
  <c r="N30" i="50" s="1"/>
  <c r="I50" i="50" s="1"/>
  <c r="F52" i="55"/>
  <c r="AW46" i="50"/>
  <c r="I16" i="58"/>
  <c r="M37" i="62" s="1"/>
  <c r="J16" i="58"/>
  <c r="N37" i="62" s="1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N30" i="62" s="1"/>
  <c r="I9" i="58"/>
  <c r="M30" i="62" s="1"/>
  <c r="I27" i="58"/>
  <c r="M48" i="62" s="1"/>
  <c r="J27" i="58"/>
  <c r="N48" i="62" s="1"/>
  <c r="C50" i="39"/>
  <c r="F48" i="39" s="1"/>
  <c r="J48" i="39" s="1"/>
  <c r="N29" i="39"/>
  <c r="N30" i="39" s="1"/>
  <c r="I50" i="39" s="1"/>
  <c r="I52" i="54" l="1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N46" i="62" s="1"/>
  <c r="F54" i="52"/>
  <c r="J54" i="52" s="1"/>
  <c r="J50" i="52"/>
  <c r="F54" i="37"/>
  <c r="J54" i="37" s="1"/>
  <c r="I52" i="52"/>
  <c r="J50" i="44"/>
  <c r="F52" i="37"/>
  <c r="J52" i="37" s="1"/>
  <c r="I24" i="58"/>
  <c r="M45" i="62" s="1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N34" i="62" s="1"/>
  <c r="I13" i="58"/>
  <c r="M34" i="62" s="1"/>
  <c r="I14" i="58"/>
  <c r="M35" i="62" s="1"/>
  <c r="J14" i="58"/>
  <c r="N35" i="62" s="1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M38" i="62" s="1"/>
  <c r="J17" i="58"/>
  <c r="N38" i="62" s="1"/>
  <c r="J21" i="58"/>
  <c r="N42" i="62" s="1"/>
  <c r="I21" i="58"/>
  <c r="M42" i="62" s="1"/>
  <c r="I15" i="58"/>
  <c r="M36" i="62" s="1"/>
  <c r="J15" i="58"/>
  <c r="N36" i="62" s="1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N41" i="62" s="1"/>
  <c r="I20" i="58"/>
  <c r="M41" i="62" s="1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M31" i="62" s="1"/>
  <c r="J10" i="58"/>
  <c r="N31" i="62" s="1"/>
  <c r="F52" i="39"/>
  <c r="N29" i="63"/>
  <c r="I52" i="39"/>
  <c r="AV49" i="39"/>
  <c r="AY53" i="39" s="1"/>
  <c r="M29" i="63"/>
  <c r="J22" i="58"/>
  <c r="N43" i="62" s="1"/>
  <c r="I22" i="58"/>
  <c r="M43" i="62" s="1"/>
  <c r="J50" i="39"/>
  <c r="F54" i="38"/>
  <c r="J54" i="38" s="1"/>
  <c r="J11" i="58"/>
  <c r="N32" i="62" s="1"/>
  <c r="I11" i="58"/>
  <c r="M32" i="62" s="1"/>
  <c r="AV49" i="38"/>
  <c r="AY53" i="38" s="1"/>
  <c r="I52" i="38"/>
  <c r="J52" i="55"/>
  <c r="J50" i="17" l="1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J52" i="17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8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8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R23" i="58" l="1"/>
  <c r="K34" i="66"/>
  <c r="M34" i="66" s="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AG129" i="51" s="1"/>
  <c r="N23" i="58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K23" i="66" s="1"/>
  <c r="M23" i="66" s="1"/>
  <c r="AI124" i="40"/>
  <c r="AG124" i="40"/>
  <c r="AK124" i="40"/>
  <c r="L14" i="58"/>
  <c r="K25" i="66" s="1"/>
  <c r="M25" i="66" s="1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K27" i="66" s="1"/>
  <c r="M27" i="66" s="1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AG127" i="50"/>
  <c r="AI127" i="50"/>
  <c r="AG124" i="50"/>
  <c r="AL127" i="50"/>
  <c r="AH124" i="50"/>
  <c r="AJ127" i="50"/>
  <c r="AK124" i="50"/>
  <c r="AH127" i="50"/>
  <c r="AI124" i="50"/>
  <c r="R26" i="58" l="1"/>
  <c r="K37" i="66"/>
  <c r="M37" i="66" s="1"/>
  <c r="R19" i="58"/>
  <c r="K30" i="66"/>
  <c r="M30" i="66" s="1"/>
  <c r="R22" i="58"/>
  <c r="K33" i="66"/>
  <c r="M33" i="66" s="1"/>
  <c r="R16" i="58"/>
  <c r="R14" i="58"/>
  <c r="R12" i="58"/>
  <c r="AG124" i="52"/>
  <c r="AI124" i="52"/>
  <c r="L24" i="58"/>
  <c r="K35" i="66" s="1"/>
  <c r="M35" i="66" s="1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K20" i="66" s="1"/>
  <c r="M20" i="66" s="1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K59" i="17"/>
  <c r="AK127" i="45"/>
  <c r="AK124" i="45"/>
  <c r="AI124" i="45"/>
  <c r="AL124" i="45"/>
  <c r="AG124" i="45"/>
  <c r="AH127" i="45"/>
  <c r="AJ124" i="45"/>
  <c r="AI127" i="45"/>
  <c r="L17" i="58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K24" i="66" s="1"/>
  <c r="M24" i="66" s="1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K31" i="66" s="1"/>
  <c r="M31" i="66" s="1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K26" i="66" s="1"/>
  <c r="M26" i="66" s="1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K36" i="66" s="1"/>
  <c r="M36" i="66" s="1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AL129" i="46" l="1"/>
  <c r="R17" i="58"/>
  <c r="K28" i="66"/>
  <c r="M28" i="66" s="1"/>
  <c r="R21" i="58"/>
  <c r="K32" i="66"/>
  <c r="M32" i="66" s="1"/>
  <c r="R27" i="58"/>
  <c r="K38" i="66"/>
  <c r="M38" i="66" s="1"/>
  <c r="R18" i="58"/>
  <c r="K29" i="66"/>
  <c r="M29" i="66" s="1"/>
  <c r="AI124" i="17"/>
  <c r="L8" i="58"/>
  <c r="K19" i="66" s="1"/>
  <c r="M19" i="66" s="1"/>
  <c r="R25" i="58"/>
  <c r="R24" i="58"/>
  <c r="R20" i="58"/>
  <c r="R15" i="58"/>
  <c r="R13" i="58"/>
  <c r="R9" i="58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29" i="63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K22" i="66" s="1"/>
  <c r="M22" i="66" s="1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K21" i="66" s="1"/>
  <c r="M21" i="66" s="1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R11" i="58" l="1"/>
  <c r="R10" i="58"/>
  <c r="R8" i="58"/>
  <c r="AL129" i="17"/>
  <c r="AK129" i="17" s="1"/>
  <c r="AJ129" i="17" s="1"/>
  <c r="AI129" i="17" s="1"/>
  <c r="AH129" i="17" s="1"/>
  <c r="AG129" i="17" s="1"/>
  <c r="N8" i="58" s="1"/>
  <c r="S28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<sst xmlns="http://schemas.openxmlformats.org/spreadsheetml/2006/main" count="27891" uniqueCount="1470">
  <si>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</si>
  <si>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</si>
  <si>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</si>
  <si>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</si>
  <si>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</si>
  <si>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</si>
  <si>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</si>
  <si>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</si>
  <si>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</si>
  <si>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</si>
  <si>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</si>
  <si>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</si>
  <si>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</si>
  <si>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</si>
  <si>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</si>
  <si>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</si>
  <si>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</si>
  <si>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</si>
  <si>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</si>
  <si>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</si>
  <si>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</si>
  <si>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</si>
  <si>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</si>
  <si>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</si>
  <si>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</si>
  <si>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</si>
  <si>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</si>
  <si>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</si>
  <si>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</si>
  <si>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</si>
  <si>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</si>
  <si>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</si>
  <si>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</si>
  <si>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</si>
  <si>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</si>
  <si>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</si>
  <si>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</si>
  <si>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</si>
  <si>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</si>
  <si>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</si>
  <si>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</si>
  <si>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</si>
  <si>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</si>
  <si>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</si>
  <si>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</si>
  <si>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</si>
  <si>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</si>
  <si>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</si>
  <si>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</si>
  <si>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</si>
  <si>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</si>
  <si>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</si>
  <si>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</si>
  <si>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</si>
  <si>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</si>
  <si>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</si>
  <si>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</si>
  <si>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</si>
  <si>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</si>
  <si>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</si>
  <si>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</si>
  <si>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</si>
  <si>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</si>
  <si>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</si>
  <si>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</si>
  <si>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</si>
  <si>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</si>
  <si>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</si>
  <si>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</si>
  <si>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</si>
  <si>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</si>
  <si>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</si>
  <si>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</si>
  <si>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</si>
  <si>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</si>
  <si>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</si>
  <si>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</si>
  <si>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</si>
  <si>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</si>
  <si>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</si>
  <si>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</si>
  <si>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</si>
  <si>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</si>
  <si>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</si>
  <si>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</si>
  <si>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</si>
  <si>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</si>
  <si>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</si>
  <si>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</si>
  <si>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</si>
  <si>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</si>
  <si>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</si>
  <si>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</si>
  <si>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</si>
  <si>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</si>
  <si>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</si>
  <si>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</si>
  <si>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</si>
  <si>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</si>
  <si>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</si>
  <si>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</si>
  <si>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</si>
  <si>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</si>
  <si>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</si>
  <si>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</si>
  <si>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</si>
  <si>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</si>
  <si>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</si>
  <si>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</si>
  <si>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</si>
  <si>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</si>
  <si>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</si>
  <si>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</si>
  <si>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</si>
  <si>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</si>
  <si>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</si>
  <si>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</si>
  <si>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</si>
  <si>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</si>
  <si>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</si>
  <si>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</si>
  <si>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</si>
  <si>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</si>
  <si>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</si>
  <si>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</si>
  <si>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</si>
  <si>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</si>
  <si>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</si>
  <si>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</si>
  <si>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</si>
  <si>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</si>
  <si>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</si>
  <si>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</si>
  <si>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</si>
  <si>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</si>
  <si>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</si>
  <si>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</si>
  <si>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</si>
  <si>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</si>
  <si>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</si>
  <si>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</si>
  <si>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</si>
  <si>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</si>
  <si>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</si>
  <si>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</si>
  <si>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</si>
  <si>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</si>
  <si>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</si>
  <si>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</si>
  <si>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</si>
  <si>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</si>
  <si>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</si>
  <si>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</si>
  <si>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</si>
  <si>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</si>
  <si>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</si>
  <si>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</si>
  <si>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</si>
  <si>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</si>
  <si>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</si>
  <si>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</si>
  <si>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</si>
  <si>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</si>
  <si>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</si>
  <si>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</si>
  <si>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</si>
  <si>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</si>
  <si>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</si>
  <si>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</si>
  <si>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</si>
  <si>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</si>
  <si>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</si>
  <si>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</si>
  <si>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</si>
  <si>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</si>
  <si>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</si>
  <si>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</si>
  <si>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</si>
  <si>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</si>
  <si>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</si>
  <si>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</si>
  <si>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</si>
  <si>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</si>
  <si>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</si>
  <si>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</si>
  <si>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</si>
  <si>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</si>
  <si>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</si>
  <si>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</si>
  <si>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</si>
  <si>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</si>
  <si>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</si>
  <si>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</si>
  <si>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</si>
  <si>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</si>
  <si>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</si>
  <si>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</si>
  <si>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</si>
  <si>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</si>
  <si>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</si>
  <si>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</si>
  <si>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</si>
  <si>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</si>
  <si>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</si>
  <si>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</si>
  <si>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</si>
  <si>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</si>
  <si>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</si>
  <si>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</si>
  <si>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</si>
  <si>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</si>
  <si>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</si>
  <si>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</si>
  <si>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</si>
  <si>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</si>
  <si>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</si>
  <si>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</si>
  <si>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</si>
  <si>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</si>
  <si>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</si>
  <si>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</si>
  <si>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</si>
  <si>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</si>
  <si>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</si>
  <si>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</si>
  <si>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</si>
  <si>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</si>
  <si>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</si>
  <si>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</si>
  <si>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</si>
  <si>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</si>
  <si>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</si>
  <si>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</si>
  <si>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</si>
  <si>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</si>
  <si>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</si>
  <si>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</si>
  <si>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</si>
  <si>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</si>
  <si>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</si>
  <si>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</si>
  <si>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</si>
  <si>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</si>
  <si>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</si>
  <si>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</si>
  <si>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</si>
  <si>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</si>
  <si>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</si>
  <si>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</si>
  <si>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</si>
  <si>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</si>
  <si>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</si>
  <si>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</si>
  <si>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</si>
  <si>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</si>
  <si>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</si>
  <si>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</si>
  <si>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</si>
  <si>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</si>
  <si>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</si>
  <si>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</si>
  <si>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</si>
  <si>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</si>
  <si>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</si>
  <si>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</si>
  <si>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</si>
  <si>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</si>
  <si>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</si>
  <si>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</si>
  <si>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</si>
  <si>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</si>
  <si>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</si>
  <si>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</si>
  <si>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</si>
  <si>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</si>
  <si>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</si>
  <si>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</si>
  <si>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</si>
  <si>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</si>
  <si>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</si>
  <si>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</si>
  <si>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</si>
  <si>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</si>
  <si>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</si>
  <si>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</si>
  <si>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</si>
  <si>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</si>
  <si>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</si>
  <si>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</si>
  <si>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</si>
  <si>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</si>
  <si>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</si>
  <si>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</si>
  <si>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</si>
  <si>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</si>
  <si>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</si>
  <si>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</si>
  <si>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</si>
  <si>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</si>
  <si>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</si>
  <si>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</si>
  <si>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</si>
  <si>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</si>
  <si>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</si>
  <si>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</si>
  <si>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</si>
  <si>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</si>
  <si>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</si>
  <si>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</si>
  <si>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</si>
  <si>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</si>
  <si>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</si>
  <si>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</si>
  <si>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</si>
  <si>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</si>
  <si>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</si>
  <si>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</si>
  <si>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</si>
  <si>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</si>
  <si>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</si>
  <si>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</si>
  <si>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</si>
  <si>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</si>
  <si>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</si>
  <si>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</si>
  <si>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</si>
  <si>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</si>
  <si>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</si>
  <si>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</si>
  <si>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</si>
  <si>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</si>
  <si>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</si>
  <si>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</si>
  <si>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</si>
  <si>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</si>
  <si>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</si>
  <si>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</si>
  <si>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</si>
  <si>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</si>
  <si>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</si>
  <si>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</si>
  <si>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</si>
  <si>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</si>
  <si>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</si>
  <si>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</si>
  <si>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</si>
  <si>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</si>
  <si>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</si>
  <si>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</si>
  <si>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</si>
  <si>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</si>
  <si>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</si>
  <si>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</si>
  <si>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</si>
  <si>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</si>
  <si>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</si>
  <si>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</si>
  <si>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</si>
  <si>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</si>
  <si>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</si>
  <si>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</si>
  <si>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</si>
  <si>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</si>
  <si>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</si>
  <si>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</si>
  <si>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</si>
  <si>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</si>
  <si>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</si>
  <si>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</si>
  <si>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</si>
  <si>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</si>
  <si>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</si>
  <si>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</si>
  <si>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</si>
  <si>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</si>
  <si>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</si>
  <si>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</si>
  <si>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</si>
  <si>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</si>
  <si>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</si>
  <si>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</si>
  <si>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</si>
  <si>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</si>
  <si>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</si>
  <si>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</si>
  <si>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</si>
  <si>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</si>
  <si>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</si>
  <si>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</si>
  <si>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</si>
  <si>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</si>
  <si>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</si>
  <si>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</si>
  <si>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</si>
  <si>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</si>
  <si>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</si>
  <si>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</si>
  <si>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</si>
  <si>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</si>
  <si>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</si>
  <si>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</si>
  <si>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</si>
  <si>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</si>
  <si>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</si>
  <si>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</si>
  <si>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</si>
  <si>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</si>
  <si>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</si>
  <si>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</si>
  <si>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</si>
  <si>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</si>
  <si>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</si>
  <si>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</si>
  <si>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</si>
  <si>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</si>
  <si>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</si>
  <si>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</si>
  <si>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</si>
  <si>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</si>
  <si>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</si>
  <si>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</si>
  <si>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</si>
  <si>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</si>
  <si>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</si>
  <si>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</si>
  <si>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</si>
  <si>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</si>
  <si>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</si>
  <si>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</si>
  <si>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</si>
  <si>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</si>
  <si>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</si>
  <si>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</si>
  <si>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</si>
  <si>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</si>
  <si>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</si>
  <si>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</si>
  <si>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</si>
  <si>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</si>
  <si>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</si>
  <si>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</si>
  <si>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</si>
  <si>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</si>
  <si>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</si>
  <si>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</si>
  <si>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</si>
  <si>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</si>
  <si>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</si>
  <si>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</si>
  <si>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</si>
  <si>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</si>
  <si>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</si>
  <si>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</si>
  <si>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</si>
  <si>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</si>
  <si>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</si>
  <si>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</si>
  <si>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</si>
  <si>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</si>
  <si>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</si>
  <si>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</si>
  <si>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</si>
  <si>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</si>
  <si>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</si>
  <si>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</si>
  <si>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</si>
  <si>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</si>
  <si>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</si>
  <si>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</si>
  <si>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</si>
  <si>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</si>
  <si>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</si>
  <si>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</si>
  <si>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</si>
  <si>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</si>
  <si>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</si>
  <si>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</si>
  <si>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</si>
  <si>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</si>
  <si>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</si>
  <si>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</si>
  <si>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</si>
  <si>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</si>
  <si>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</si>
  <si>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</si>
  <si>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</si>
  <si>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</si>
  <si>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</si>
  <si>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</si>
  <si>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</si>
  <si>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</si>
  <si>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</si>
  <si>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</si>
  <si>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</si>
  <si>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</si>
  <si>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</si>
  <si>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</si>
  <si>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</si>
  <si>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</si>
  <si>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</si>
  <si>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</si>
  <si>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</si>
  <si>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</si>
  <si>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</si>
  <si>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</si>
  <si>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</si>
  <si>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</si>
  <si>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</si>
  <si>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</si>
  <si>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</si>
  <si>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</si>
  <si>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</si>
  <si>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</si>
  <si>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</si>
  <si>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</si>
  <si>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</si>
  <si>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</si>
  <si>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</si>
  <si>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</si>
  <si>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</si>
  <si>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</si>
  <si>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</si>
  <si>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</si>
  <si>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</si>
  <si>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</si>
  <si>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</si>
  <si>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</si>
  <si>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</si>
  <si>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</si>
  <si>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</si>
  <si>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</si>
  <si>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</si>
  <si>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</si>
  <si>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</si>
  <si>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</si>
  <si>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</si>
  <si>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</si>
  <si>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</si>
  <si>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</si>
  <si>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</si>
  <si>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</si>
  <si>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</si>
  <si>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</si>
  <si>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</si>
  <si>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</si>
  <si>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</si>
  <si>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</si>
  <si>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</si>
  <si>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</si>
  <si>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</si>
  <si>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</si>
  <si>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</si>
  <si>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</si>
  <si>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</si>
  <si>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</si>
  <si>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</si>
  <si>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</si>
  <si>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</si>
  <si>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</si>
  <si>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</si>
  <si>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</si>
  <si>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</si>
  <si>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</si>
  <si>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</si>
  <si>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</si>
  <si>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</si>
  <si>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</si>
  <si>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</si>
  <si>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</si>
  <si>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</si>
  <si>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</si>
  <si>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</si>
  <si>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</si>
  <si>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</si>
  <si>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</si>
  <si>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</si>
  <si>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</si>
  <si>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</si>
  <si>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</si>
  <si>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</si>
  <si>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</si>
  <si>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</si>
  <si>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</si>
  <si>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</si>
  <si>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</si>
  <si>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</si>
  <si>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</si>
  <si>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</si>
  <si>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</si>
  <si>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</si>
  <si>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</si>
  <si>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</si>
  <si>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</si>
  <si>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</si>
  <si>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</si>
  <si>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</si>
  <si>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</si>
  <si>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</si>
  <si>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</si>
  <si>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</si>
  <si>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</si>
  <si>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</si>
  <si>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</si>
  <si>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</si>
  <si>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</si>
  <si>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</si>
  <si>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</si>
  <si>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</si>
  <si>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</si>
  <si>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</si>
  <si>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</si>
  <si>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</si>
  <si>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</si>
  <si>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</si>
  <si>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</si>
  <si>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</si>
  <si>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</si>
  <si>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</si>
  <si>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</si>
  <si>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</si>
  <si>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</si>
  <si>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</si>
  <si>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</si>
  <si>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</si>
  <si>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</si>
  <si>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</si>
  <si>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</si>
  <si>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</si>
  <si>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</si>
  <si>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</si>
  <si>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</si>
  <si>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</si>
  <si>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</si>
  <si>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</si>
  <si>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</si>
  <si>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</si>
  <si>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</si>
  <si>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</si>
  <si>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</si>
  <si>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</si>
  <si>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</si>
  <si>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</si>
  <si>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</si>
  <si>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</si>
  <si>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</si>
  <si>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</si>
  <si>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</si>
  <si>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</si>
  <si>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</si>
  <si>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</si>
  <si>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</si>
  <si>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</si>
  <si>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</si>
  <si>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</si>
  <si>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</si>
  <si>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</si>
  <si>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</si>
  <si>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</si>
  <si>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</si>
  <si>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</si>
  <si>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</si>
  <si>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</si>
  <si>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</si>
  <si>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</si>
  <si>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</si>
  <si>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</si>
  <si>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</si>
  <si>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</si>
  <si>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</si>
  <si>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</si>
  <si>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</si>
  <si>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</si>
  <si>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</si>
  <si>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</si>
  <si>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</si>
  <si>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</si>
  <si>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</si>
  <si>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</si>
  <si>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</si>
  <si>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</si>
  <si>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</si>
  <si>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</si>
  <si>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</si>
  <si>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</si>
  <si>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</si>
  <si>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</si>
  <si>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</si>
  <si>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</si>
  <si>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</si>
  <si>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</si>
  <si>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</si>
  <si>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</si>
  <si>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</si>
  <si>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</si>
  <si>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</si>
  <si>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</si>
  <si>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</si>
  <si>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</si>
  <si>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</si>
  <si>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</si>
  <si>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</si>
  <si>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</si>
  <si>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</si>
  <si>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</si>
  <si>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</si>
  <si>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</si>
  <si>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</si>
  <si>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</si>
  <si>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</si>
  <si>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</si>
  <si>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</si>
  <si>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</si>
  <si>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</si>
  <si>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</si>
  <si>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</si>
  <si>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</si>
  <si>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</si>
  <si>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</si>
  <si>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</si>
  <si>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</si>
  <si>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</si>
  <si>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</si>
  <si>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</si>
  <si>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</si>
  <si>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</si>
  <si>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</si>
  <si>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</si>
  <si>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</si>
  <si>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</si>
  <si>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</si>
  <si>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</si>
  <si>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</si>
  <si>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</si>
  <si>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</si>
  <si>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</si>
  <si>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</si>
  <si>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</si>
  <si>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</si>
  <si>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</si>
  <si>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</si>
  <si>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</si>
  <si>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</si>
  <si>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</si>
  <si>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</si>
  <si>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</si>
  <si>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</si>
  <si>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</si>
  <si>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</si>
  <si>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</si>
  <si>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</si>
  <si>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</si>
  <si>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</si>
  <si>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</si>
  <si>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</si>
  <si>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</si>
  <si>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</si>
  <si>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</si>
  <si>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</si>
  <si>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</si>
  <si>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</si>
  <si>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</si>
  <si>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</si>
  <si>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</si>
  <si>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</si>
  <si>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</si>
  <si>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</si>
  <si>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</si>
  <si>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</si>
  <si>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</si>
  <si>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</si>
  <si>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</si>
  <si>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</si>
  <si>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</si>
  <si>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</si>
  <si>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</si>
  <si>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</si>
  <si>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</si>
  <si>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</si>
  <si>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</si>
  <si>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</si>
  <si>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</si>
  <si>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</si>
  <si>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</si>
  <si>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</si>
  <si>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</si>
  <si>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</si>
  <si>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</si>
  <si>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</si>
  <si>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</si>
  <si>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</si>
  <si>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</si>
  <si>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</si>
  <si>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</si>
  <si>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</si>
  <si>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</si>
  <si>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</si>
  <si>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</si>
  <si>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</si>
  <si>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</si>
  <si>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</si>
  <si>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</si>
  <si>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</si>
  <si>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</si>
  <si>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</si>
  <si>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</si>
  <si>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</si>
  <si>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</si>
  <si>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</si>
  <si>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</si>
  <si>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</si>
  <si>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</si>
  <si>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</si>
  <si>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</si>
  <si>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</si>
  <si>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</si>
  <si>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</si>
  <si>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</si>
  <si>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</si>
  <si>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</si>
  <si>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</si>
  <si>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</si>
  <si>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</si>
  <si>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</si>
  <si>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</si>
  <si>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</si>
  <si>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</si>
  <si>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</si>
  <si>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</si>
  <si>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</si>
  <si>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</si>
  <si>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</si>
  <si>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</si>
  <si>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</si>
  <si>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</si>
  <si>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</si>
  <si>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</si>
  <si>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</si>
  <si>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</si>
  <si>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</si>
  <si>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</si>
  <si>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</si>
  <si>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</si>
  <si>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</si>
  <si>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</si>
  <si>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</si>
  <si>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</si>
  <si>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</si>
  <si>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</si>
  <si>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</si>
  <si>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</si>
  <si>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</si>
  <si>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</si>
  <si>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</si>
  <si>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</si>
  <si>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</si>
  <si>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</si>
  <si>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</si>
  <si>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</si>
  <si>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</si>
  <si>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</si>
  <si>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</si>
  <si>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</si>
  <si>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</si>
  <si>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</si>
  <si>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</si>
  <si>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</si>
  <si>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</si>
  <si>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</si>
  <si>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</si>
  <si>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</si>
  <si>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</si>
  <si>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</si>
  <si>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</si>
  <si>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</si>
  <si>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</si>
  <si>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</si>
  <si>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</si>
  <si>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</si>
  <si>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</si>
  <si>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</si>
  <si>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</si>
  <si>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</si>
  <si>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</si>
  <si>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</si>
  <si>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</si>
  <si>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</si>
  <si>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</si>
  <si>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</si>
  <si>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</si>
  <si>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</si>
  <si>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</si>
  <si>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</si>
  <si>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</si>
  <si>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</si>
  <si>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</si>
  <si>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</si>
  <si>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</si>
  <si>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</si>
  <si>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</si>
  <si>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</si>
  <si>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</si>
  <si>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</si>
  <si>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</si>
  <si>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</si>
  <si>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</si>
  <si>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</si>
  <si>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</si>
  <si>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</si>
  <si>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</si>
  <si>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</si>
  <si>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</si>
  <si>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</si>
  <si>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</si>
  <si>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</si>
  <si>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</si>
  <si>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</si>
  <si>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</si>
  <si>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</si>
  <si>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</si>
  <si>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</si>
  <si>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</si>
  <si>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</si>
  <si>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</si>
  <si>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</si>
  <si>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</si>
  <si>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</si>
  <si>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</si>
  <si>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</si>
  <si>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</si>
  <si>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</si>
  <si>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</si>
  <si>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</si>
  <si>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</si>
  <si>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</si>
  <si>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</si>
  <si>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</si>
  <si>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</si>
  <si>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</si>
  <si>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</si>
  <si>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</si>
  <si>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</si>
  <si>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</si>
  <si>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</si>
  <si>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</si>
  <si>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</si>
  <si>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</si>
  <si>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</si>
  <si>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</si>
  <si>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</si>
  <si>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</si>
  <si>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</si>
  <si>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</si>
  <si>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</si>
  <si>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</si>
  <si>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</si>
  <si>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</si>
  <si>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</si>
  <si>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</si>
  <si>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</si>
  <si>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</si>
  <si>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</si>
  <si>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</si>
  <si>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</si>
  <si>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</si>
  <si>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</si>
  <si>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</si>
  <si>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</si>
  <si>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</si>
  <si>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</si>
  <si>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</si>
  <si>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</si>
  <si>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</si>
  <si>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</si>
  <si>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</si>
  <si>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</si>
  <si>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</si>
  <si>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</si>
  <si>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</si>
  <si>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</si>
  <si>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</si>
  <si>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</si>
  <si>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</si>
  <si>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</si>
  <si>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</si>
  <si>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</si>
  <si>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</si>
  <si>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</si>
  <si>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</si>
  <si>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</si>
  <si>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</si>
  <si>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</si>
  <si>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</si>
  <si>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</si>
  <si>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</si>
  <si>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</si>
  <si>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</si>
  <si>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</si>
  <si>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</si>
  <si>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</si>
  <si>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</si>
  <si>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</si>
  <si>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</si>
  <si>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</si>
  <si>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</si>
  <si>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</si>
  <si>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</si>
  <si>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</si>
  <si>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</si>
  <si>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</si>
  <si>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</si>
  <si>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</si>
  <si>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</si>
  <si>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</si>
  <si>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</si>
  <si>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</si>
  <si>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</si>
  <si>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</si>
  <si>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</si>
  <si>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</si>
  <si>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</si>
  <si>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</si>
  <si>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</si>
  <si>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</si>
  <si>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</si>
  <si>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</si>
  <si>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</si>
  <si>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</si>
  <si>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</si>
  <si>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</si>
  <si>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</si>
  <si>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</si>
  <si>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</si>
  <si>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</si>
  <si>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</si>
  <si>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</si>
  <si>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</si>
  <si>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</si>
  <si>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</si>
  <si>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</si>
  <si>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</si>
  <si>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</si>
  <si>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</si>
  <si>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</si>
  <si>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</si>
  <si>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</si>
  <si>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</si>
  <si>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</si>
  <si>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</si>
  <si>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</si>
  <si>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</si>
  <si>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</si>
  <si>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</si>
  <si>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</si>
  <si>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</si>
  <si>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</si>
  <si>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</si>
  <si>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</si>
  <si>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</si>
  <si>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</si>
  <si>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</si>
  <si>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</si>
  <si>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</si>
  <si>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</si>
  <si>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</si>
  <si>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</si>
  <si>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</si>
  <si>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</si>
  <si>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</si>
  <si>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</si>
  <si>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</si>
  <si>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</si>
  <si>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</si>
  <si>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</si>
  <si>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</si>
  <si>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</si>
  <si>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</si>
  <si>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</si>
  <si>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</si>
  <si>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</si>
  <si>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</si>
  <si>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</si>
  <si>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</si>
  <si>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</si>
  <si>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</si>
  <si>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</si>
  <si>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</si>
  <si>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</si>
  <si>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</si>
  <si>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</si>
  <si>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</si>
  <si>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</si>
  <si>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</si>
  <si>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</si>
  <si>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</si>
  <si>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</si>
  <si>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</si>
  <si>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</si>
  <si>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</si>
  <si>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</si>
  <si>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</si>
  <si>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</si>
  <si>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</si>
  <si>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</si>
  <si>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</si>
  <si>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</si>
  <si>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</si>
  <si>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</si>
  <si>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</si>
  <si>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</si>
  <si>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</si>
  <si>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</si>
  <si>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</si>
  <si>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</si>
  <si>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</si>
  <si>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</si>
  <si>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</si>
  <si>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</si>
  <si>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</si>
  <si>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</si>
  <si>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</si>
  <si>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</si>
  <si>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</si>
  <si>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</si>
  <si>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</si>
  <si>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</si>
  <si>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</si>
  <si>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</si>
  <si>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</si>
  <si>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</si>
  <si>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</si>
  <si>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</si>
  <si>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</si>
  <si>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</si>
  <si>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</si>
  <si>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</si>
  <si>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</si>
  <si>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</si>
  <si>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</si>
  <si>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</si>
  <si>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</si>
  <si>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</si>
  <si>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</si>
  <si>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</si>
  <si>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</si>
  <si>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</si>
  <si>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</si>
  <si>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</si>
  <si>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</si>
  <si>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</si>
  <si>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</si>
  <si>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</si>
  <si>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</si>
  <si>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</si>
  <si>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</si>
  <si>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</si>
  <si>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</si>
  <si>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</si>
  <si>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</si>
  <si>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</si>
  <si>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</si>
  <si>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</si>
  <si>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</si>
  <si>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</si>
  <si>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</si>
  <si>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</si>
  <si>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</si>
  <si>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</si>
  <si>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</si>
  <si>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</si>
  <si>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</si>
  <si>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</si>
  <si>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</si>
  <si>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</si>
  <si>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</si>
  <si>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</si>
  <si>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</si>
  <si>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</si>
  <si>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</si>
  <si>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</si>
  <si>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</si>
  <si>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</si>
  <si>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</si>
  <si>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</si>
  <si>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</si>
  <si>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</si>
  <si>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</si>
  <si>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</si>
  <si>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</si>
  <si>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</si>
  <si>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</si>
  <si>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</si>
  <si>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</si>
  <si>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</si>
  <si>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</si>
  <si>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</si>
  <si>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</si>
  <si>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</si>
  <si>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</si>
  <si>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</si>
  <si>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</si>
  <si>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</si>
  <si>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</si>
  <si>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</si>
  <si>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</si>
  <si>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</si>
  <si>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</si>
  <si>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</si>
  <si>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</si>
  <si>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</si>
  <si>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</si>
  <si>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</si>
  <si>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</si>
  <si>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</si>
  <si>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</si>
  <si>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</si>
  <si>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</si>
  <si>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</si>
  <si>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</si>
  <si>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</si>
  <si>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</si>
  <si>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</si>
  <si>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</si>
  <si>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</si>
  <si>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</si>
  <si>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</si>
  <si>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</si>
  <si>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</si>
  <si>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</si>
  <si>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</si>
  <si>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</si>
  <si>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</si>
  <si>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</si>
  <si>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</si>
  <si>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</si>
  <si>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</si>
  <si>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</si>
  <si>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</si>
  <si>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</si>
  <si>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</si>
  <si>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</si>
  <si>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</si>
  <si>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</si>
  <si>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</si>
  <si>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</si>
  <si>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</si>
  <si>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</si>
  <si>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</si>
  <si>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</si>
  <si>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</si>
  <si>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</si>
  <si>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</si>
  <si>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</si>
  <si>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</si>
  <si>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</si>
  <si>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</si>
  <si>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</si>
  <si>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</si>
  <si>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</si>
  <si>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</si>
  <si>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</si>
  <si>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</si>
  <si>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</si>
  <si>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</si>
  <si>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</si>
  <si>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</si>
  <si>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</si>
  <si>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</si>
  <si>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</si>
  <si>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</si>
  <si>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</si>
  <si>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</si>
  <si>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</si>
  <si>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</si>
  <si>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</si>
  <si>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</si>
  <si>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</si>
  <si>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</si>
  <si>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</si>
  <si>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</si>
  <si>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</si>
  <si>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</si>
  <si>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</si>
  <si>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</si>
  <si>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</si>
  <si>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</si>
  <si>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</si>
  <si>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</si>
  <si>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</si>
  <si>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</si>
  <si>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</si>
  <si>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</si>
  <si>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</si>
  <si>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</si>
  <si>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</si>
  <si>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</si>
  <si>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</si>
  <si>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</si>
  <si>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</si>
  <si>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</si>
  <si>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</si>
  <si>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</si>
  <si>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</si>
  <si>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</si>
  <si>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</si>
  <si>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</si>
  <si>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</si>
  <si>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</si>
  <si>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</si>
  <si>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</si>
  <si>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</si>
  <si>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</si>
  <si>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</si>
  <si>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</si>
  <si>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</si>
  <si>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</si>
  <si>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</si>
  <si>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</si>
  <si>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</si>
  <si>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</si>
  <si>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</si>
  <si>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</si>
  <si>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</si>
  <si>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</si>
  <si>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</si>
  <si>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</si>
  <si>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</si>
  <si>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</si>
  <si>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</si>
  <si>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</si>
  <si>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</si>
  <si>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</si>
  <si>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</si>
  <si>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</si>
  <si>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</si>
  <si>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</si>
  <si>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</si>
  <si>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</si>
  <si>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</si>
  <si>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</si>
  <si>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</si>
  <si>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</si>
  <si>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</si>
  <si>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</si>
  <si>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</si>
  <si>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</si>
  <si>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</si>
  <si>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</si>
  <si>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</si>
  <si>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</si>
  <si>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</si>
  <si>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</si>
  <si>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</si>
  <si>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</si>
  <si>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</si>
  <si>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</si>
  <si>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</si>
  <si>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</si>
  <si>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</si>
  <si>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</si>
  <si>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</si>
  <si>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</si>
  <si>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</si>
  <si>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</si>
  <si>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</si>
  <si>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</si>
  <si>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</si>
  <si>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</si>
  <si>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</si>
  <si>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</si>
  <si>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</si>
  <si>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</si>
  <si>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</si>
  <si>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</si>
  <si>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</si>
  <si>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</si>
  <si>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</si>
  <si>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</si>
  <si>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</si>
  <si>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</si>
  <si>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</si>
  <si>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</si>
  <si>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</si>
  <si>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</si>
  <si>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</si>
  <si>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</si>
  <si>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</si>
  <si>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</si>
  <si>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</si>
  <si>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</si>
  <si>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</si>
  <si>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</si>
  <si>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</si>
  <si>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</si>
  <si>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</si>
  <si>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</si>
  <si>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</si>
  <si>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</si>
  <si>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</si>
  <si>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</si>
  <si>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</si>
  <si>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</si>
  <si>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</si>
  <si>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</si>
  <si>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</si>
  <si>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</si>
  <si>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</si>
  <si>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</si>
  <si>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</si>
  <si>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</si>
  <si>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</si>
  <si>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</si>
  <si>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</si>
  <si>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</si>
  <si>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</si>
  <si>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</si>
  <si>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</si>
  <si>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</si>
  <si>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</si>
  <si>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</si>
  <si>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</si>
  <si>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</si>
  <si>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</si>
  <si>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</si>
  <si>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</si>
  <si>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</si>
  <si>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</si>
  <si>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</si>
  <si>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</si>
  <si>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</si>
  <si>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</si>
  <si>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</si>
  <si>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</si>
  <si>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</si>
  <si>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</si>
  <si>
    <t>Rango</t>
  </si>
  <si>
    <t>min.</t>
  </si>
  <si>
    <t>max.</t>
  </si>
  <si>
    <t>Punto #</t>
  </si>
  <si>
    <t>CMC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</si>
  <si>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</si>
  <si>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</si>
  <si>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</si>
  <si>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</si>
  <si>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</si>
  <si>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</si>
  <si>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</si>
  <si>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</si>
  <si>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</si>
  <si>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</si>
  <si>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</si>
  <si>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</si>
  <si>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</si>
  <si>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</si>
  <si>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</si>
  <si>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</si>
  <si>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</si>
  <si>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</si>
  <si>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CMC's Masas</t>
  </si>
  <si>
    <t>CMC (mg)</t>
  </si>
  <si>
    <t>Todo en [mg]</t>
  </si>
  <si>
    <t>Punto 11</t>
  </si>
  <si>
    <t>Punto 12</t>
  </si>
  <si>
    <t>Punto 13</t>
  </si>
  <si>
    <t>Punto 14</t>
  </si>
  <si>
    <t>Punto 15</t>
  </si>
  <si>
    <t>Punto 16</t>
  </si>
  <si>
    <t>Punto 17</t>
  </si>
  <si>
    <t>Punto 18</t>
  </si>
  <si>
    <t>Punto 19</t>
  </si>
  <si>
    <t>Punto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</si>
</sst>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7" fillId="0" borderId="0"/>
    <xf numFmtId="0" fontId="55" fillId="0" borderId="0" applyNumberFormat="0" applyFill="0" applyBorder="0" applyAlignment="0" applyProtection="0">
      <alignment vertical="top"/>
      <protection locked="0"/>
    </xf>
  </cellStyleXfs>
  <cellXfs count="814">
    <xf numFmtId="0" fontId="0" fillId="0" borderId="0" xfId="0"/>
    <xf numFmtId="166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/>
    </xf>
    <xf numFmtId="4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 wrapText="1"/>
    </xf>
    <xf numFmtId="168" fontId="11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vertical="center"/>
    </xf>
    <xf numFmtId="0" fontId="16" fillId="0" borderId="18" xfId="0" applyFont="1" applyBorder="1"/>
    <xf numFmtId="0" fontId="16" fillId="0" borderId="20" xfId="0" applyFont="1" applyBorder="1"/>
    <xf numFmtId="0" fontId="16" fillId="0" borderId="20" xfId="0" quotePrefix="1" applyFont="1" applyBorder="1" applyAlignment="1">
      <alignment horizontal="left" vertical="center"/>
    </xf>
    <xf numFmtId="0" fontId="16" fillId="0" borderId="18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4" fillId="0" borderId="18" xfId="0" applyFont="1" applyBorder="1"/>
    <xf numFmtId="0" fontId="16" fillId="0" borderId="23" xfId="0" applyFont="1" applyBorder="1"/>
    <xf numFmtId="0" fontId="23" fillId="7" borderId="0" xfId="0" applyFont="1" applyFill="1"/>
    <xf numFmtId="1" fontId="21" fillId="7" borderId="25" xfId="0" applyNumberFormat="1" applyFont="1" applyFill="1" applyBorder="1"/>
    <xf numFmtId="0" fontId="21" fillId="7" borderId="26" xfId="0" applyFont="1" applyFill="1" applyBorder="1"/>
    <xf numFmtId="1" fontId="21" fillId="7" borderId="6" xfId="0" applyNumberFormat="1" applyFont="1" applyFill="1" applyBorder="1"/>
    <xf numFmtId="0" fontId="21" fillId="7" borderId="7" xfId="0" applyFont="1" applyFill="1" applyBorder="1"/>
    <xf numFmtId="0" fontId="17" fillId="7" borderId="30" xfId="0" applyFont="1" applyFill="1" applyBorder="1"/>
    <xf numFmtId="173" fontId="16" fillId="0" borderId="41" xfId="0" applyNumberFormat="1" applyFont="1" applyBorder="1" applyAlignment="1">
      <alignment horizontal="right" vertical="center"/>
    </xf>
    <xf numFmtId="173" fontId="16" fillId="0" borderId="26" xfId="0" applyNumberFormat="1" applyFont="1" applyBorder="1" applyAlignment="1">
      <alignment horizontal="right" vertical="center"/>
    </xf>
    <xf numFmtId="173" fontId="16" fillId="0" borderId="42" xfId="0" applyNumberFormat="1" applyFont="1" applyBorder="1" applyAlignment="1">
      <alignment horizontal="right" vertical="center"/>
    </xf>
    <xf numFmtId="170" fontId="17" fillId="6" borderId="43" xfId="0" applyNumberFormat="1" applyFont="1" applyFill="1" applyBorder="1" applyAlignment="1">
      <alignment horizontal="left" vertical="center"/>
    </xf>
    <xf numFmtId="0" fontId="16" fillId="0" borderId="3" xfId="1" applyFont="1" applyBorder="1" applyAlignment="1">
      <alignment vertical="center" wrapText="1"/>
    </xf>
    <xf numFmtId="0" fontId="16" fillId="0" borderId="3" xfId="1" applyFont="1" applyBorder="1" applyAlignment="1">
      <alignment vertical="center"/>
    </xf>
    <xf numFmtId="0" fontId="16" fillId="0" borderId="3" xfId="1" applyFont="1" applyBorder="1" applyAlignment="1">
      <alignment horizontal="center" vertical="center" wrapText="1"/>
    </xf>
    <xf numFmtId="0" fontId="39" fillId="0" borderId="3" xfId="1" applyFont="1" applyBorder="1"/>
    <xf numFmtId="2" fontId="42" fillId="2" borderId="3" xfId="1" applyNumberFormat="1" applyFont="1" applyFill="1" applyBorder="1"/>
    <xf numFmtId="0" fontId="41" fillId="0" borderId="0" xfId="1" applyFont="1"/>
    <xf numFmtId="0" fontId="16" fillId="0" borderId="0" xfId="1" applyFont="1"/>
    <xf numFmtId="1" fontId="39" fillId="0" borderId="0" xfId="1" applyNumberFormat="1" applyFont="1"/>
    <xf numFmtId="0" fontId="40" fillId="0" borderId="0" xfId="1" applyFont="1" applyAlignment="1">
      <alignment horizontal="center" vertical="center"/>
    </xf>
    <xf numFmtId="3" fontId="42" fillId="2" borderId="3" xfId="1" applyNumberFormat="1" applyFont="1" applyFill="1" applyBorder="1"/>
    <xf numFmtId="0" fontId="23" fillId="0" borderId="0" xfId="0" applyFont="1"/>
    <xf numFmtId="0" fontId="61" fillId="0" borderId="69" xfId="0" applyFont="1" applyBorder="1" applyAlignment="1">
      <alignment horizontal="center"/>
    </xf>
    <xf numFmtId="0" fontId="61" fillId="0" borderId="73" xfId="0" applyFont="1" applyBorder="1" applyAlignment="1">
      <alignment horizontal="center"/>
    </xf>
    <xf numFmtId="4" fontId="17" fillId="0" borderId="72" xfId="0" applyNumberFormat="1" applyFont="1" applyBorder="1" applyAlignment="1">
      <alignment horizontal="center" wrapText="1"/>
    </xf>
    <xf numFmtId="0" fontId="23" fillId="3" borderId="0" xfId="0" applyFont="1" applyFill="1" applyAlignment="1">
      <alignment horizontal="center" vertical="center"/>
    </xf>
    <xf numFmtId="4" fontId="23" fillId="0" borderId="0" xfId="0" applyNumberFormat="1" applyFont="1"/>
    <xf numFmtId="0" fontId="63" fillId="3" borderId="0" xfId="0" applyFont="1" applyFill="1" applyAlignment="1">
      <alignment horizontal="center"/>
    </xf>
    <xf numFmtId="0" fontId="57" fillId="3" borderId="0" xfId="0" applyFont="1" applyFill="1" applyAlignment="1">
      <alignment horizontal="center" vertical="center"/>
    </xf>
    <xf numFmtId="0" fontId="64" fillId="3" borderId="0" xfId="0" applyFont="1" applyFill="1" applyAlignment="1">
      <alignment horizontal="center"/>
    </xf>
    <xf numFmtId="0" fontId="20" fillId="3" borderId="0" xfId="0" applyFont="1" applyFill="1"/>
    <xf numFmtId="176" fontId="23" fillId="3" borderId="0" xfId="0" applyNumberFormat="1" applyFont="1" applyFill="1"/>
    <xf numFmtId="0" fontId="23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7" fillId="0" borderId="78" xfId="0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17" fillId="0" borderId="80" xfId="0" applyFont="1" applyBorder="1" applyAlignment="1" applyProtection="1">
      <alignment horizontal="center"/>
      <protection locked="0"/>
    </xf>
    <xf numFmtId="0" fontId="7" fillId="3" borderId="0" xfId="0" applyFont="1" applyFill="1"/>
    <xf numFmtId="0" fontId="7" fillId="0" borderId="11" xfId="0" applyFont="1" applyBorder="1" applyAlignment="1" applyProtection="1">
      <alignment horizontal="center" vertical="center"/>
      <protection locked="0"/>
    </xf>
    <xf numFmtId="0" fontId="94" fillId="3" borderId="11" xfId="0" applyFont="1" applyFill="1" applyBorder="1" applyAlignment="1" applyProtection="1">
      <alignment horizontal="center" vertical="center"/>
      <protection locked="0"/>
    </xf>
    <xf numFmtId="0" fontId="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4" fillId="3" borderId="0" xfId="0" applyFont="1" applyFill="1"/>
    <xf numFmtId="0" fontId="0" fillId="0" borderId="0" xfId="0" applyAlignment="1">
      <alignment horizontal="center"/>
    </xf>
    <xf numFmtId="0" fontId="91" fillId="9" borderId="78" xfId="0" applyFont="1" applyFill="1" applyBorder="1"/>
    <xf numFmtId="0" fontId="91" fillId="9" borderId="79" xfId="0" applyFont="1" applyFill="1" applyBorder="1"/>
    <xf numFmtId="0" fontId="7" fillId="0" borderId="11" xfId="0" applyFont="1" applyBorder="1" applyAlignment="1">
      <alignment horizontal="center" vertical="center"/>
    </xf>
    <xf numFmtId="0" fontId="94" fillId="3" borderId="11" xfId="0" applyFont="1" applyFill="1" applyBorder="1" applyAlignment="1">
      <alignment horizontal="center" vertical="center"/>
    </xf>
    <xf numFmtId="0" fontId="91" fillId="9" borderId="81" xfId="0" applyFont="1" applyFill="1" applyBorder="1"/>
    <xf numFmtId="0" fontId="91" fillId="9" borderId="81" xfId="0" applyFont="1" applyFill="1" applyBorder="1" applyAlignment="1">
      <alignment horizontal="center"/>
    </xf>
    <xf numFmtId="0" fontId="17" fillId="0" borderId="78" xfId="0" applyFont="1" applyBorder="1" applyAlignment="1">
      <alignment horizontal="center"/>
    </xf>
    <xf numFmtId="0" fontId="91" fillId="9" borderId="78" xfId="0" applyFont="1" applyFill="1" applyBorder="1" applyAlignment="1">
      <alignment horizontal="center"/>
    </xf>
    <xf numFmtId="0" fontId="91" fillId="9" borderId="80" xfId="0" applyFont="1" applyFill="1" applyBorder="1" applyAlignment="1">
      <alignment horizontal="center"/>
    </xf>
    <xf numFmtId="0" fontId="91" fillId="9" borderId="3" xfId="0" applyFont="1" applyFill="1" applyBorder="1"/>
    <xf numFmtId="0" fontId="91" fillId="9" borderId="3" xfId="0" applyFont="1" applyFill="1" applyBorder="1" applyAlignment="1">
      <alignment horizontal="center"/>
    </xf>
    <xf numFmtId="0" fontId="17" fillId="10" borderId="3" xfId="0" applyFont="1" applyFill="1" applyBorder="1"/>
    <xf numFmtId="0" fontId="17" fillId="3" borderId="3" xfId="0" applyFont="1" applyFill="1" applyBorder="1" applyAlignment="1">
      <alignment wrapText="1"/>
    </xf>
    <xf numFmtId="1" fontId="17" fillId="0" borderId="74" xfId="0" applyNumberFormat="1" applyFont="1" applyBorder="1" applyAlignment="1">
      <alignment horizontal="center"/>
    </xf>
    <xf numFmtId="165" fontId="17" fillId="0" borderId="80" xfId="0" applyNumberFormat="1" applyFont="1" applyBorder="1" applyAlignment="1">
      <alignment horizontal="center"/>
    </xf>
    <xf numFmtId="165" fontId="17" fillId="0" borderId="78" xfId="0" applyNumberFormat="1" applyFont="1" applyBorder="1" applyAlignment="1" applyProtection="1">
      <alignment horizontal="center"/>
      <protection locked="0"/>
    </xf>
    <xf numFmtId="189" fontId="17" fillId="6" borderId="32" xfId="0" applyNumberFormat="1" applyFont="1" applyFill="1" applyBorder="1" applyAlignment="1" applyProtection="1">
      <alignment horizontal="center" vertical="center"/>
      <protection locked="0"/>
    </xf>
    <xf numFmtId="172" fontId="17" fillId="0" borderId="37" xfId="0" applyNumberFormat="1" applyFont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182" fontId="22" fillId="3" borderId="0" xfId="0" applyNumberFormat="1" applyFont="1" applyFill="1" applyAlignment="1">
      <alignment horizontal="center" vertical="center"/>
    </xf>
    <xf numFmtId="1" fontId="7" fillId="14" borderId="3" xfId="0" applyNumberFormat="1" applyFont="1" applyFill="1" applyBorder="1" applyAlignment="1">
      <alignment horizontal="center" vertical="center"/>
    </xf>
    <xf numFmtId="167" fontId="7" fillId="14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" fontId="7" fillId="14" borderId="0" xfId="0" applyNumberFormat="1" applyFont="1" applyFill="1" applyAlignment="1">
      <alignment horizontal="center" vertical="center"/>
    </xf>
    <xf numFmtId="167" fontId="7" fillId="14" borderId="34" xfId="0" applyNumberFormat="1" applyFont="1" applyFill="1" applyBorder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7" fillId="17" borderId="34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center"/>
      <protection locked="0"/>
    </xf>
    <xf numFmtId="17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7" fillId="15" borderId="14" xfId="0" applyFont="1" applyFill="1" applyBorder="1" applyAlignment="1">
      <alignment horizontal="center" vertical="center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70" fontId="7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7" fillId="14" borderId="34" xfId="0" applyNumberFormat="1" applyFont="1" applyFill="1" applyBorder="1" applyAlignment="1">
      <alignment horizontal="center" vertical="center"/>
    </xf>
    <xf numFmtId="170" fontId="7" fillId="0" borderId="10" xfId="0" applyNumberFormat="1" applyFont="1" applyBorder="1" applyAlignment="1" applyProtection="1">
      <alignment horizontal="center" vertical="center"/>
      <protection locked="0"/>
    </xf>
    <xf numFmtId="170" fontId="7" fillId="0" borderId="3" xfId="0" applyNumberFormat="1" applyFont="1" applyBorder="1" applyAlignment="1" applyProtection="1">
      <alignment horizontal="center" vertical="center"/>
      <protection locked="0"/>
    </xf>
    <xf numFmtId="170" fontId="7" fillId="0" borderId="10" xfId="0" applyNumberFormat="1" applyFont="1" applyBorder="1" applyAlignment="1">
      <alignment horizontal="center" vertical="center"/>
    </xf>
    <xf numFmtId="170" fontId="7" fillId="0" borderId="3" xfId="0" applyNumberFormat="1" applyFont="1" applyBorder="1" applyAlignment="1">
      <alignment horizontal="center" vertical="center"/>
    </xf>
    <xf numFmtId="165" fontId="7" fillId="0" borderId="10" xfId="0" applyNumberFormat="1" applyFont="1" applyBorder="1" applyAlignment="1" applyProtection="1">
      <alignment horizontal="center" vertical="center"/>
      <protection locked="0"/>
    </xf>
    <xf numFmtId="165" fontId="7" fillId="0" borderId="3" xfId="0" applyNumberFormat="1" applyFont="1" applyBorder="1" applyAlignment="1" applyProtection="1">
      <alignment horizontal="center" vertical="center"/>
      <protection locked="0"/>
    </xf>
    <xf numFmtId="188" fontId="17" fillId="0" borderId="32" xfId="0" applyNumberFormat="1" applyFont="1" applyBorder="1" applyAlignment="1" applyProtection="1">
      <alignment horizontal="center" vertical="center"/>
      <protection locked="0"/>
    </xf>
    <xf numFmtId="188" fontId="17" fillId="0" borderId="11" xfId="0" applyNumberFormat="1" applyFont="1" applyBorder="1" applyAlignment="1" applyProtection="1">
      <alignment horizontal="center" vertical="center"/>
      <protection locked="0"/>
    </xf>
    <xf numFmtId="188" fontId="17" fillId="0" borderId="38" xfId="0" applyNumberFormat="1" applyFont="1" applyBorder="1" applyAlignment="1" applyProtection="1">
      <alignment horizontal="center" vertical="center"/>
      <protection locked="0"/>
    </xf>
    <xf numFmtId="188" fontId="17" fillId="0" borderId="3" xfId="0" applyNumberFormat="1" applyFont="1" applyBorder="1" applyAlignment="1" applyProtection="1">
      <alignment horizontal="center" vertical="center"/>
      <protection locked="0"/>
    </xf>
    <xf numFmtId="0" fontId="17" fillId="14" borderId="1" xfId="0" applyFont="1" applyFill="1" applyBorder="1" applyAlignment="1">
      <alignment horizontal="right" vertical="center"/>
    </xf>
    <xf numFmtId="0" fontId="17" fillId="14" borderId="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2" fontId="17" fillId="14" borderId="9" xfId="0" applyNumberFormat="1" applyFont="1" applyFill="1" applyBorder="1" applyAlignment="1">
      <alignment horizontal="left" vertical="center"/>
    </xf>
    <xf numFmtId="0" fontId="17" fillId="14" borderId="19" xfId="0" applyFont="1" applyFill="1" applyBorder="1" applyAlignment="1">
      <alignment vertical="center"/>
    </xf>
    <xf numFmtId="165" fontId="17" fillId="14" borderId="1" xfId="0" applyNumberFormat="1" applyFont="1" applyFill="1" applyBorder="1" applyAlignment="1">
      <alignment horizontal="left" vertical="center"/>
    </xf>
    <xf numFmtId="4" fontId="17" fillId="14" borderId="1" xfId="0" applyNumberFormat="1" applyFont="1" applyFill="1" applyBorder="1" applyAlignment="1">
      <alignment horizontal="left" vertical="center"/>
    </xf>
    <xf numFmtId="173" fontId="17" fillId="14" borderId="19" xfId="0" applyNumberFormat="1" applyFont="1" applyFill="1" applyBorder="1" applyAlignment="1">
      <alignment horizontal="left" vertical="center"/>
    </xf>
    <xf numFmtId="0" fontId="17" fillId="14" borderId="9" xfId="0" applyFont="1" applyFill="1" applyBorder="1" applyAlignment="1">
      <alignment vertical="center"/>
    </xf>
    <xf numFmtId="0" fontId="17" fillId="14" borderId="1" xfId="0" applyFont="1" applyFill="1" applyBorder="1"/>
    <xf numFmtId="0" fontId="23" fillId="14" borderId="9" xfId="0" applyFont="1" applyFill="1" applyBorder="1"/>
    <xf numFmtId="0" fontId="23" fillId="14" borderId="19" xfId="0" applyFont="1" applyFill="1" applyBorder="1"/>
    <xf numFmtId="0" fontId="23" fillId="14" borderId="0" xfId="0" applyFont="1" applyFill="1"/>
    <xf numFmtId="0" fontId="23" fillId="14" borderId="21" xfId="0" applyFont="1" applyFill="1" applyBorder="1"/>
    <xf numFmtId="0" fontId="17" fillId="14" borderId="1" xfId="0" applyFont="1" applyFill="1" applyBorder="1" applyAlignment="1">
      <alignment vertical="center"/>
    </xf>
    <xf numFmtId="0" fontId="17" fillId="14" borderId="22" xfId="0" applyFont="1" applyFill="1" applyBorder="1" applyAlignment="1">
      <alignment vertical="center"/>
    </xf>
    <xf numFmtId="0" fontId="27" fillId="14" borderId="1" xfId="0" applyFont="1" applyFill="1" applyBorder="1" applyAlignment="1">
      <alignment vertical="center"/>
    </xf>
    <xf numFmtId="0" fontId="27" fillId="14" borderId="9" xfId="0" applyFont="1" applyFill="1" applyBorder="1" applyAlignment="1">
      <alignment vertical="center"/>
    </xf>
    <xf numFmtId="0" fontId="27" fillId="14" borderId="19" xfId="0" applyFont="1" applyFill="1" applyBorder="1" applyAlignment="1">
      <alignment vertical="center"/>
    </xf>
    <xf numFmtId="2" fontId="17" fillId="14" borderId="1" xfId="0" applyNumberFormat="1" applyFont="1" applyFill="1" applyBorder="1" applyAlignment="1">
      <alignment horizontal="left" vertical="center"/>
    </xf>
    <xf numFmtId="0" fontId="17" fillId="14" borderId="24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36" fillId="14" borderId="13" xfId="0" applyFont="1" applyFill="1" applyBorder="1" applyAlignment="1">
      <alignment vertical="center"/>
    </xf>
    <xf numFmtId="0" fontId="16" fillId="14" borderId="31" xfId="0" applyFont="1" applyFill="1" applyBorder="1" applyAlignment="1">
      <alignment vertical="center"/>
    </xf>
    <xf numFmtId="0" fontId="20" fillId="14" borderId="31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4" fillId="14" borderId="6" xfId="0" applyFont="1" applyFill="1" applyBorder="1" applyAlignment="1">
      <alignment horizontal="center" vertical="center"/>
    </xf>
    <xf numFmtId="0" fontId="4" fillId="14" borderId="7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left" vertical="center"/>
    </xf>
    <xf numFmtId="0" fontId="38" fillId="14" borderId="7" xfId="0" applyFont="1" applyFill="1" applyBorder="1" applyAlignment="1">
      <alignment horizontal="center" vertical="center"/>
    </xf>
    <xf numFmtId="0" fontId="37" fillId="14" borderId="7" xfId="0" applyFont="1" applyFill="1" applyBorder="1" applyAlignment="1">
      <alignment vertical="center"/>
    </xf>
    <xf numFmtId="174" fontId="38" fillId="14" borderId="0" xfId="0" applyNumberFormat="1" applyFont="1" applyFill="1" applyAlignment="1">
      <alignment horizontal="center" vertical="center"/>
    </xf>
    <xf numFmtId="0" fontId="16" fillId="14" borderId="2" xfId="0" applyFont="1" applyFill="1" applyBorder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vertical="center"/>
    </xf>
    <xf numFmtId="0" fontId="20" fillId="14" borderId="0" xfId="0" applyFont="1" applyFill="1" applyAlignment="1">
      <alignment vertical="center"/>
    </xf>
    <xf numFmtId="0" fontId="20" fillId="14" borderId="7" xfId="0" applyFont="1" applyFill="1" applyBorder="1" applyAlignment="1">
      <alignment vertical="center"/>
    </xf>
    <xf numFmtId="174" fontId="38" fillId="14" borderId="7" xfId="0" applyNumberFormat="1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34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14" borderId="11" xfId="0" applyFont="1" applyFill="1" applyBorder="1" applyAlignment="1" applyProtection="1">
      <alignment horizontal="center"/>
      <protection locked="0"/>
    </xf>
    <xf numFmtId="0" fontId="16" fillId="14" borderId="11" xfId="0" applyFont="1" applyFill="1" applyBorder="1" applyAlignment="1">
      <alignment horizontal="center"/>
    </xf>
    <xf numFmtId="0" fontId="16" fillId="14" borderId="33" xfId="0" applyFont="1" applyFill="1" applyBorder="1" applyAlignment="1">
      <alignment horizontal="center" vertical="center"/>
    </xf>
    <xf numFmtId="0" fontId="23" fillId="14" borderId="35" xfId="0" applyFont="1" applyFill="1" applyBorder="1"/>
    <xf numFmtId="0" fontId="22" fillId="14" borderId="36" xfId="0" applyFont="1" applyFill="1" applyBorder="1" applyAlignment="1">
      <alignment horizontal="center"/>
    </xf>
    <xf numFmtId="2" fontId="17" fillId="14" borderId="3" xfId="0" applyNumberFormat="1" applyFont="1" applyFill="1" applyBorder="1" applyAlignment="1">
      <alignment horizontal="center" vertical="center"/>
    </xf>
    <xf numFmtId="196" fontId="17" fillId="17" borderId="11" xfId="0" applyNumberFormat="1" applyFont="1" applyFill="1" applyBorder="1" applyAlignment="1">
      <alignment horizontal="center" vertical="center"/>
    </xf>
    <xf numFmtId="196" fontId="17" fillId="17" borderId="3" xfId="0" applyNumberFormat="1" applyFont="1" applyFill="1" applyBorder="1" applyAlignment="1">
      <alignment horizontal="center" vertical="center"/>
    </xf>
    <xf numFmtId="173" fontId="17" fillId="14" borderId="3" xfId="0" applyNumberFormat="1" applyFont="1" applyFill="1" applyBorder="1" applyAlignment="1">
      <alignment horizontal="center" vertical="center"/>
    </xf>
    <xf numFmtId="170" fontId="17" fillId="14" borderId="3" xfId="0" applyNumberFormat="1" applyFont="1" applyFill="1" applyBorder="1" applyAlignment="1">
      <alignment horizontal="center" vertical="center"/>
    </xf>
    <xf numFmtId="173" fontId="17" fillId="14" borderId="40" xfId="0" applyNumberFormat="1" applyFont="1" applyFill="1" applyBorder="1" applyAlignment="1">
      <alignment horizontal="center" vertical="center"/>
    </xf>
    <xf numFmtId="0" fontId="98" fillId="15" borderId="0" xfId="0" applyFont="1" applyFill="1"/>
    <xf numFmtId="0" fontId="98" fillId="0" borderId="0" xfId="0" applyFont="1"/>
    <xf numFmtId="0" fontId="98" fillId="3" borderId="0" xfId="0" applyFont="1" applyFill="1"/>
    <xf numFmtId="0" fontId="98" fillId="14" borderId="4" xfId="0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center"/>
    </xf>
    <xf numFmtId="0" fontId="98" fillId="14" borderId="2" xfId="0" applyFont="1" applyFill="1" applyBorder="1" applyAlignment="1">
      <alignment horizontal="center" vertical="center"/>
    </xf>
    <xf numFmtId="0" fontId="98" fillId="14" borderId="5" xfId="0" applyFont="1" applyFill="1" applyBorder="1"/>
    <xf numFmtId="0" fontId="98" fillId="14" borderId="0" xfId="0" applyFont="1" applyFill="1" applyAlignment="1">
      <alignment vertical="center"/>
    </xf>
    <xf numFmtId="0" fontId="98" fillId="14" borderId="14" xfId="0" applyFont="1" applyFill="1" applyBorder="1"/>
    <xf numFmtId="0" fontId="98" fillId="0" borderId="3" xfId="0" applyFont="1" applyBorder="1"/>
    <xf numFmtId="0" fontId="98" fillId="14" borderId="13" xfId="0" applyFont="1" applyFill="1" applyBorder="1" applyAlignment="1">
      <alignment horizontal="center" vertical="center"/>
    </xf>
    <xf numFmtId="191" fontId="98" fillId="13" borderId="0" xfId="0" applyNumberFormat="1" applyFont="1" applyFill="1" applyAlignment="1">
      <alignment horizontal="center" vertical="center"/>
    </xf>
    <xf numFmtId="195" fontId="98" fillId="13" borderId="0" xfId="0" applyNumberFormat="1" applyFont="1" applyFill="1" applyAlignment="1">
      <alignment horizontal="center" vertical="center"/>
    </xf>
    <xf numFmtId="192" fontId="98" fillId="13" borderId="0" xfId="0" applyNumberFormat="1" applyFont="1" applyFill="1" applyAlignment="1">
      <alignment horizontal="center" vertical="center"/>
    </xf>
    <xf numFmtId="190" fontId="98" fillId="13" borderId="0" xfId="0" applyNumberFormat="1" applyFont="1" applyFill="1" applyAlignment="1">
      <alignment horizontal="center" vertical="center"/>
    </xf>
    <xf numFmtId="0" fontId="98" fillId="0" borderId="3" xfId="0" applyFont="1" applyBorder="1" applyAlignment="1">
      <alignment horizontal="center"/>
    </xf>
    <xf numFmtId="0" fontId="98" fillId="14" borderId="8" xfId="0" applyFont="1" applyFill="1" applyBorder="1"/>
    <xf numFmtId="4" fontId="98" fillId="0" borderId="0" xfId="0" applyNumberFormat="1" applyFont="1"/>
    <xf numFmtId="0" fontId="60" fillId="14" borderId="3" xfId="0" applyFont="1" applyFill="1" applyBorder="1"/>
    <xf numFmtId="2" fontId="98" fillId="14" borderId="3" xfId="0" applyNumberFormat="1" applyFont="1" applyFill="1" applyBorder="1"/>
    <xf numFmtId="177" fontId="98" fillId="0" borderId="0" xfId="0" applyNumberFormat="1" applyFont="1" applyAlignment="1">
      <alignment horizontal="center"/>
    </xf>
    <xf numFmtId="0" fontId="20" fillId="0" borderId="71" xfId="0" applyFont="1" applyBorder="1" applyAlignment="1">
      <alignment horizontal="center"/>
    </xf>
    <xf numFmtId="0" fontId="101" fillId="0" borderId="46" xfId="0" applyFont="1" applyBorder="1" applyAlignment="1">
      <alignment horizontal="center"/>
    </xf>
    <xf numFmtId="0" fontId="98" fillId="0" borderId="11" xfId="0" applyFont="1" applyBorder="1" applyAlignment="1">
      <alignment horizontal="center"/>
    </xf>
    <xf numFmtId="0" fontId="17" fillId="0" borderId="68" xfId="0" applyFont="1" applyBorder="1" applyAlignment="1">
      <alignment horizontal="center" wrapText="1"/>
    </xf>
    <xf numFmtId="0" fontId="98" fillId="0" borderId="40" xfId="0" applyFont="1" applyBorder="1" applyAlignment="1">
      <alignment horizontal="center"/>
    </xf>
    <xf numFmtId="2" fontId="98" fillId="0" borderId="70" xfId="0" applyNumberFormat="1" applyFont="1" applyBorder="1" applyAlignment="1">
      <alignment horizontal="center"/>
    </xf>
    <xf numFmtId="0" fontId="98" fillId="4" borderId="8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0" borderId="3" xfId="0" applyFont="1" applyBorder="1" applyAlignment="1">
      <alignment vertical="top"/>
    </xf>
    <xf numFmtId="0" fontId="98" fillId="0" borderId="3" xfId="0" applyFont="1" applyBorder="1" applyAlignment="1">
      <alignment horizontal="center" vertical="top"/>
    </xf>
    <xf numFmtId="49" fontId="49" fillId="5" borderId="3" xfId="0" applyNumberFormat="1" applyFont="1" applyFill="1" applyBorder="1" applyAlignment="1">
      <alignment horizontal="left" vertical="top"/>
    </xf>
    <xf numFmtId="4" fontId="49" fillId="3" borderId="3" xfId="0" applyNumberFormat="1" applyFont="1" applyFill="1" applyBorder="1" applyAlignment="1">
      <alignment horizontal="right" vertical="top"/>
    </xf>
    <xf numFmtId="11" fontId="113" fillId="0" borderId="3" xfId="0" applyNumberFormat="1" applyFont="1" applyBorder="1" applyAlignment="1">
      <alignment vertical="top"/>
    </xf>
    <xf numFmtId="170" fontId="98" fillId="5" borderId="3" xfId="0" applyNumberFormat="1" applyFont="1" applyFill="1" applyBorder="1" applyAlignment="1">
      <alignment vertical="top"/>
    </xf>
    <xf numFmtId="0" fontId="113" fillId="0" borderId="3" xfId="0" applyFont="1" applyBorder="1" applyAlignment="1">
      <alignment vertical="top"/>
    </xf>
    <xf numFmtId="0" fontId="98" fillId="5" borderId="3" xfId="0" applyFont="1" applyFill="1" applyBorder="1" applyAlignment="1">
      <alignment vertical="top"/>
    </xf>
    <xf numFmtId="164" fontId="113" fillId="0" borderId="3" xfId="0" applyNumberFormat="1" applyFont="1" applyBorder="1" applyAlignment="1">
      <alignment vertical="top"/>
    </xf>
    <xf numFmtId="168" fontId="49" fillId="3" borderId="3" xfId="0" applyNumberFormat="1" applyFont="1" applyFill="1" applyBorder="1" applyAlignment="1">
      <alignment horizontal="right" vertical="top"/>
    </xf>
    <xf numFmtId="11" fontId="113" fillId="0" borderId="0" xfId="0" applyNumberFormat="1" applyFont="1" applyAlignment="1">
      <alignment vertical="top"/>
    </xf>
    <xf numFmtId="0" fontId="113" fillId="0" borderId="0" xfId="0" applyFont="1" applyAlignment="1">
      <alignment vertical="top"/>
    </xf>
    <xf numFmtId="3" fontId="49" fillId="3" borderId="3" xfId="0" applyNumberFormat="1" applyFont="1" applyFill="1" applyBorder="1" applyAlignment="1">
      <alignment horizontal="right" vertical="top"/>
    </xf>
    <xf numFmtId="0" fontId="4" fillId="0" borderId="0" xfId="0" applyFont="1"/>
    <xf numFmtId="0" fontId="98" fillId="0" borderId="0" xfId="0" applyFont="1" applyAlignment="1">
      <alignment horizontal="center"/>
    </xf>
    <xf numFmtId="166" fontId="98" fillId="2" borderId="0" xfId="0" applyNumberFormat="1" applyFont="1" applyFill="1" applyAlignment="1">
      <alignment horizontal="center"/>
    </xf>
    <xf numFmtId="168" fontId="98" fillId="2" borderId="0" xfId="0" applyNumberFormat="1" applyFont="1" applyFill="1" applyAlignment="1">
      <alignment horizontal="center"/>
    </xf>
    <xf numFmtId="182" fontId="98" fillId="0" borderId="0" xfId="0" applyNumberFormat="1" applyFont="1" applyAlignment="1">
      <alignment horizontal="center"/>
    </xf>
    <xf numFmtId="193" fontId="49" fillId="3" borderId="3" xfId="0" applyNumberFormat="1" applyFont="1" applyFill="1" applyBorder="1" applyAlignment="1">
      <alignment horizontal="right" vertical="top"/>
    </xf>
    <xf numFmtId="182" fontId="113" fillId="0" borderId="3" xfId="0" applyNumberFormat="1" applyFont="1" applyBorder="1" applyAlignment="1">
      <alignment vertical="top"/>
    </xf>
    <xf numFmtId="3" fontId="114" fillId="3" borderId="3" xfId="0" applyNumberFormat="1" applyFont="1" applyFill="1" applyBorder="1" applyAlignment="1">
      <alignment horizontal="right" vertical="top"/>
    </xf>
    <xf numFmtId="0" fontId="98" fillId="0" borderId="0" xfId="0" applyFont="1" applyProtection="1">
      <protection locked="0"/>
    </xf>
    <xf numFmtId="0" fontId="98" fillId="4" borderId="3" xfId="0" applyFont="1" applyFill="1" applyBorder="1" applyAlignment="1">
      <alignment horizontal="center" vertical="center" wrapText="1"/>
    </xf>
    <xf numFmtId="0" fontId="98" fillId="4" borderId="1" xfId="0" applyFont="1" applyFill="1" applyBorder="1"/>
    <xf numFmtId="0" fontId="98" fillId="4" borderId="9" xfId="0" applyFont="1" applyFill="1" applyBorder="1" applyAlignment="1">
      <alignment horizontal="center"/>
    </xf>
    <xf numFmtId="0" fontId="98" fillId="4" borderId="10" xfId="0" applyFont="1" applyFill="1" applyBorder="1" applyAlignment="1">
      <alignment horizontal="center" vertical="center"/>
    </xf>
    <xf numFmtId="0" fontId="98" fillId="4" borderId="1" xfId="0" applyFont="1" applyFill="1" applyBorder="1" applyAlignment="1">
      <alignment horizontal="center"/>
    </xf>
    <xf numFmtId="0" fontId="98" fillId="4" borderId="0" xfId="0" applyFont="1" applyFill="1"/>
    <xf numFmtId="0" fontId="98" fillId="0" borderId="3" xfId="0" applyFont="1" applyBorder="1" applyAlignment="1">
      <alignment vertical="center"/>
    </xf>
    <xf numFmtId="0" fontId="98" fillId="0" borderId="1" xfId="0" applyFont="1" applyBorder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12" xfId="0" applyFont="1" applyBorder="1" applyAlignment="1">
      <alignment vertical="center"/>
    </xf>
    <xf numFmtId="0" fontId="98" fillId="0" borderId="12" xfId="0" applyFont="1" applyBorder="1" applyAlignment="1">
      <alignment vertical="center" wrapText="1"/>
    </xf>
    <xf numFmtId="0" fontId="98" fillId="0" borderId="3" xfId="0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top"/>
    </xf>
    <xf numFmtId="0" fontId="98" fillId="0" borderId="3" xfId="0" applyFont="1" applyBorder="1" applyAlignment="1">
      <alignment vertical="center" wrapText="1"/>
    </xf>
    <xf numFmtId="0" fontId="113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0" borderId="1" xfId="0" applyFont="1" applyBorder="1" applyAlignment="1">
      <alignment vertical="center"/>
    </xf>
    <xf numFmtId="164" fontId="113" fillId="0" borderId="0" xfId="0" applyNumberFormat="1" applyFont="1" applyAlignment="1">
      <alignment vertical="top"/>
    </xf>
    <xf numFmtId="0" fontId="17" fillId="0" borderId="0" xfId="1"/>
    <xf numFmtId="0" fontId="17" fillId="0" borderId="3" xfId="1" applyBorder="1"/>
    <xf numFmtId="167" fontId="17" fillId="0" borderId="3" xfId="1" applyNumberFormat="1" applyBorder="1"/>
    <xf numFmtId="167" fontId="17" fillId="8" borderId="3" xfId="1" applyNumberFormat="1" applyFill="1" applyBorder="1"/>
    <xf numFmtId="2" fontId="17" fillId="0" borderId="3" xfId="1" applyNumberFormat="1" applyBorder="1" applyAlignment="1">
      <alignment horizontal="center"/>
    </xf>
    <xf numFmtId="3" fontId="17" fillId="0" borderId="3" xfId="1" applyNumberFormat="1" applyBorder="1" applyAlignment="1">
      <alignment horizontal="center"/>
    </xf>
    <xf numFmtId="2" fontId="17" fillId="0" borderId="3" xfId="1" applyNumberFormat="1" applyBorder="1"/>
    <xf numFmtId="2" fontId="17" fillId="8" borderId="3" xfId="1" applyNumberFormat="1" applyFill="1" applyBorder="1"/>
    <xf numFmtId="3" fontId="17" fillId="0" borderId="3" xfId="1" applyNumberFormat="1" applyBorder="1"/>
    <xf numFmtId="1" fontId="17" fillId="0" borderId="3" xfId="1" applyNumberFormat="1" applyBorder="1"/>
    <xf numFmtId="1" fontId="17" fillId="8" borderId="3" xfId="1" applyNumberFormat="1" applyFill="1" applyBorder="1"/>
    <xf numFmtId="0" fontId="98" fillId="13" borderId="13" xfId="0" applyFont="1" applyFill="1" applyBorder="1" applyAlignment="1">
      <alignment horizontal="center" vertical="center"/>
    </xf>
    <xf numFmtId="0" fontId="16" fillId="13" borderId="31" xfId="0" applyFont="1" applyFill="1" applyBorder="1" applyAlignment="1">
      <alignment vertical="center"/>
    </xf>
    <xf numFmtId="0" fontId="20" fillId="13" borderId="31" xfId="0" applyFont="1" applyFill="1" applyBorder="1" applyAlignment="1">
      <alignment vertical="center"/>
    </xf>
    <xf numFmtId="0" fontId="4" fillId="13" borderId="13" xfId="0" applyFont="1" applyFill="1" applyBorder="1" applyAlignment="1">
      <alignment horizontal="center" vertical="center"/>
    </xf>
    <xf numFmtId="0" fontId="4" fillId="13" borderId="0" xfId="0" applyFont="1" applyFill="1" applyAlignment="1">
      <alignment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vertical="center"/>
    </xf>
    <xf numFmtId="0" fontId="2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 applyProtection="1">
      <alignment horizontal="center" vertical="center"/>
      <protection locked="0"/>
    </xf>
    <xf numFmtId="191" fontId="98" fillId="14" borderId="0" xfId="0" applyNumberFormat="1" applyFont="1" applyFill="1" applyAlignment="1">
      <alignment horizontal="center" vertical="center"/>
    </xf>
    <xf numFmtId="194" fontId="98" fillId="14" borderId="0" xfId="0" applyNumberFormat="1" applyFont="1" applyFill="1" applyAlignment="1">
      <alignment horizontal="center" vertical="center"/>
    </xf>
    <xf numFmtId="0" fontId="36" fillId="12" borderId="13" xfId="0" applyFont="1" applyFill="1" applyBorder="1" applyAlignment="1">
      <alignment vertical="center"/>
    </xf>
    <xf numFmtId="0" fontId="98" fillId="12" borderId="0" xfId="0" applyFont="1" applyFill="1" applyAlignment="1">
      <alignment vertical="center"/>
    </xf>
    <xf numFmtId="169" fontId="98" fillId="5" borderId="3" xfId="0" applyNumberFormat="1" applyFont="1" applyFill="1" applyBorder="1" applyAlignment="1">
      <alignment horizontal="center" vertical="top"/>
    </xf>
    <xf numFmtId="0" fontId="16" fillId="14" borderId="75" xfId="0" applyFont="1" applyFill="1" applyBorder="1" applyAlignment="1">
      <alignment horizontal="right" vertical="center"/>
    </xf>
    <xf numFmtId="182" fontId="68" fillId="14" borderId="26" xfId="0" applyNumberFormat="1" applyFont="1" applyFill="1" applyBorder="1" applyAlignment="1">
      <alignment vertical="center"/>
    </xf>
    <xf numFmtId="0" fontId="66" fillId="14" borderId="27" xfId="0" applyFont="1" applyFill="1" applyBorder="1" applyAlignment="1">
      <alignment horizontal="center" vertical="center"/>
    </xf>
    <xf numFmtId="0" fontId="16" fillId="14" borderId="29" xfId="0" applyFont="1" applyFill="1" applyBorder="1" applyAlignment="1">
      <alignment horizontal="right" vertical="center"/>
    </xf>
    <xf numFmtId="0" fontId="68" fillId="14" borderId="62" xfId="0" applyFont="1" applyFill="1" applyBorder="1" applyAlignment="1">
      <alignment vertical="center"/>
    </xf>
    <xf numFmtId="0" fontId="81" fillId="14" borderId="26" xfId="0" applyFont="1" applyFill="1" applyBorder="1" applyAlignment="1">
      <alignment vertical="center"/>
    </xf>
    <xf numFmtId="0" fontId="116" fillId="14" borderId="27" xfId="0" applyFont="1" applyFill="1" applyBorder="1" applyAlignment="1">
      <alignment horizontal="center" vertical="center"/>
    </xf>
    <xf numFmtId="0" fontId="81" fillId="14" borderId="62" xfId="0" applyFont="1" applyFill="1" applyBorder="1" applyAlignment="1">
      <alignment vertical="center"/>
    </xf>
    <xf numFmtId="0" fontId="116" fillId="14" borderId="30" xfId="0" applyFont="1" applyFill="1" applyBorder="1" applyAlignment="1">
      <alignment horizontal="center" vertical="center"/>
    </xf>
    <xf numFmtId="0" fontId="108" fillId="14" borderId="3" xfId="0" applyFont="1" applyFill="1" applyBorder="1" applyAlignment="1">
      <alignment horizontal="right"/>
    </xf>
    <xf numFmtId="0" fontId="16" fillId="14" borderId="26" xfId="0" applyFont="1" applyFill="1" applyBorder="1" applyAlignment="1">
      <alignment horizontal="right" vertical="center"/>
    </xf>
    <xf numFmtId="0" fontId="81" fillId="14" borderId="26" xfId="0" applyFont="1" applyFill="1" applyBorder="1" applyAlignment="1">
      <alignment horizontal="center" vertical="center"/>
    </xf>
    <xf numFmtId="0" fontId="98" fillId="0" borderId="1" xfId="0" applyFont="1" applyBorder="1" applyAlignment="1">
      <alignment vertical="top"/>
    </xf>
    <xf numFmtId="0" fontId="98" fillId="0" borderId="12" xfId="0" applyFont="1" applyBorder="1" applyAlignment="1">
      <alignment vertical="top"/>
    </xf>
    <xf numFmtId="49" fontId="49" fillId="5" borderId="12" xfId="0" applyNumberFormat="1" applyFont="1" applyFill="1" applyBorder="1" applyAlignment="1">
      <alignment horizontal="left" vertical="top"/>
    </xf>
    <xf numFmtId="0" fontId="98" fillId="0" borderId="12" xfId="0" applyFont="1" applyBorder="1" applyAlignment="1">
      <alignment horizontal="center" vertical="top"/>
    </xf>
    <xf numFmtId="3" fontId="49" fillId="3" borderId="12" xfId="0" applyNumberFormat="1" applyFont="1" applyFill="1" applyBorder="1" applyAlignment="1">
      <alignment horizontal="right" vertical="top"/>
    </xf>
    <xf numFmtId="0" fontId="113" fillId="0" borderId="12" xfId="0" applyFont="1" applyBorder="1" applyAlignment="1">
      <alignment vertical="top"/>
    </xf>
    <xf numFmtId="11" fontId="113" fillId="0" borderId="12" xfId="0" applyNumberFormat="1" applyFont="1" applyBorder="1" applyAlignment="1">
      <alignment vertical="top"/>
    </xf>
    <xf numFmtId="0" fontId="98" fillId="5" borderId="12" xfId="0" applyFont="1" applyFill="1" applyBorder="1" applyAlignment="1">
      <alignment vertical="top"/>
    </xf>
    <xf numFmtId="164" fontId="113" fillId="0" borderId="12" xfId="0" applyNumberFormat="1" applyFont="1" applyBorder="1" applyAlignment="1">
      <alignment vertical="top"/>
    </xf>
    <xf numFmtId="0" fontId="98" fillId="0" borderId="4" xfId="0" applyFont="1" applyBorder="1" applyAlignment="1">
      <alignment vertical="top"/>
    </xf>
    <xf numFmtId="0" fontId="98" fillId="14" borderId="0" xfId="0" applyFont="1" applyFill="1"/>
    <xf numFmtId="0" fontId="117" fillId="14" borderId="0" xfId="0" applyFont="1" applyFill="1" applyAlignment="1">
      <alignment horizontal="center" wrapText="1"/>
    </xf>
    <xf numFmtId="0" fontId="118" fillId="7" borderId="27" xfId="0" applyFont="1" applyFill="1" applyBorder="1"/>
    <xf numFmtId="0" fontId="118" fillId="7" borderId="28" xfId="0" applyFont="1" applyFill="1" applyBorder="1"/>
    <xf numFmtId="0" fontId="72" fillId="7" borderId="29" xfId="0" applyFont="1" applyFill="1" applyBorder="1" applyAlignment="1">
      <alignment horizontal="right" vertical="top" wrapText="1"/>
    </xf>
    <xf numFmtId="0" fontId="20" fillId="17" borderId="0" xfId="0" applyFont="1" applyFill="1" applyAlignment="1">
      <alignment horizontal="center"/>
    </xf>
    <xf numFmtId="0" fontId="16" fillId="17" borderId="7" xfId="0" applyFont="1" applyFill="1" applyBorder="1" applyAlignment="1">
      <alignment horizontal="center" wrapText="1"/>
    </xf>
    <xf numFmtId="0" fontId="64" fillId="17" borderId="3" xfId="0" applyFont="1" applyFill="1" applyBorder="1" applyAlignment="1">
      <alignment horizontal="center"/>
    </xf>
    <xf numFmtId="1" fontId="23" fillId="17" borderId="3" xfId="0" applyNumberFormat="1" applyFont="1" applyFill="1" applyBorder="1" applyAlignment="1">
      <alignment horizontal="center"/>
    </xf>
    <xf numFmtId="0" fontId="98" fillId="3" borderId="12" xfId="0" applyFont="1" applyFill="1" applyBorder="1" applyAlignment="1">
      <alignment horizontal="center"/>
    </xf>
    <xf numFmtId="0" fontId="23" fillId="3" borderId="0" xfId="0" applyFont="1" applyFill="1"/>
    <xf numFmtId="171" fontId="98" fillId="3" borderId="0" xfId="0" applyNumberFormat="1" applyFont="1" applyFill="1"/>
    <xf numFmtId="175" fontId="98" fillId="3" borderId="0" xfId="0" applyNumberFormat="1" applyFont="1" applyFill="1"/>
    <xf numFmtId="0" fontId="69" fillId="11" borderId="4" xfId="0" applyFont="1" applyFill="1" applyBorder="1" applyAlignment="1">
      <alignment horizontal="left" vertical="center"/>
    </xf>
    <xf numFmtId="2" fontId="23" fillId="11" borderId="5" xfId="0" applyNumberFormat="1" applyFont="1" applyFill="1" applyBorder="1" applyAlignment="1">
      <alignment horizontal="center" vertical="center"/>
    </xf>
    <xf numFmtId="183" fontId="23" fillId="11" borderId="5" xfId="0" applyNumberFormat="1" applyFont="1" applyFill="1" applyBorder="1" applyAlignment="1">
      <alignment horizontal="center" vertical="center"/>
    </xf>
    <xf numFmtId="184" fontId="57" fillId="11" borderId="5" xfId="0" applyNumberFormat="1" applyFont="1" applyFill="1" applyBorder="1" applyAlignment="1">
      <alignment horizontal="center" vertical="center"/>
    </xf>
    <xf numFmtId="172" fontId="17" fillId="11" borderId="12" xfId="0" applyNumberFormat="1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 vertical="center"/>
    </xf>
    <xf numFmtId="176" fontId="17" fillId="11" borderId="8" xfId="0" applyNumberFormat="1" applyFont="1" applyFill="1" applyBorder="1" applyAlignment="1">
      <alignment horizontal="center" vertical="center"/>
    </xf>
    <xf numFmtId="176" fontId="21" fillId="11" borderId="11" xfId="0" applyNumberFormat="1" applyFont="1" applyFill="1" applyBorder="1" applyAlignment="1">
      <alignment horizontal="center" vertical="center"/>
    </xf>
    <xf numFmtId="171" fontId="23" fillId="11" borderId="5" xfId="0" applyNumberFormat="1" applyFont="1" applyFill="1" applyBorder="1" applyAlignment="1">
      <alignment horizontal="center" vertical="center"/>
    </xf>
    <xf numFmtId="167" fontId="21" fillId="11" borderId="5" xfId="0" applyNumberFormat="1" applyFont="1" applyFill="1" applyBorder="1" applyAlignment="1">
      <alignment horizontal="center" vertical="center"/>
    </xf>
    <xf numFmtId="11" fontId="23" fillId="11" borderId="5" xfId="0" applyNumberFormat="1" applyFont="1" applyFill="1" applyBorder="1" applyAlignment="1">
      <alignment horizontal="center" vertical="center"/>
    </xf>
    <xf numFmtId="170" fontId="17" fillId="11" borderId="12" xfId="0" applyNumberFormat="1" applyFont="1" applyFill="1" applyBorder="1" applyAlignment="1">
      <alignment horizontal="center" vertical="center"/>
    </xf>
    <xf numFmtId="170" fontId="17" fillId="11" borderId="8" xfId="0" applyNumberFormat="1" applyFont="1" applyFill="1" applyBorder="1" applyAlignment="1">
      <alignment horizontal="center" vertical="center"/>
    </xf>
    <xf numFmtId="0" fontId="80" fillId="11" borderId="6" xfId="0" applyFont="1" applyFill="1" applyBorder="1" applyAlignment="1">
      <alignment horizontal="left" vertical="center"/>
    </xf>
    <xf numFmtId="0" fontId="73" fillId="11" borderId="4" xfId="0" applyFont="1" applyFill="1" applyBorder="1"/>
    <xf numFmtId="2" fontId="23" fillId="11" borderId="5" xfId="0" applyNumberFormat="1" applyFont="1" applyFill="1" applyBorder="1"/>
    <xf numFmtId="167" fontId="23" fillId="11" borderId="3" xfId="0" applyNumberFormat="1" applyFont="1" applyFill="1" applyBorder="1"/>
    <xf numFmtId="11" fontId="23" fillId="11" borderId="3" xfId="0" applyNumberFormat="1" applyFont="1" applyFill="1" applyBorder="1"/>
    <xf numFmtId="0" fontId="23" fillId="11" borderId="12" xfId="0" applyFont="1" applyFill="1" applyBorder="1"/>
    <xf numFmtId="0" fontId="73" fillId="11" borderId="6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vertical="center"/>
    </xf>
    <xf numFmtId="0" fontId="23" fillId="11" borderId="11" xfId="0" applyFont="1" applyFill="1" applyBorder="1"/>
    <xf numFmtId="0" fontId="73" fillId="11" borderId="4" xfId="0" applyFont="1" applyFill="1" applyBorder="1" applyAlignment="1">
      <alignment horizontal="left" vertical="center"/>
    </xf>
    <xf numFmtId="177" fontId="17" fillId="11" borderId="5" xfId="0" applyNumberFormat="1" applyFont="1" applyFill="1" applyBorder="1" applyAlignment="1">
      <alignment horizontal="center" vertical="center"/>
    </xf>
    <xf numFmtId="11" fontId="49" fillId="11" borderId="5" xfId="0" applyNumberFormat="1" applyFont="1" applyFill="1" applyBorder="1" applyAlignment="1">
      <alignment horizontal="center" vertical="center"/>
    </xf>
    <xf numFmtId="177" fontId="21" fillId="11" borderId="12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left" vertical="center"/>
    </xf>
    <xf numFmtId="0" fontId="107" fillId="11" borderId="4" xfId="0" applyFont="1" applyFill="1" applyBorder="1" applyAlignment="1">
      <alignment horizontal="left" vertical="center"/>
    </xf>
    <xf numFmtId="179" fontId="17" fillId="11" borderId="5" xfId="0" applyNumberFormat="1" applyFont="1" applyFill="1" applyBorder="1" applyAlignment="1">
      <alignment horizontal="center" vertical="center"/>
    </xf>
    <xf numFmtId="186" fontId="21" fillId="11" borderId="5" xfId="0" applyNumberFormat="1" applyFont="1" applyFill="1" applyBorder="1" applyAlignment="1">
      <alignment horizontal="center" vertical="center"/>
    </xf>
    <xf numFmtId="178" fontId="21" fillId="11" borderId="12" xfId="0" applyNumberFormat="1" applyFont="1" applyFill="1" applyBorder="1" applyAlignment="1">
      <alignment horizontal="center" vertical="center"/>
    </xf>
    <xf numFmtId="0" fontId="78" fillId="11" borderId="6" xfId="0" applyFont="1" applyFill="1" applyBorder="1" applyAlignment="1">
      <alignment horizontal="left" vertical="center"/>
    </xf>
    <xf numFmtId="171" fontId="17" fillId="11" borderId="8" xfId="0" applyNumberFormat="1" applyFont="1" applyFill="1" applyBorder="1" applyAlignment="1">
      <alignment horizontal="center" vertical="center"/>
    </xf>
    <xf numFmtId="0" fontId="77" fillId="11" borderId="4" xfId="0" applyFont="1" applyFill="1" applyBorder="1" applyAlignment="1">
      <alignment horizontal="left" vertical="center"/>
    </xf>
    <xf numFmtId="179" fontId="49" fillId="11" borderId="5" xfId="0" applyNumberFormat="1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24" fillId="11" borderId="6" xfId="0" applyFont="1" applyFill="1" applyBorder="1" applyAlignment="1">
      <alignment horizontal="right" vertical="center"/>
    </xf>
    <xf numFmtId="172" fontId="22" fillId="11" borderId="8" xfId="0" applyNumberFormat="1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/>
    </xf>
    <xf numFmtId="0" fontId="17" fillId="11" borderId="7" xfId="0" applyFont="1" applyFill="1" applyBorder="1" applyAlignment="1">
      <alignment horizontal="center"/>
    </xf>
    <xf numFmtId="0" fontId="21" fillId="11" borderId="76" xfId="0" applyFont="1" applyFill="1" applyBorder="1"/>
    <xf numFmtId="187" fontId="21" fillId="11" borderId="8" xfId="0" applyNumberFormat="1" applyFont="1" applyFill="1" applyBorder="1" applyAlignment="1">
      <alignment horizontal="center" vertical="center"/>
    </xf>
    <xf numFmtId="2" fontId="21" fillId="11" borderId="5" xfId="0" applyNumberFormat="1" applyFont="1" applyFill="1" applyBorder="1" applyAlignment="1">
      <alignment horizontal="center" vertical="center"/>
    </xf>
    <xf numFmtId="3" fontId="23" fillId="11" borderId="12" xfId="0" applyNumberFormat="1" applyFont="1" applyFill="1" applyBorder="1" applyAlignment="1">
      <alignment horizontal="center" vertical="center"/>
    </xf>
    <xf numFmtId="0" fontId="98" fillId="11" borderId="0" xfId="0" applyFont="1" applyFill="1"/>
    <xf numFmtId="0" fontId="60" fillId="11" borderId="0" xfId="0" applyFont="1" applyFill="1" applyAlignment="1">
      <alignment horizontal="right" vertical="center"/>
    </xf>
    <xf numFmtId="0" fontId="53" fillId="11" borderId="5" xfId="0" applyFont="1" applyFill="1" applyBorder="1" applyAlignment="1">
      <alignment vertical="center"/>
    </xf>
    <xf numFmtId="1" fontId="21" fillId="11" borderId="10" xfId="0" applyNumberFormat="1" applyFont="1" applyFill="1" applyBorder="1" applyAlignment="1">
      <alignment horizontal="center" vertical="center"/>
    </xf>
    <xf numFmtId="1" fontId="23" fillId="11" borderId="3" xfId="0" applyNumberFormat="1" applyFont="1" applyFill="1" applyBorder="1" applyAlignment="1">
      <alignment horizontal="center" vertical="center"/>
    </xf>
    <xf numFmtId="0" fontId="17" fillId="11" borderId="50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98" fillId="11" borderId="51" xfId="0" applyFont="1" applyFill="1" applyBorder="1" applyAlignment="1">
      <alignment vertical="top" wrapText="1"/>
    </xf>
    <xf numFmtId="0" fontId="17" fillId="11" borderId="21" xfId="0" applyFont="1" applyFill="1" applyBorder="1" applyAlignment="1">
      <alignment horizontal="center" vertical="top" wrapText="1"/>
    </xf>
    <xf numFmtId="0" fontId="17" fillId="11" borderId="52" xfId="0" applyFont="1" applyFill="1" applyBorder="1" applyAlignment="1">
      <alignment horizontal="center" vertical="top" wrapText="1"/>
    </xf>
    <xf numFmtId="0" fontId="17" fillId="11" borderId="53" xfId="0" applyFont="1" applyFill="1" applyBorder="1" applyAlignment="1">
      <alignment horizontal="center" vertical="top" wrapText="1"/>
    </xf>
    <xf numFmtId="0" fontId="17" fillId="11" borderId="54" xfId="0" applyFont="1" applyFill="1" applyBorder="1" applyAlignment="1">
      <alignment horizontal="center" vertical="top" wrapText="1"/>
    </xf>
    <xf numFmtId="0" fontId="17" fillId="11" borderId="55" xfId="0" applyFont="1" applyFill="1" applyBorder="1" applyAlignment="1">
      <alignment horizontal="center" vertical="top" wrapText="1"/>
    </xf>
    <xf numFmtId="0" fontId="17" fillId="11" borderId="56" xfId="0" applyFont="1" applyFill="1" applyBorder="1" applyAlignment="1">
      <alignment horizontal="center" vertical="top" wrapText="1"/>
    </xf>
    <xf numFmtId="0" fontId="17" fillId="11" borderId="57" xfId="0" applyFont="1" applyFill="1" applyBorder="1" applyAlignment="1">
      <alignment horizontal="center" vertical="top" wrapText="1"/>
    </xf>
    <xf numFmtId="0" fontId="98" fillId="14" borderId="3" xfId="0" applyFont="1" applyFill="1" applyBorder="1"/>
    <xf numFmtId="0" fontId="98" fillId="14" borderId="2" xfId="0" applyFont="1" applyFill="1" applyBorder="1"/>
    <xf numFmtId="0" fontId="98" fillId="14" borderId="3" xfId="0" applyFont="1" applyFill="1" applyBorder="1" applyAlignment="1">
      <alignment horizontal="center"/>
    </xf>
    <xf numFmtId="177" fontId="98" fillId="14" borderId="3" xfId="0" applyNumberFormat="1" applyFont="1" applyFill="1" applyBorder="1"/>
    <xf numFmtId="178" fontId="98" fillId="14" borderId="3" xfId="0" applyNumberFormat="1" applyFont="1" applyFill="1" applyBorder="1"/>
    <xf numFmtId="179" fontId="98" fillId="14" borderId="3" xfId="0" applyNumberFormat="1" applyFont="1" applyFill="1" applyBorder="1"/>
    <xf numFmtId="11" fontId="98" fillId="14" borderId="3" xfId="0" applyNumberFormat="1" applyFont="1" applyFill="1" applyBorder="1"/>
    <xf numFmtId="0" fontId="98" fillId="14" borderId="12" xfId="0" applyFont="1" applyFill="1" applyBorder="1"/>
    <xf numFmtId="179" fontId="98" fillId="14" borderId="12" xfId="0" applyNumberFormat="1" applyFont="1" applyFill="1" applyBorder="1"/>
    <xf numFmtId="176" fontId="60" fillId="14" borderId="3" xfId="0" applyNumberFormat="1" applyFont="1" applyFill="1" applyBorder="1"/>
    <xf numFmtId="0" fontId="98" fillId="14" borderId="7" xfId="0" applyFont="1" applyFill="1" applyBorder="1"/>
    <xf numFmtId="0" fontId="98" fillId="14" borderId="4" xfId="0" applyFont="1" applyFill="1" applyBorder="1"/>
    <xf numFmtId="0" fontId="98" fillId="14" borderId="13" xfId="0" applyFont="1" applyFill="1" applyBorder="1"/>
    <xf numFmtId="0" fontId="98" fillId="14" borderId="1" xfId="0" applyFont="1" applyFill="1" applyBorder="1"/>
    <xf numFmtId="11" fontId="98" fillId="14" borderId="1" xfId="0" applyNumberFormat="1" applyFont="1" applyFill="1" applyBorder="1"/>
    <xf numFmtId="176" fontId="101" fillId="14" borderId="3" xfId="0" applyNumberFormat="1" applyFont="1" applyFill="1" applyBorder="1"/>
    <xf numFmtId="0" fontId="98" fillId="14" borderId="6" xfId="0" applyFont="1" applyFill="1" applyBorder="1"/>
    <xf numFmtId="175" fontId="98" fillId="14" borderId="10" xfId="0" applyNumberFormat="1" applyFont="1" applyFill="1" applyBorder="1"/>
    <xf numFmtId="0" fontId="98" fillId="14" borderId="11" xfId="0" applyFont="1" applyFill="1" applyBorder="1"/>
    <xf numFmtId="175" fontId="98" fillId="14" borderId="3" xfId="0" applyNumberFormat="1" applyFont="1" applyFill="1" applyBorder="1"/>
    <xf numFmtId="176" fontId="102" fillId="14" borderId="3" xfId="0" applyNumberFormat="1" applyFont="1" applyFill="1" applyBorder="1"/>
    <xf numFmtId="176" fontId="98" fillId="14" borderId="3" xfId="0" applyNumberFormat="1" applyFont="1" applyFill="1" applyBorder="1"/>
    <xf numFmtId="175" fontId="98" fillId="14" borderId="0" xfId="0" applyNumberFormat="1" applyFont="1" applyFill="1"/>
    <xf numFmtId="175" fontId="98" fillId="14" borderId="14" xfId="0" applyNumberFormat="1" applyFont="1" applyFill="1" applyBorder="1"/>
    <xf numFmtId="181" fontId="98" fillId="14" borderId="3" xfId="0" applyNumberFormat="1" applyFont="1" applyFill="1" applyBorder="1"/>
    <xf numFmtId="180" fontId="98" fillId="14" borderId="13" xfId="0" applyNumberFormat="1" applyFont="1" applyFill="1" applyBorder="1"/>
    <xf numFmtId="182" fontId="98" fillId="14" borderId="3" xfId="0" applyNumberFormat="1" applyFont="1" applyFill="1" applyBorder="1"/>
    <xf numFmtId="0" fontId="100" fillId="14" borderId="0" xfId="0" applyFont="1" applyFill="1"/>
    <xf numFmtId="0" fontId="98" fillId="14" borderId="0" xfId="0" applyFont="1" applyFill="1" applyAlignment="1">
      <alignment horizontal="center"/>
    </xf>
    <xf numFmtId="165" fontId="100" fillId="14" borderId="0" xfId="0" applyNumberFormat="1" applyFont="1" applyFill="1"/>
    <xf numFmtId="1" fontId="100" fillId="14" borderId="0" xfId="0" applyNumberFormat="1" applyFont="1" applyFill="1"/>
    <xf numFmtId="167" fontId="100" fillId="14" borderId="0" xfId="0" applyNumberFormat="1" applyFont="1" applyFill="1"/>
    <xf numFmtId="0" fontId="98" fillId="14" borderId="14" xfId="0" applyFont="1" applyFill="1" applyBorder="1" applyAlignment="1">
      <alignment horizontal="center"/>
    </xf>
    <xf numFmtId="2" fontId="100" fillId="14" borderId="0" xfId="0" applyNumberFormat="1" applyFont="1" applyFill="1"/>
    <xf numFmtId="165" fontId="49" fillId="14" borderId="0" xfId="0" applyNumberFormat="1" applyFont="1" applyFill="1"/>
    <xf numFmtId="167" fontId="100" fillId="14" borderId="7" xfId="0" applyNumberFormat="1" applyFont="1" applyFill="1" applyBorder="1"/>
    <xf numFmtId="1" fontId="98" fillId="14" borderId="3" xfId="0" applyNumberFormat="1" applyFont="1" applyFill="1" applyBorder="1"/>
    <xf numFmtId="176" fontId="98" fillId="14" borderId="1" xfId="0" applyNumberFormat="1" applyFont="1" applyFill="1" applyBorder="1"/>
    <xf numFmtId="167" fontId="98" fillId="14" borderId="1" xfId="0" applyNumberFormat="1" applyFont="1" applyFill="1" applyBorder="1"/>
    <xf numFmtId="171" fontId="98" fillId="14" borderId="3" xfId="0" applyNumberFormat="1" applyFont="1" applyFill="1" applyBorder="1"/>
    <xf numFmtId="172" fontId="98" fillId="14" borderId="3" xfId="0" applyNumberFormat="1" applyFont="1" applyFill="1" applyBorder="1"/>
    <xf numFmtId="172" fontId="100" fillId="14" borderId="0" xfId="0" applyNumberFormat="1" applyFont="1" applyFill="1"/>
    <xf numFmtId="11" fontId="23" fillId="14" borderId="0" xfId="0" applyNumberFormat="1" applyFont="1" applyFill="1"/>
    <xf numFmtId="0" fontId="49" fillId="14" borderId="0" xfId="0" applyFont="1" applyFill="1" applyAlignment="1">
      <alignment horizontal="justify"/>
    </xf>
    <xf numFmtId="2" fontId="53" fillId="14" borderId="59" xfId="0" applyNumberFormat="1" applyFont="1" applyFill="1" applyBorder="1" applyAlignment="1">
      <alignment horizontal="right" vertical="center"/>
    </xf>
    <xf numFmtId="0" fontId="21" fillId="14" borderId="60" xfId="0" applyFont="1" applyFill="1" applyBorder="1" applyAlignment="1">
      <alignment horizontal="center" vertical="center"/>
    </xf>
    <xf numFmtId="2" fontId="21" fillId="14" borderId="61" xfId="0" applyNumberFormat="1" applyFont="1" applyFill="1" applyBorder="1" applyAlignment="1">
      <alignment vertical="center"/>
    </xf>
    <xf numFmtId="2" fontId="21" fillId="14" borderId="29" xfId="0" applyNumberFormat="1" applyFont="1" applyFill="1" applyBorder="1" applyAlignment="1">
      <alignment horizontal="right" vertical="center"/>
    </xf>
    <xf numFmtId="182" fontId="53" fillId="14" borderId="62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vertical="center"/>
    </xf>
    <xf numFmtId="167" fontId="4" fillId="14" borderId="3" xfId="1" applyNumberFormat="1" applyFont="1" applyFill="1" applyBorder="1" applyAlignment="1">
      <alignment horizontal="right"/>
    </xf>
    <xf numFmtId="167" fontId="4" fillId="14" borderId="3" xfId="1" applyNumberFormat="1" applyFont="1" applyFill="1" applyBorder="1" applyAlignment="1">
      <alignment horizontal="center"/>
    </xf>
    <xf numFmtId="167" fontId="4" fillId="14" borderId="3" xfId="1" applyNumberFormat="1" applyFont="1" applyFill="1" applyBorder="1"/>
    <xf numFmtId="167" fontId="4" fillId="14" borderId="3" xfId="1" quotePrefix="1" applyNumberFormat="1" applyFont="1" applyFill="1" applyBorder="1" applyAlignment="1">
      <alignment horizontal="center"/>
    </xf>
    <xf numFmtId="0" fontId="98" fillId="14" borderId="0" xfId="0" applyFont="1" applyFill="1" applyProtection="1">
      <protection locked="0"/>
    </xf>
    <xf numFmtId="0" fontId="17" fillId="14" borderId="3" xfId="1" applyFill="1" applyBorder="1" applyAlignment="1">
      <alignment horizontal="center"/>
    </xf>
    <xf numFmtId="0" fontId="43" fillId="3" borderId="3" xfId="1" applyFont="1" applyFill="1" applyBorder="1"/>
    <xf numFmtId="0" fontId="43" fillId="0" borderId="3" xfId="1" applyFont="1" applyBorder="1"/>
    <xf numFmtId="0" fontId="115" fillId="0" borderId="0" xfId="0" applyFont="1"/>
    <xf numFmtId="0" fontId="43" fillId="0" borderId="0" xfId="1" applyFont="1"/>
    <xf numFmtId="0" fontId="91" fillId="0" borderId="3" xfId="1" applyFont="1" applyBorder="1" applyAlignment="1">
      <alignment horizontal="center" vertical="center" wrapText="1"/>
    </xf>
    <xf numFmtId="0" fontId="91" fillId="0" borderId="0" xfId="1" applyFont="1"/>
    <xf numFmtId="1" fontId="43" fillId="0" borderId="0" xfId="1" applyNumberFormat="1" applyFont="1"/>
    <xf numFmtId="3" fontId="43" fillId="0" borderId="3" xfId="1" applyNumberFormat="1" applyFont="1" applyBorder="1"/>
    <xf numFmtId="3" fontId="43" fillId="0" borderId="3" xfId="1" applyNumberFormat="1" applyFont="1" applyBorder="1" applyAlignment="1">
      <alignment horizontal="center"/>
    </xf>
    <xf numFmtId="0" fontId="4" fillId="14" borderId="3" xfId="1" quotePrefix="1" applyFont="1" applyFill="1" applyBorder="1" applyAlignment="1">
      <alignment horizontal="right"/>
    </xf>
    <xf numFmtId="0" fontId="17" fillId="14" borderId="1" xfId="1" applyFill="1" applyBorder="1" applyAlignment="1">
      <alignment horizontal="center" vertical="center" wrapText="1"/>
    </xf>
    <xf numFmtId="0" fontId="17" fillId="14" borderId="10" xfId="1" applyFill="1" applyBorder="1" applyAlignment="1">
      <alignment horizontal="center" vertical="center" wrapText="1"/>
    </xf>
    <xf numFmtId="0" fontId="120" fillId="0" borderId="0" xfId="1" applyFont="1" applyAlignment="1">
      <alignment horizontal="center"/>
    </xf>
    <xf numFmtId="0" fontId="43" fillId="0" borderId="3" xfId="1" applyFont="1" applyBorder="1" applyAlignment="1">
      <alignment horizontal="right"/>
    </xf>
    <xf numFmtId="0" fontId="115" fillId="0" borderId="0" xfId="0" applyFont="1" applyAlignment="1">
      <alignment horizontal="right"/>
    </xf>
    <xf numFmtId="0" fontId="43" fillId="0" borderId="0" xfId="1" applyFont="1" applyAlignment="1">
      <alignment horizontal="right"/>
    </xf>
    <xf numFmtId="0" fontId="120" fillId="0" borderId="7" xfId="1" applyFont="1" applyBorder="1" applyAlignment="1">
      <alignment horizontal="center"/>
    </xf>
    <xf numFmtId="0" fontId="91" fillId="0" borderId="3" xfId="1" applyFont="1" applyBorder="1" applyAlignment="1">
      <alignment vertical="center" wrapText="1"/>
    </xf>
    <xf numFmtId="0" fontId="91" fillId="0" borderId="3" xfId="1" applyFont="1" applyBorder="1" applyAlignment="1">
      <alignment vertical="center"/>
    </xf>
    <xf numFmtId="1" fontId="43" fillId="0" borderId="3" xfId="1" applyNumberFormat="1" applyFont="1" applyBorder="1"/>
    <xf numFmtId="167" fontId="4" fillId="14" borderId="3" xfId="1" quotePrefix="1" applyNumberFormat="1" applyFont="1" applyFill="1" applyBorder="1" applyAlignment="1">
      <alignment horizontal="right"/>
    </xf>
    <xf numFmtId="0" fontId="115" fillId="3" borderId="0" xfId="0" applyFont="1" applyFill="1"/>
    <xf numFmtId="0" fontId="120" fillId="3" borderId="0" xfId="1" applyFont="1" applyFill="1" applyAlignment="1">
      <alignment horizontal="center"/>
    </xf>
    <xf numFmtId="0" fontId="43" fillId="3" borderId="0" xfId="1" applyFont="1" applyFill="1"/>
    <xf numFmtId="0" fontId="91" fillId="3" borderId="3" xfId="1" applyFont="1" applyFill="1" applyBorder="1" applyAlignment="1">
      <alignment horizontal="center" vertical="center" wrapText="1"/>
    </xf>
    <xf numFmtId="0" fontId="91" fillId="3" borderId="0" xfId="1" applyFont="1" applyFill="1"/>
    <xf numFmtId="1" fontId="43" fillId="3" borderId="0" xfId="1" applyNumberFormat="1" applyFont="1" applyFill="1"/>
    <xf numFmtId="0" fontId="120" fillId="3" borderId="7" xfId="1" applyFont="1" applyFill="1" applyBorder="1" applyAlignment="1">
      <alignment horizontal="center"/>
    </xf>
    <xf numFmtId="0" fontId="91" fillId="3" borderId="3" xfId="1" applyFont="1" applyFill="1" applyBorder="1" applyAlignment="1">
      <alignment vertical="center" wrapText="1"/>
    </xf>
    <xf numFmtId="0" fontId="91" fillId="3" borderId="3" xfId="1" applyFont="1" applyFill="1" applyBorder="1" applyAlignment="1">
      <alignment vertical="center"/>
    </xf>
    <xf numFmtId="3" fontId="43" fillId="3" borderId="3" xfId="1" applyNumberFormat="1" applyFont="1" applyFill="1" applyBorder="1"/>
    <xf numFmtId="1" fontId="43" fillId="3" borderId="3" xfId="1" applyNumberFormat="1" applyFont="1" applyFill="1" applyBorder="1"/>
    <xf numFmtId="3" fontId="43" fillId="3" borderId="3" xfId="1" applyNumberFormat="1" applyFont="1" applyFill="1" applyBorder="1" applyAlignment="1">
      <alignment horizontal="center"/>
    </xf>
    <xf numFmtId="173" fontId="17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3" fillId="15" borderId="11" xfId="0" applyFont="1" applyFill="1" applyBorder="1" applyAlignment="1">
      <alignment horizontal="center" vertical="center"/>
    </xf>
    <xf numFmtId="3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/>
    <xf numFmtId="3" fontId="95" fillId="15" borderId="3" xfId="0" applyNumberFormat="1" applyFont="1" applyFill="1" applyBorder="1"/>
    <xf numFmtId="2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 applyAlignment="1">
      <alignment horizontal="center"/>
    </xf>
    <xf numFmtId="1" fontId="43" fillId="15" borderId="3" xfId="0" applyNumberFormat="1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165" fontId="43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68" fillId="0" borderId="0" xfId="0" applyFont="1" applyAlignment="1">
      <alignment horizontal="left" indent="1"/>
    </xf>
    <xf numFmtId="0" fontId="4" fillId="0" borderId="0" xfId="0" applyFont="1" applyAlignment="1">
      <alignment vertical="top" wrapText="1"/>
    </xf>
    <xf numFmtId="2" fontId="98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 vertical="top" wrapText="1"/>
    </xf>
    <xf numFmtId="167" fontId="98" fillId="14" borderId="3" xfId="0" applyNumberFormat="1" applyFont="1" applyFill="1" applyBorder="1"/>
    <xf numFmtId="170" fontId="98" fillId="14" borderId="3" xfId="0" applyNumberFormat="1" applyFont="1" applyFill="1" applyBorder="1"/>
    <xf numFmtId="167" fontId="98" fillId="14" borderId="0" xfId="0" applyNumberFormat="1" applyFont="1" applyFill="1"/>
    <xf numFmtId="0" fontId="4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2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2" fillId="0" borderId="0" xfId="0" applyFont="1" applyAlignment="1">
      <alignment horizontal="center" vertical="center" wrapText="1"/>
    </xf>
    <xf numFmtId="0" fontId="68" fillId="0" borderId="0" xfId="0" applyFont="1" applyAlignment="1">
      <alignment horizontal="left" indent="5"/>
    </xf>
    <xf numFmtId="0" fontId="68" fillId="0" borderId="0" xfId="0" applyFont="1" applyAlignment="1">
      <alignment horizontal="left" indent="3"/>
    </xf>
    <xf numFmtId="164" fontId="4" fillId="0" borderId="0" xfId="0" applyNumberFormat="1" applyFont="1"/>
    <xf numFmtId="0" fontId="68" fillId="0" borderId="0" xfId="0" applyFont="1" applyAlignment="1">
      <alignment horizontal="left" vertical="center" indent="1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68" fillId="0" borderId="0" xfId="0" applyFont="1" applyAlignment="1">
      <alignment horizontal="left"/>
    </xf>
    <xf numFmtId="0" fontId="4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8" fillId="0" borderId="0" xfId="0" applyFont="1"/>
    <xf numFmtId="0" fontId="17" fillId="0" borderId="0" xfId="0" applyFont="1"/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top"/>
    </xf>
    <xf numFmtId="165" fontId="49" fillId="0" borderId="3" xfId="0" applyNumberFormat="1" applyFont="1" applyBorder="1" applyAlignment="1">
      <alignment horizontal="center" vertical="top"/>
    </xf>
    <xf numFmtId="164" fontId="49" fillId="0" borderId="1" xfId="0" applyNumberFormat="1" applyFont="1" applyBorder="1" applyAlignment="1">
      <alignment horizontal="center" vertical="top"/>
    </xf>
    <xf numFmtId="0" fontId="49" fillId="0" borderId="1" xfId="0" applyFont="1" applyBorder="1" applyAlignment="1">
      <alignment horizontal="center" vertical="top"/>
    </xf>
    <xf numFmtId="0" fontId="49" fillId="0" borderId="9" xfId="0" applyFont="1" applyBorder="1" applyAlignment="1">
      <alignment horizontal="center" vertical="top"/>
    </xf>
    <xf numFmtId="0" fontId="49" fillId="0" borderId="10" xfId="0" applyFont="1" applyBorder="1" applyAlignment="1">
      <alignment horizontal="center"/>
    </xf>
    <xf numFmtId="164" fontId="49" fillId="0" borderId="3" xfId="0" applyNumberFormat="1" applyFont="1" applyBorder="1" applyAlignment="1">
      <alignment horizontal="center" vertical="top"/>
    </xf>
    <xf numFmtId="0" fontId="49" fillId="0" borderId="10" xfId="0" applyFont="1" applyBorder="1" applyAlignment="1">
      <alignment horizontal="center" vertical="top"/>
    </xf>
    <xf numFmtId="0" fontId="49" fillId="0" borderId="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2" fontId="4" fillId="14" borderId="3" xfId="1" applyNumberFormat="1" applyFont="1" applyFill="1" applyBorder="1" applyAlignment="1">
      <alignment horizontal="right"/>
    </xf>
    <xf numFmtId="2" fontId="4" fillId="14" borderId="3" xfId="1" applyNumberFormat="1" applyFont="1" applyFill="1" applyBorder="1" applyAlignment="1">
      <alignment horizontal="center"/>
    </xf>
    <xf numFmtId="2" fontId="4" fillId="14" borderId="3" xfId="1" applyNumberFormat="1" applyFont="1" applyFill="1" applyBorder="1"/>
    <xf numFmtId="2" fontId="4" fillId="14" borderId="3" xfId="1" quotePrefix="1" applyNumberFormat="1" applyFont="1" applyFill="1" applyBorder="1" applyAlignment="1">
      <alignment horizontal="center"/>
    </xf>
    <xf numFmtId="0" fontId="17" fillId="0" borderId="3" xfId="1" applyBorder="1" applyAlignment="1">
      <alignment horizontal="right"/>
    </xf>
    <xf numFmtId="0" fontId="16" fillId="3" borderId="3" xfId="1" applyFont="1" applyFill="1" applyBorder="1" applyAlignment="1">
      <alignment horizontal="center" vertical="center" wrapText="1"/>
    </xf>
    <xf numFmtId="0" fontId="17" fillId="3" borderId="3" xfId="1" applyFill="1" applyBorder="1" applyAlignment="1">
      <alignment horizontal="right"/>
    </xf>
    <xf numFmtId="0" fontId="17" fillId="3" borderId="3" xfId="1" applyFill="1" applyBorder="1"/>
    <xf numFmtId="0" fontId="20" fillId="3" borderId="7" xfId="1" applyFont="1" applyFill="1" applyBorder="1" applyAlignment="1">
      <alignment horizontal="center"/>
    </xf>
    <xf numFmtId="0" fontId="17" fillId="3" borderId="0" xfId="1" applyFill="1"/>
    <xf numFmtId="0" fontId="16" fillId="3" borderId="3" xfId="1" applyFont="1" applyFill="1" applyBorder="1" applyAlignment="1">
      <alignment vertical="center" wrapText="1"/>
    </xf>
    <xf numFmtId="0" fontId="16" fillId="3" borderId="3" xfId="1" applyFont="1" applyFill="1" applyBorder="1" applyAlignment="1">
      <alignment vertical="center"/>
    </xf>
    <xf numFmtId="3" fontId="17" fillId="3" borderId="3" xfId="1" applyNumberFormat="1" applyFill="1" applyBorder="1"/>
    <xf numFmtId="1" fontId="17" fillId="3" borderId="3" xfId="1" applyNumberFormat="1" applyFill="1" applyBorder="1"/>
    <xf numFmtId="0" fontId="16" fillId="3" borderId="0" xfId="1" applyFont="1" applyFill="1"/>
    <xf numFmtId="1" fontId="17" fillId="3" borderId="0" xfId="1" applyNumberFormat="1" applyFill="1"/>
    <xf numFmtId="0" fontId="115" fillId="0" borderId="3" xfId="0" applyFont="1" applyBorder="1" applyAlignment="1">
      <alignment horizontal="center" vertical="top"/>
    </xf>
    <xf numFmtId="164" fontId="115" fillId="0" borderId="1" xfId="0" applyNumberFormat="1" applyFont="1" applyBorder="1" applyAlignment="1">
      <alignment horizontal="center" vertical="top"/>
    </xf>
    <xf numFmtId="0" fontId="115" fillId="0" borderId="1" xfId="0" applyFont="1" applyBorder="1" applyAlignment="1">
      <alignment horizontal="center" vertical="top"/>
    </xf>
    <xf numFmtId="0" fontId="115" fillId="0" borderId="9" xfId="0" applyFont="1" applyBorder="1" applyAlignment="1">
      <alignment horizontal="center" vertical="top"/>
    </xf>
    <xf numFmtId="0" fontId="115" fillId="0" borderId="10" xfId="0" applyFont="1" applyBorder="1" applyAlignment="1">
      <alignment horizontal="center"/>
    </xf>
    <xf numFmtId="0" fontId="115" fillId="0" borderId="3" xfId="0" applyFont="1" applyBorder="1" applyAlignment="1">
      <alignment horizontal="center"/>
    </xf>
    <xf numFmtId="0" fontId="115" fillId="0" borderId="3" xfId="0" applyFont="1" applyBorder="1"/>
    <xf numFmtId="49" fontId="6" fillId="0" borderId="0" xfId="0" applyNumberFormat="1" applyFont="1" applyAlignment="1">
      <alignment horizontal="center"/>
    </xf>
    <xf numFmtId="0" fontId="6" fillId="19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97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3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6" fillId="21" borderId="11" xfId="0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0" fontId="6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4" fillId="3" borderId="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 applyProtection="1">
      <alignment horizontal="left" vertical="center" wrapText="1"/>
      <protection locked="0"/>
    </xf>
    <xf numFmtId="3" fontId="4" fillId="0" borderId="0" xfId="0" applyNumberFormat="1" applyFont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29" fillId="18" borderId="0" xfId="0" applyFont="1" applyFill="1" applyAlignment="1" applyProtection="1">
      <alignment horizontal="center"/>
      <protection locked="0"/>
    </xf>
    <xf numFmtId="0" fontId="129" fillId="18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4" fillId="0" borderId="0" xfId="0" applyNumberFormat="1" applyFont="1"/>
    <xf numFmtId="11" fontId="130" fillId="0" borderId="3" xfId="0" applyNumberFormat="1" applyFont="1" applyBorder="1" applyAlignment="1">
      <alignment vertical="top"/>
    </xf>
    <xf numFmtId="191" fontId="2" fillId="13" borderId="3" xfId="0" applyNumberFormat="1" applyFont="1" applyFill="1" applyBorder="1" applyAlignment="1">
      <alignment horizontal="center" vertical="center"/>
    </xf>
    <xf numFmtId="195" fontId="2" fillId="13" borderId="3" xfId="0" applyNumberFormat="1" applyFont="1" applyFill="1" applyBorder="1" applyAlignment="1">
      <alignment horizontal="center" vertical="center"/>
    </xf>
    <xf numFmtId="192" fontId="2" fillId="13" borderId="3" xfId="0" applyNumberFormat="1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198" fontId="98" fillId="14" borderId="0" xfId="0" applyNumberFormat="1" applyFont="1" applyFill="1" applyAlignment="1">
      <alignment horizontal="center" vertical="center"/>
    </xf>
    <xf numFmtId="195" fontId="98" fillId="14" borderId="0" xfId="0" applyNumberFormat="1" applyFont="1" applyFill="1" applyAlignment="1">
      <alignment horizontal="center" vertical="center"/>
    </xf>
    <xf numFmtId="199" fontId="98" fillId="14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167" fontId="17" fillId="3" borderId="3" xfId="1" applyNumberFormat="1" applyFill="1" applyBorder="1"/>
    <xf numFmtId="3" fontId="17" fillId="2" borderId="3" xfId="1" applyNumberFormat="1" applyFill="1" applyBorder="1"/>
    <xf numFmtId="0" fontId="0" fillId="23" borderId="0" xfId="0" applyFill="1"/>
    <xf numFmtId="0" fontId="132" fillId="0" borderId="0" xfId="0" applyFont="1"/>
    <xf numFmtId="0" fontId="134" fillId="23" borderId="0" xfId="0" applyFont="1" applyFill="1"/>
    <xf numFmtId="0" fontId="0" fillId="2" borderId="0" xfId="0" applyFill="1"/>
    <xf numFmtId="0" fontId="0" fillId="26" borderId="3" xfId="0" applyFill="1" applyBorder="1" applyAlignment="1">
      <alignment horizontal="center" vertical="center"/>
    </xf>
    <xf numFmtId="2" fontId="0" fillId="0" borderId="3" xfId="0" applyNumberFormat="1" applyBorder="1"/>
    <xf numFmtId="11" fontId="0" fillId="0" borderId="3" xfId="0" applyNumberFormat="1" applyBorder="1"/>
    <xf numFmtId="0" fontId="0" fillId="27" borderId="3" xfId="0" applyFill="1" applyBorder="1" applyAlignment="1">
      <alignment horizontal="center" vertical="center"/>
    </xf>
    <xf numFmtId="0" fontId="136" fillId="27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" fontId="0" fillId="28" borderId="3" xfId="0" applyNumberFormat="1" applyFill="1" applyBorder="1" applyAlignment="1">
      <alignment horizontal="right" vertical="center"/>
    </xf>
    <xf numFmtId="2" fontId="0" fillId="28" borderId="3" xfId="0" applyNumberFormat="1" applyFill="1" applyBorder="1" applyAlignment="1">
      <alignment horizontal="right" vertical="center"/>
    </xf>
    <xf numFmtId="0" fontId="132" fillId="2" borderId="84" xfId="0" applyFont="1" applyFill="1" applyBorder="1" applyAlignment="1">
      <alignment horizontal="center" vertical="center"/>
    </xf>
    <xf numFmtId="0" fontId="132" fillId="2" borderId="82" xfId="0" applyFont="1" applyFill="1" applyBorder="1" applyAlignment="1">
      <alignment horizontal="center" vertical="center"/>
    </xf>
    <xf numFmtId="0" fontId="132" fillId="0" borderId="0" xfId="0" applyFont="1" applyAlignment="1">
      <alignment vertical="center"/>
    </xf>
    <xf numFmtId="0" fontId="132" fillId="0" borderId="60" xfId="0" applyFont="1" applyBorder="1" applyAlignment="1">
      <alignment vertical="center"/>
    </xf>
    <xf numFmtId="0" fontId="0" fillId="2" borderId="59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29" xfId="0" applyFill="1" applyBorder="1"/>
    <xf numFmtId="0" fontId="0" fillId="2" borderId="30" xfId="0" applyFill="1" applyBorder="1"/>
    <xf numFmtId="0" fontId="132" fillId="2" borderId="85" xfId="0" applyFont="1" applyFill="1" applyBorder="1" applyAlignment="1">
      <alignment horizontal="center" vertical="center"/>
    </xf>
    <xf numFmtId="0" fontId="138" fillId="2" borderId="83" xfId="0" applyFont="1" applyFill="1" applyBorder="1" applyAlignment="1">
      <alignment horizontal="center" vertical="center"/>
    </xf>
    <xf numFmtId="0" fontId="6" fillId="2" borderId="0" xfId="0" applyFont="1" applyFill="1"/>
    <xf numFmtId="3" fontId="0" fillId="28" borderId="3" xfId="0" applyNumberForma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91" fillId="9" borderId="0" xfId="0" applyFont="1" applyFill="1" applyAlignment="1">
      <alignment horizontal="left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17" fillId="0" borderId="3" xfId="0" applyFont="1" applyBorder="1" applyAlignment="1" applyProtection="1">
      <alignment horizontal="left"/>
      <protection locked="0"/>
    </xf>
    <xf numFmtId="0" fontId="7" fillId="4" borderId="1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49" fontId="17" fillId="0" borderId="3" xfId="0" applyNumberFormat="1" applyFont="1" applyBorder="1" applyAlignment="1" applyProtection="1">
      <alignment horizontal="center"/>
      <protection locked="0"/>
    </xf>
    <xf numFmtId="49" fontId="17" fillId="0" borderId="10" xfId="0" applyNumberFormat="1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/>
    </xf>
    <xf numFmtId="0" fontId="7" fillId="17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49" fontId="17" fillId="0" borderId="3" xfId="0" applyNumberFormat="1" applyFont="1" applyBorder="1" applyAlignment="1" applyProtection="1">
      <alignment horizontal="left"/>
      <protection locked="0"/>
    </xf>
    <xf numFmtId="0" fontId="92" fillId="3" borderId="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3" fontId="4" fillId="0" borderId="0" xfId="0" applyNumberFormat="1" applyFont="1" applyAlignment="1">
      <alignment horizontal="left"/>
    </xf>
    <xf numFmtId="0" fontId="4" fillId="0" borderId="0" xfId="0" applyFont="1" applyAlignment="1">
      <alignment horizontal="right"/>
    </xf>
    <xf numFmtId="0" fontId="7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94" fillId="16" borderId="3" xfId="0" applyFont="1" applyFill="1" applyBorder="1" applyAlignment="1">
      <alignment horizontal="center" vertical="center"/>
    </xf>
    <xf numFmtId="164" fontId="94" fillId="16" borderId="3" xfId="0" applyNumberFormat="1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17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68" fillId="0" borderId="0" xfId="0" applyFont="1" applyAlignment="1">
      <alignment horizontal="left"/>
    </xf>
    <xf numFmtId="164" fontId="7" fillId="0" borderId="3" xfId="0" applyNumberFormat="1" applyFont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33" fillId="24" borderId="0" xfId="0" applyFont="1" applyFill="1" applyAlignment="1">
      <alignment horizontal="center" vertical="center"/>
    </xf>
    <xf numFmtId="0" fontId="0" fillId="25" borderId="3" xfId="0" applyFill="1" applyBorder="1" applyAlignment="1">
      <alignment horizontal="center"/>
    </xf>
    <xf numFmtId="0" fontId="133" fillId="24" borderId="65" xfId="0" applyFont="1" applyFill="1" applyBorder="1" applyAlignment="1">
      <alignment horizontal="center" vertical="center"/>
    </xf>
    <xf numFmtId="0" fontId="133" fillId="24" borderId="66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4" fillId="2" borderId="12" xfId="0" applyFont="1" applyFill="1" applyBorder="1" applyAlignment="1">
      <alignment horizontal="center" vertical="center" wrapText="1"/>
    </xf>
    <xf numFmtId="0" fontId="124" fillId="2" borderId="1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123" fillId="20" borderId="1" xfId="0" applyFont="1" applyFill="1" applyBorder="1" applyAlignment="1">
      <alignment horizontal="center"/>
    </xf>
    <xf numFmtId="0" fontId="123" fillId="20" borderId="10" xfId="0" applyFont="1" applyFill="1" applyBorder="1" applyAlignment="1">
      <alignment horizontal="center"/>
    </xf>
    <xf numFmtId="0" fontId="123" fillId="20" borderId="3" xfId="0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wrapText="1"/>
    </xf>
    <xf numFmtId="1" fontId="43" fillId="15" borderId="11" xfId="0" applyNumberFormat="1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vertical="center" wrapText="1"/>
    </xf>
    <xf numFmtId="1" fontId="43" fillId="15" borderId="11" xfId="0" applyNumberFormat="1" applyFont="1" applyFill="1" applyBorder="1" applyAlignment="1">
      <alignment horizontal="center" vertical="center" wrapText="1"/>
    </xf>
    <xf numFmtId="0" fontId="91" fillId="15" borderId="3" xfId="0" applyFont="1" applyFill="1" applyBorder="1" applyAlignment="1">
      <alignment horizontal="center" vertical="center"/>
    </xf>
    <xf numFmtId="0" fontId="91" fillId="15" borderId="6" xfId="0" applyFont="1" applyFill="1" applyBorder="1" applyAlignment="1">
      <alignment horizontal="center" vertical="center"/>
    </xf>
    <xf numFmtId="0" fontId="91" fillId="15" borderId="7" xfId="0" applyFont="1" applyFill="1" applyBorder="1" applyAlignment="1">
      <alignment horizontal="center" vertical="center"/>
    </xf>
    <xf numFmtId="0" fontId="91" fillId="15" borderId="34" xfId="0" applyFont="1" applyFill="1" applyBorder="1" applyAlignment="1">
      <alignment horizontal="center" vertical="center" wrapText="1"/>
    </xf>
    <xf numFmtId="0" fontId="91" fillId="15" borderId="11" xfId="0" applyFont="1" applyFill="1" applyBorder="1" applyAlignment="1">
      <alignment horizontal="center" vertical="center" wrapText="1"/>
    </xf>
    <xf numFmtId="0" fontId="91" fillId="15" borderId="12" xfId="0" applyFont="1" applyFill="1" applyBorder="1" applyAlignment="1">
      <alignment horizontal="center" vertical="center"/>
    </xf>
    <xf numFmtId="0" fontId="91" fillId="15" borderId="11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120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0" fontId="121" fillId="2" borderId="1" xfId="1" applyFont="1" applyFill="1" applyBorder="1" applyAlignment="1">
      <alignment horizontal="center" vertical="center" wrapText="1"/>
    </xf>
    <xf numFmtId="0" fontId="121" fillId="2" borderId="10" xfId="1" applyFont="1" applyFill="1" applyBorder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98" fillId="4" borderId="1" xfId="0" applyFont="1" applyFill="1" applyBorder="1" applyAlignment="1">
      <alignment horizontal="center" vertical="center"/>
    </xf>
    <xf numFmtId="0" fontId="98" fillId="4" borderId="10" xfId="0" applyFont="1" applyFill="1" applyBorder="1" applyAlignment="1">
      <alignment horizontal="center" vertical="center"/>
    </xf>
    <xf numFmtId="0" fontId="98" fillId="4" borderId="12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4" borderId="3" xfId="0" applyFont="1" applyFill="1" applyBorder="1" applyAlignment="1">
      <alignment horizontal="center" vertical="center" wrapText="1"/>
    </xf>
    <xf numFmtId="0" fontId="40" fillId="14" borderId="0" xfId="1" applyFont="1" applyFill="1" applyAlignment="1">
      <alignment horizontal="center"/>
    </xf>
    <xf numFmtId="182" fontId="22" fillId="11" borderId="0" xfId="0" applyNumberFormat="1" applyFont="1" applyFill="1" applyAlignment="1">
      <alignment horizontal="center" vertical="center"/>
    </xf>
    <xf numFmtId="0" fontId="38" fillId="14" borderId="65" xfId="0" applyFont="1" applyFill="1" applyBorder="1" applyAlignment="1">
      <alignment horizontal="center"/>
    </xf>
    <xf numFmtId="0" fontId="38" fillId="14" borderId="66" xfId="0" applyFont="1" applyFill="1" applyBorder="1" applyAlignment="1">
      <alignment horizontal="center"/>
    </xf>
    <xf numFmtId="0" fontId="38" fillId="14" borderId="67" xfId="0" applyFont="1" applyFill="1" applyBorder="1" applyAlignment="1">
      <alignment horizontal="center"/>
    </xf>
    <xf numFmtId="0" fontId="38" fillId="14" borderId="59" xfId="0" applyFont="1" applyFill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6" xfId="0" applyFont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73" fillId="11" borderId="4" xfId="0" applyFont="1" applyFill="1" applyBorder="1" applyAlignment="1">
      <alignment horizontal="left" vertical="center"/>
    </xf>
    <xf numFmtId="0" fontId="73" fillId="11" borderId="2" xfId="0" applyFont="1" applyFill="1" applyBorder="1" applyAlignment="1">
      <alignment horizontal="left" vertical="center"/>
    </xf>
    <xf numFmtId="2" fontId="21" fillId="11" borderId="12" xfId="0" applyNumberFormat="1" applyFont="1" applyFill="1" applyBorder="1" applyAlignment="1">
      <alignment horizontal="center" vertical="center"/>
    </xf>
    <xf numFmtId="2" fontId="21" fillId="11" borderId="11" xfId="0" applyNumberFormat="1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1" xfId="0" applyFont="1" applyFill="1" applyBorder="1" applyAlignment="1">
      <alignment horizontal="center" vertical="center"/>
    </xf>
    <xf numFmtId="0" fontId="57" fillId="11" borderId="6" xfId="0" applyFont="1" applyFill="1" applyBorder="1" applyAlignment="1">
      <alignment horizontal="left" vertical="center"/>
    </xf>
    <xf numFmtId="0" fontId="57" fillId="11" borderId="7" xfId="0" applyFont="1" applyFill="1" applyBorder="1" applyAlignment="1">
      <alignment horizontal="left" vertical="center"/>
    </xf>
    <xf numFmtId="0" fontId="75" fillId="11" borderId="13" xfId="0" applyFont="1" applyFill="1" applyBorder="1" applyAlignment="1">
      <alignment horizontal="center" vertical="center"/>
    </xf>
    <xf numFmtId="0" fontId="75" fillId="11" borderId="0" xfId="0" applyFont="1" applyFill="1" applyAlignment="1">
      <alignment horizontal="center" vertical="center"/>
    </xf>
    <xf numFmtId="2" fontId="53" fillId="14" borderId="59" xfId="0" applyNumberFormat="1" applyFont="1" applyFill="1" applyBorder="1" applyAlignment="1">
      <alignment horizontal="center" vertical="center"/>
    </xf>
    <xf numFmtId="2" fontId="53" fillId="14" borderId="60" xfId="0" applyNumberFormat="1" applyFont="1" applyFill="1" applyBorder="1" applyAlignment="1">
      <alignment horizontal="center" vertical="center"/>
    </xf>
    <xf numFmtId="2" fontId="53" fillId="14" borderId="61" xfId="0" applyNumberFormat="1" applyFont="1" applyFill="1" applyBorder="1" applyAlignment="1">
      <alignment horizontal="center" vertical="center"/>
    </xf>
    <xf numFmtId="2" fontId="53" fillId="14" borderId="29" xfId="0" applyNumberFormat="1" applyFont="1" applyFill="1" applyBorder="1" applyAlignment="1">
      <alignment horizontal="center" vertical="center"/>
    </xf>
    <xf numFmtId="2" fontId="53" fillId="14" borderId="62" xfId="0" applyNumberFormat="1" applyFont="1" applyFill="1" applyBorder="1" applyAlignment="1">
      <alignment horizontal="center" vertical="center"/>
    </xf>
    <xf numFmtId="2" fontId="53" fillId="14" borderId="30" xfId="0" applyNumberFormat="1" applyFont="1" applyFill="1" applyBorder="1" applyAlignment="1">
      <alignment horizontal="center" vertical="center"/>
    </xf>
    <xf numFmtId="0" fontId="69" fillId="11" borderId="6" xfId="0" applyFont="1" applyFill="1" applyBorder="1" applyAlignment="1">
      <alignment horizontal="left" vertical="top"/>
    </xf>
    <xf numFmtId="0" fontId="80" fillId="11" borderId="7" xfId="0" applyFont="1" applyFill="1" applyBorder="1" applyAlignment="1">
      <alignment horizontal="left" vertical="top"/>
    </xf>
    <xf numFmtId="177" fontId="100" fillId="14" borderId="0" xfId="0" applyNumberFormat="1" applyFont="1" applyFill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2" fontId="21" fillId="14" borderId="59" xfId="0" applyNumberFormat="1" applyFont="1" applyFill="1" applyBorder="1" applyAlignment="1">
      <alignment horizontal="center" vertical="center" wrapText="1"/>
    </xf>
    <xf numFmtId="2" fontId="21" fillId="14" borderId="60" xfId="0" applyNumberFormat="1" applyFont="1" applyFill="1" applyBorder="1" applyAlignment="1">
      <alignment horizontal="center" vertical="center" wrapText="1"/>
    </xf>
    <xf numFmtId="2" fontId="21" fillId="14" borderId="61" xfId="0" applyNumberFormat="1" applyFont="1" applyFill="1" applyBorder="1" applyAlignment="1">
      <alignment horizontal="center" vertical="center" wrapText="1"/>
    </xf>
    <xf numFmtId="2" fontId="21" fillId="14" borderId="63" xfId="0" applyNumberFormat="1" applyFont="1" applyFill="1" applyBorder="1" applyAlignment="1">
      <alignment horizontal="center" vertical="center" wrapText="1"/>
    </xf>
    <xf numFmtId="2" fontId="21" fillId="14" borderId="0" xfId="0" applyNumberFormat="1" applyFont="1" applyFill="1" applyAlignment="1">
      <alignment horizontal="center" vertical="center" wrapText="1"/>
    </xf>
    <xf numFmtId="2" fontId="21" fillId="14" borderId="64" xfId="0" applyNumberFormat="1" applyFont="1" applyFill="1" applyBorder="1" applyAlignment="1">
      <alignment horizontal="center" vertical="center" wrapText="1"/>
    </xf>
    <xf numFmtId="2" fontId="21" fillId="14" borderId="29" xfId="0" applyNumberFormat="1" applyFont="1" applyFill="1" applyBorder="1" applyAlignment="1">
      <alignment horizontal="center" vertical="center" wrapText="1"/>
    </xf>
    <xf numFmtId="2" fontId="21" fillId="14" borderId="62" xfId="0" applyNumberFormat="1" applyFont="1" applyFill="1" applyBorder="1" applyAlignment="1">
      <alignment horizontal="center" vertical="center" wrapText="1"/>
    </xf>
    <xf numFmtId="2" fontId="21" fillId="14" borderId="30" xfId="0" applyNumberFormat="1" applyFont="1" applyFill="1" applyBorder="1" applyAlignment="1">
      <alignment horizontal="center" vertical="center" wrapText="1"/>
    </xf>
    <xf numFmtId="0" fontId="73" fillId="11" borderId="3" xfId="0" applyFont="1" applyFill="1" applyBorder="1" applyAlignment="1">
      <alignment horizontal="left"/>
    </xf>
    <xf numFmtId="0" fontId="88" fillId="11" borderId="4" xfId="0" applyFont="1" applyFill="1" applyBorder="1" applyAlignment="1">
      <alignment horizontal="left"/>
    </xf>
    <xf numFmtId="0" fontId="73" fillId="11" borderId="5" xfId="0" applyFont="1" applyFill="1" applyBorder="1" applyAlignment="1">
      <alignment horizontal="left"/>
    </xf>
    <xf numFmtId="0" fontId="81" fillId="11" borderId="6" xfId="0" applyFont="1" applyFill="1" applyBorder="1" applyAlignment="1">
      <alignment horizontal="left" vertical="center"/>
    </xf>
    <xf numFmtId="0" fontId="81" fillId="11" borderId="7" xfId="0" applyFont="1" applyFill="1" applyBorder="1" applyAlignment="1">
      <alignment horizontal="left" vertical="center"/>
    </xf>
    <xf numFmtId="0" fontId="80" fillId="11" borderId="1" xfId="0" applyFont="1" applyFill="1" applyBorder="1" applyAlignment="1">
      <alignment horizontal="left" vertical="center"/>
    </xf>
    <xf numFmtId="0" fontId="80" fillId="11" borderId="9" xfId="0" applyFont="1" applyFill="1" applyBorder="1" applyAlignment="1">
      <alignment horizontal="left" vertical="center"/>
    </xf>
    <xf numFmtId="0" fontId="73" fillId="11" borderId="6" xfId="0" applyFont="1" applyFill="1" applyBorder="1" applyAlignment="1">
      <alignment horizontal="left" vertical="center"/>
    </xf>
    <xf numFmtId="0" fontId="73" fillId="11" borderId="7" xfId="0" applyFont="1" applyFill="1" applyBorder="1" applyAlignment="1">
      <alignment horizontal="left" vertical="center"/>
    </xf>
    <xf numFmtId="3" fontId="23" fillId="11" borderId="12" xfId="0" applyNumberFormat="1" applyFont="1" applyFill="1" applyBorder="1" applyAlignment="1">
      <alignment horizontal="center" vertical="center"/>
    </xf>
    <xf numFmtId="3" fontId="23" fillId="11" borderId="11" xfId="0" applyNumberFormat="1" applyFont="1" applyFill="1" applyBorder="1" applyAlignment="1">
      <alignment horizontal="center" vertical="center"/>
    </xf>
    <xf numFmtId="2" fontId="56" fillId="14" borderId="63" xfId="2" applyNumberFormat="1" applyFont="1" applyFill="1" applyBorder="1" applyAlignment="1" applyProtection="1">
      <alignment horizontal="center" vertical="center" wrapText="1" shrinkToFit="1"/>
    </xf>
    <xf numFmtId="2" fontId="21" fillId="14" borderId="0" xfId="0" applyNumberFormat="1" applyFont="1" applyFill="1" applyAlignment="1">
      <alignment horizontal="center" vertical="center" wrapText="1" shrinkToFit="1"/>
    </xf>
    <xf numFmtId="2" fontId="21" fillId="14" borderId="64" xfId="0" applyNumberFormat="1" applyFont="1" applyFill="1" applyBorder="1" applyAlignment="1">
      <alignment horizontal="center" vertical="center" wrapText="1" shrinkToFit="1"/>
    </xf>
    <xf numFmtId="2" fontId="21" fillId="14" borderId="29" xfId="0" applyNumberFormat="1" applyFont="1" applyFill="1" applyBorder="1" applyAlignment="1">
      <alignment horizontal="center" vertical="center" wrapText="1" shrinkToFit="1"/>
    </xf>
    <xf numFmtId="2" fontId="21" fillId="14" borderId="62" xfId="0" applyNumberFormat="1" applyFont="1" applyFill="1" applyBorder="1" applyAlignment="1">
      <alignment horizontal="center" vertical="center" wrapText="1" shrinkToFit="1"/>
    </xf>
    <xf numFmtId="2" fontId="21" fillId="14" borderId="30" xfId="0" applyNumberFormat="1" applyFont="1" applyFill="1" applyBorder="1" applyAlignment="1">
      <alignment horizontal="center" vertical="center" wrapText="1" shrinkToFit="1"/>
    </xf>
    <xf numFmtId="0" fontId="105" fillId="17" borderId="7" xfId="0" applyFont="1" applyFill="1" applyBorder="1" applyAlignment="1">
      <alignment horizontal="center"/>
    </xf>
    <xf numFmtId="0" fontId="20" fillId="17" borderId="7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 vertical="center"/>
    </xf>
    <xf numFmtId="0" fontId="16" fillId="15" borderId="15" xfId="0" applyFont="1" applyFill="1" applyBorder="1" applyAlignment="1">
      <alignment horizontal="center"/>
    </xf>
    <xf numFmtId="0" fontId="16" fillId="15" borderId="16" xfId="0" applyFont="1" applyFill="1" applyBorder="1" applyAlignment="1">
      <alignment horizontal="center"/>
    </xf>
    <xf numFmtId="0" fontId="16" fillId="15" borderId="17" xfId="0" applyFont="1" applyFill="1" applyBorder="1" applyAlignment="1">
      <alignment horizontal="center"/>
    </xf>
    <xf numFmtId="0" fontId="17" fillId="14" borderId="1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17" fillId="14" borderId="19" xfId="0" applyFont="1" applyFill="1" applyBorder="1" applyAlignment="1">
      <alignment vertical="center"/>
    </xf>
    <xf numFmtId="0" fontId="72" fillId="7" borderId="45" xfId="0" applyFont="1" applyFill="1" applyBorder="1" applyAlignment="1">
      <alignment vertical="top" wrapText="1"/>
    </xf>
    <xf numFmtId="0" fontId="72" fillId="7" borderId="46" xfId="0" applyFont="1" applyFill="1" applyBorder="1" applyAlignment="1">
      <alignment vertical="top" wrapText="1"/>
    </xf>
    <xf numFmtId="1" fontId="17" fillId="7" borderId="44" xfId="0" applyNumberFormat="1" applyFont="1" applyFill="1" applyBorder="1"/>
    <xf numFmtId="0" fontId="16" fillId="0" borderId="5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14" borderId="1" xfId="0" applyFont="1" applyFill="1" applyBorder="1" applyAlignment="1" applyProtection="1">
      <alignment horizontal="center" vertical="center"/>
      <protection locked="0"/>
    </xf>
    <xf numFmtId="0" fontId="16" fillId="14" borderId="9" xfId="0" applyFont="1" applyFill="1" applyBorder="1" applyAlignment="1" applyProtection="1">
      <alignment horizontal="center" vertical="center"/>
      <protection locked="0"/>
    </xf>
    <xf numFmtId="0" fontId="16" fillId="14" borderId="19" xfId="0" applyFont="1" applyFill="1" applyBorder="1" applyAlignment="1" applyProtection="1">
      <alignment horizontal="center" vertical="center"/>
      <protection locked="0"/>
    </xf>
    <xf numFmtId="0" fontId="17" fillId="3" borderId="1" xfId="0" applyFont="1" applyFill="1" applyBorder="1" applyAlignment="1">
      <alignment vertical="center"/>
    </xf>
    <xf numFmtId="0" fontId="17" fillId="3" borderId="9" xfId="0" applyFont="1" applyFill="1" applyBorder="1" applyAlignment="1">
      <alignment vertical="center"/>
    </xf>
    <xf numFmtId="0" fontId="17" fillId="3" borderId="19" xfId="0" applyFont="1" applyFill="1" applyBorder="1" applyAlignment="1">
      <alignment vertical="center"/>
    </xf>
    <xf numFmtId="0" fontId="98" fillId="3" borderId="3" xfId="0" applyFont="1" applyFill="1" applyBorder="1" applyAlignment="1">
      <alignment horizontal="center"/>
    </xf>
    <xf numFmtId="0" fontId="49" fillId="14" borderId="0" xfId="0" applyFont="1" applyFill="1" applyAlignment="1">
      <alignment horizontal="center" wrapText="1"/>
    </xf>
    <xf numFmtId="0" fontId="17" fillId="11" borderId="47" xfId="0" applyFont="1" applyFill="1" applyBorder="1" applyAlignment="1">
      <alignment horizontal="center" vertical="top" wrapText="1"/>
    </xf>
    <xf numFmtId="0" fontId="17" fillId="11" borderId="48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16" fillId="12" borderId="4" xfId="0" applyFont="1" applyFill="1" applyBorder="1" applyAlignment="1">
      <alignment horizontal="center" vertical="center"/>
    </xf>
    <xf numFmtId="0" fontId="16" fillId="12" borderId="2" xfId="0" applyFont="1" applyFill="1" applyBorder="1" applyAlignment="1">
      <alignment horizontal="center" vertical="center"/>
    </xf>
    <xf numFmtId="0" fontId="98" fillId="14" borderId="3" xfId="0" applyFont="1" applyFill="1" applyBorder="1" applyAlignment="1">
      <alignment horizontal="center"/>
    </xf>
    <xf numFmtId="4" fontId="17" fillId="14" borderId="1" xfId="0" applyNumberFormat="1" applyFont="1" applyFill="1" applyBorder="1" applyAlignment="1">
      <alignment horizontal="left" vertical="center"/>
    </xf>
    <xf numFmtId="4" fontId="17" fillId="14" borderId="9" xfId="0" applyNumberFormat="1" applyFont="1" applyFill="1" applyBorder="1" applyAlignment="1">
      <alignment horizontal="left" vertical="center"/>
    </xf>
    <xf numFmtId="4" fontId="17" fillId="14" borderId="19" xfId="0" applyNumberFormat="1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1" fontId="17" fillId="14" borderId="9" xfId="0" applyNumberFormat="1" applyFont="1" applyFill="1" applyBorder="1" applyAlignment="1">
      <alignment horizontal="left" vertical="center"/>
    </xf>
    <xf numFmtId="171" fontId="17" fillId="14" borderId="19" xfId="0" applyNumberFormat="1" applyFont="1" applyFill="1" applyBorder="1" applyAlignment="1">
      <alignment horizontal="left" vertical="center"/>
    </xf>
    <xf numFmtId="0" fontId="21" fillId="14" borderId="1" xfId="0" applyFont="1" applyFill="1" applyBorder="1" applyAlignment="1">
      <alignment vertical="center"/>
    </xf>
    <xf numFmtId="0" fontId="21" fillId="14" borderId="9" xfId="0" applyFont="1" applyFill="1" applyBorder="1" applyAlignment="1">
      <alignment vertical="center"/>
    </xf>
    <xf numFmtId="0" fontId="21" fillId="14" borderId="19" xfId="0" applyFont="1" applyFill="1" applyBorder="1" applyAlignment="1">
      <alignment vertical="center"/>
    </xf>
    <xf numFmtId="1" fontId="17" fillId="3" borderId="1" xfId="0" applyNumberFormat="1" applyFont="1" applyFill="1" applyBorder="1" applyAlignment="1">
      <alignment horizontal="left" vertical="center"/>
    </xf>
    <xf numFmtId="1" fontId="17" fillId="3" borderId="9" xfId="0" applyNumberFormat="1" applyFont="1" applyFill="1" applyBorder="1" applyAlignment="1">
      <alignment horizontal="left" vertical="center"/>
    </xf>
    <xf numFmtId="1" fontId="17" fillId="3" borderId="19" xfId="0" applyNumberFormat="1" applyFont="1" applyFill="1" applyBorder="1" applyAlignment="1">
      <alignment horizontal="left" vertical="center"/>
    </xf>
    <xf numFmtId="0" fontId="82" fillId="11" borderId="4" xfId="0" applyFont="1" applyFill="1" applyBorder="1" applyAlignment="1">
      <alignment horizontal="left" vertical="center"/>
    </xf>
    <xf numFmtId="0" fontId="82" fillId="11" borderId="2" xfId="0" applyFont="1" applyFill="1" applyBorder="1" applyAlignment="1">
      <alignment horizontal="left" vertical="center"/>
    </xf>
    <xf numFmtId="185" fontId="23" fillId="11" borderId="12" xfId="0" applyNumberFormat="1" applyFont="1" applyFill="1" applyBorder="1" applyAlignment="1">
      <alignment horizontal="center" vertical="center"/>
    </xf>
    <xf numFmtId="185" fontId="23" fillId="11" borderId="11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83" fillId="11" borderId="4" xfId="0" applyFont="1" applyFill="1" applyBorder="1" applyAlignment="1">
      <alignment horizontal="left" vertical="center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23" fillId="11" borderId="77" xfId="0" applyFont="1" applyFill="1" applyBorder="1" applyAlignment="1">
      <alignment horizontal="center"/>
    </xf>
    <xf numFmtId="0" fontId="23" fillId="11" borderId="66" xfId="0" applyFont="1" applyFill="1" applyBorder="1" applyAlignment="1">
      <alignment horizontal="center"/>
    </xf>
    <xf numFmtId="0" fontId="23" fillId="11" borderId="67" xfId="0" applyFont="1" applyFill="1" applyBorder="1" applyAlignment="1">
      <alignment horizontal="center"/>
    </xf>
    <xf numFmtId="0" fontId="98" fillId="14" borderId="1" xfId="0" applyFont="1" applyFill="1" applyBorder="1" applyAlignment="1">
      <alignment horizontal="center"/>
    </xf>
    <xf numFmtId="0" fontId="98" fillId="14" borderId="9" xfId="0" applyFont="1" applyFill="1" applyBorder="1" applyAlignment="1">
      <alignment horizontal="center"/>
    </xf>
    <xf numFmtId="0" fontId="98" fillId="14" borderId="10" xfId="0" applyFont="1" applyFill="1" applyBorder="1" applyAlignment="1">
      <alignment horizontal="center"/>
    </xf>
    <xf numFmtId="167" fontId="17" fillId="0" borderId="3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19" borderId="0" xfId="0" applyFont="1" applyFill="1" applyAlignment="1">
      <alignment horizont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2" val="0"/>
</file>

<file path=xl/ctrlProps/ctrlProp2.xml><?xml version="1.0" encoding="utf-8"?>
<formControlPr xmlns="http://schemas.microsoft.com/office/spreadsheetml/2009/9/main" objectType="Drop" dropStyle="combo" dx="16" fmlaLink="$O$6" fmlaRange="$I$95:$I$248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15.wmf"/><Relationship Id="rId4" Type="http://schemas.openxmlformats.org/officeDocument/2006/relationships/image" Target="../media/image9.wmf"/><Relationship Id="rId9" Type="http://schemas.openxmlformats.org/officeDocument/2006/relationships/image" Target="../media/image14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wmf"/><Relationship Id="rId3" Type="http://schemas.openxmlformats.org/officeDocument/2006/relationships/image" Target="../media/image8.wmf"/><Relationship Id="rId7" Type="http://schemas.openxmlformats.org/officeDocument/2006/relationships/image" Target="../media/image12.wmf"/><Relationship Id="rId2" Type="http://schemas.openxmlformats.org/officeDocument/2006/relationships/image" Target="../media/image7.wmf"/><Relationship Id="rId1" Type="http://schemas.openxmlformats.org/officeDocument/2006/relationships/image" Target="../media/image6.emf"/><Relationship Id="rId6" Type="http://schemas.openxmlformats.org/officeDocument/2006/relationships/image" Target="../media/image11.wmf"/><Relationship Id="rId5" Type="http://schemas.openxmlformats.org/officeDocument/2006/relationships/image" Target="../media/image10.wmf"/><Relationship Id="rId10" Type="http://schemas.openxmlformats.org/officeDocument/2006/relationships/image" Target="../media/image37.emf"/><Relationship Id="rId4" Type="http://schemas.openxmlformats.org/officeDocument/2006/relationships/image" Target="../media/image9.wmf"/><Relationship Id="rId9" Type="http://schemas.openxmlformats.org/officeDocument/2006/relationships/image" Target="../media/image15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7" name="AutoShape 1" descr="{\ displaystyle P (x) _ () ^ () =}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4156</xdr:colOff>
      <xdr:row>2</xdr:row>
      <xdr:rowOff>121920</xdr:rowOff>
    </xdr:to>
    <xdr:sp macro="" textlink="">
      <xdr:nvSpPr>
        <xdr:cNvPr id="18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266353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307917</xdr:colOff>
      <xdr:row>2</xdr:row>
      <xdr:rowOff>22860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447849</xdr:colOff>
      <xdr:row>3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97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4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4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4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4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4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4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4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4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4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4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4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5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5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5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5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5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5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5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5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5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5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5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6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6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6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6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6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6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6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6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6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6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6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7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7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7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7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7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7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7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7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7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7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7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8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8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8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8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8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8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8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8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8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8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8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9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9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9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9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9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9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9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9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9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9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9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A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A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A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A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A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A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A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A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A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A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A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B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B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B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B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B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B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B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B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B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B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B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C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C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C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C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C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C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C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C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C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C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C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D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D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D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D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D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D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D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D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D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D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D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E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E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E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E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E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E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E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E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E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E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E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F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F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F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F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F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F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F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F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F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F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F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10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10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10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10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10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10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10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10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10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10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10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1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1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1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1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1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11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11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11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11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11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11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11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2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2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2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2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2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2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2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2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2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2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2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3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3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3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3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3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3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3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3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3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3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3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4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4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4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4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4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4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4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4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4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4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4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5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5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5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5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5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5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5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5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5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5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5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6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6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6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6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6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6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6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6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6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6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6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6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7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7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7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7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7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7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7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7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7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7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7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12.wmf"/><Relationship Id="rId26" Type="http://schemas.openxmlformats.org/officeDocument/2006/relationships/table" Target="../tables/table1.xml"/><Relationship Id="rId3" Type="http://schemas.openxmlformats.org/officeDocument/2006/relationships/drawing" Target="../drawings/drawing2.xml"/><Relationship Id="rId21" Type="http://schemas.openxmlformats.org/officeDocument/2006/relationships/image" Target="../media/image13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9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5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11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6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4.wmf"/><Relationship Id="rId10" Type="http://schemas.openxmlformats.org/officeDocument/2006/relationships/image" Target="../media/image8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10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12.wmf"/><Relationship Id="rId26" Type="http://schemas.openxmlformats.org/officeDocument/2006/relationships/table" Target="../tables/table2.xml"/><Relationship Id="rId3" Type="http://schemas.openxmlformats.org/officeDocument/2006/relationships/drawing" Target="../drawings/drawing3.xml"/><Relationship Id="rId21" Type="http://schemas.openxmlformats.org/officeDocument/2006/relationships/image" Target="../media/image14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9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7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11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6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5.wmf"/><Relationship Id="rId10" Type="http://schemas.openxmlformats.org/officeDocument/2006/relationships/image" Target="../media/image8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10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12.wmf"/><Relationship Id="rId26" Type="http://schemas.openxmlformats.org/officeDocument/2006/relationships/table" Target="../tables/table3.xml"/><Relationship Id="rId3" Type="http://schemas.openxmlformats.org/officeDocument/2006/relationships/drawing" Target="../drawings/drawing4.xml"/><Relationship Id="rId21" Type="http://schemas.openxmlformats.org/officeDocument/2006/relationships/image" Target="../media/image14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9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7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11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6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5.wmf"/><Relationship Id="rId10" Type="http://schemas.openxmlformats.org/officeDocument/2006/relationships/image" Target="../media/image8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10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12.wmf"/><Relationship Id="rId25" Type="http://schemas.openxmlformats.org/officeDocument/2006/relationships/table" Target="../tables/table4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5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12.wmf"/><Relationship Id="rId25" Type="http://schemas.openxmlformats.org/officeDocument/2006/relationships/table" Target="../tables/table5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5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12.wmf"/><Relationship Id="rId25" Type="http://schemas.openxmlformats.org/officeDocument/2006/relationships/table" Target="../tables/table6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5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12.wmf"/><Relationship Id="rId25" Type="http://schemas.openxmlformats.org/officeDocument/2006/relationships/table" Target="../tables/table7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5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12.wmf"/><Relationship Id="rId25" Type="http://schemas.openxmlformats.org/officeDocument/2006/relationships/table" Target="../tables/table8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5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12.wmf"/><Relationship Id="rId25" Type="http://schemas.openxmlformats.org/officeDocument/2006/relationships/table" Target="../tables/table9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5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12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5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12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5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12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5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12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5.w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12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5.wmf"/><Relationship Id="rId27" Type="http://schemas.openxmlformats.org/officeDocument/2006/relationships/comments" Target="../comments14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12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5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12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5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12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5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12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5.w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12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5.wmf"/><Relationship Id="rId27" Type="http://schemas.openxmlformats.org/officeDocument/2006/relationships/comments" Target="../comments19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10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7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12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4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9.wmf"/><Relationship Id="rId24" Type="http://schemas.openxmlformats.org/officeDocument/2006/relationships/image" Target="../media/image37.emf"/><Relationship Id="rId5" Type="http://schemas.openxmlformats.org/officeDocument/2006/relationships/image" Target="../media/image6.emf"/><Relationship Id="rId15" Type="http://schemas.openxmlformats.org/officeDocument/2006/relationships/image" Target="../media/image11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8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5.wmf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opLeftCell="A21" zoomScale="85" zoomScaleNormal="85" workbookViewId="0">
      <selection activeCell="F11" sqref="F11"/>
    </sheetView>
  </sheetViews>
  <sheetFormatPr baseColWidth="10"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66"/>
      <c r="T3" s="466"/>
    </row>
    <row r="4" spans="1:20" x14ac:dyDescent="0.3">
      <c r="S4" s="466"/>
      <c r="T4" s="468"/>
    </row>
    <row r="5" spans="1:20" x14ac:dyDescent="0.3">
      <c r="B5" s="610" t="s">
        <v>352</v>
      </c>
      <c r="C5" s="610"/>
      <c r="D5" s="562" t="s">
        <v>1364</v>
      </c>
      <c r="E5" s="563"/>
      <c r="G5" s="63" t="s">
        <v>357</v>
      </c>
      <c r="H5" s="611" t="str">
        <f>VLOOKUP(D6,'Datos Clientes'!B6:C476,2,FALSE)</f>
        <v>Frente al portón Lugo Renta Car, Bolonia</v>
      </c>
      <c r="I5" s="611"/>
      <c r="J5" s="611"/>
      <c r="S5" s="466"/>
      <c r="T5" s="468"/>
    </row>
    <row r="6" spans="1:20" x14ac:dyDescent="0.3">
      <c r="B6" s="610" t="s">
        <v>355</v>
      </c>
      <c r="C6" s="610"/>
      <c r="D6" s="611" t="s">
        <v>1111</v>
      </c>
      <c r="E6" s="611"/>
      <c r="G6" s="63" t="s">
        <v>358</v>
      </c>
      <c r="H6" s="614" t="s">
        <v>1365</v>
      </c>
      <c r="I6" s="614"/>
      <c r="J6" s="614"/>
      <c r="S6" s="466"/>
      <c r="T6" s="468"/>
    </row>
    <row r="7" spans="1:20" x14ac:dyDescent="0.3">
      <c r="B7" s="610" t="s">
        <v>354</v>
      </c>
      <c r="C7" s="610"/>
      <c r="D7" s="628" t="s">
        <v>1362</v>
      </c>
      <c r="E7" s="614"/>
      <c r="G7" s="63" t="s">
        <v>353</v>
      </c>
      <c r="H7" s="614" t="s">
        <v>1361</v>
      </c>
      <c r="I7" s="614"/>
      <c r="J7" s="614"/>
      <c r="S7" s="466"/>
      <c r="T7" s="468"/>
    </row>
    <row r="8" spans="1:20" x14ac:dyDescent="0.3">
      <c r="B8" s="610" t="s">
        <v>698</v>
      </c>
      <c r="C8" s="610"/>
      <c r="D8" s="628" t="s">
        <v>1363</v>
      </c>
      <c r="E8" s="614"/>
      <c r="G8" s="63" t="s">
        <v>786</v>
      </c>
      <c r="H8" s="614" t="s">
        <v>1351</v>
      </c>
      <c r="I8" s="614"/>
      <c r="J8" s="614"/>
      <c r="S8" s="466"/>
      <c r="T8" s="467"/>
    </row>
    <row r="9" spans="1:20" ht="15" customHeight="1" x14ac:dyDescent="0.3">
      <c r="B9" s="610" t="s">
        <v>700</v>
      </c>
      <c r="C9" s="610"/>
      <c r="D9" s="612" t="s">
        <v>28</v>
      </c>
      <c r="E9" s="613"/>
      <c r="S9" s="466"/>
      <c r="T9" s="468"/>
    </row>
    <row r="10" spans="1:20" ht="15" customHeight="1" x14ac:dyDescent="0.3">
      <c r="K10" s="571"/>
      <c r="S10" s="466"/>
      <c r="T10" s="468"/>
    </row>
    <row r="11" spans="1:20" ht="15" customHeight="1" x14ac:dyDescent="0.3">
      <c r="S11" s="466"/>
      <c r="T11" s="468"/>
    </row>
    <row r="12" spans="1:20" ht="15" customHeight="1" x14ac:dyDescent="0.3">
      <c r="S12" s="466"/>
      <c r="T12" s="467"/>
    </row>
    <row r="13" spans="1:20" ht="15" customHeight="1" x14ac:dyDescent="0.3">
      <c r="A13" s="629">
        <v>1</v>
      </c>
      <c r="B13" s="629"/>
      <c r="C13" s="624" t="s">
        <v>359</v>
      </c>
      <c r="D13" s="626"/>
      <c r="E13" s="94" t="s">
        <v>375</v>
      </c>
      <c r="F13" s="94" t="s">
        <v>376</v>
      </c>
      <c r="G13" s="94" t="s">
        <v>16</v>
      </c>
      <c r="H13" s="94" t="s">
        <v>360</v>
      </c>
      <c r="I13" s="94" t="s">
        <v>361</v>
      </c>
      <c r="J13" s="94" t="s">
        <v>36</v>
      </c>
      <c r="S13" s="466"/>
      <c r="T13" s="468"/>
    </row>
    <row r="14" spans="1:20" ht="21.75" customHeight="1" x14ac:dyDescent="0.3">
      <c r="A14" s="629"/>
      <c r="B14" s="629"/>
      <c r="C14" s="622" t="s">
        <v>28</v>
      </c>
      <c r="D14" s="623"/>
      <c r="E14" s="83">
        <f>'1 g'!$I$7</f>
        <v>0</v>
      </c>
      <c r="F14" s="84">
        <f>'1 g'!$I$7+'1 g'!$I$8</f>
        <v>0</v>
      </c>
      <c r="G14" s="83">
        <f>'1 g'!$I$15</f>
        <v>0</v>
      </c>
      <c r="H14" s="85">
        <f>'1 g'!$I$10</f>
        <v>0</v>
      </c>
      <c r="I14" s="83">
        <f>'1 g'!$I$11</f>
        <v>0</v>
      </c>
      <c r="J14" s="85">
        <f>'1 g'!$I$16</f>
        <v>0</v>
      </c>
      <c r="L14" s="63" t="s">
        <v>353</v>
      </c>
      <c r="M14" s="618"/>
      <c r="N14" s="619"/>
    </row>
    <row r="15" spans="1:20" ht="18.75" customHeight="1" x14ac:dyDescent="0.3">
      <c r="A15" s="629"/>
      <c r="B15" s="629"/>
      <c r="C15" s="622" t="s">
        <v>28</v>
      </c>
      <c r="D15" s="623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386</v>
      </c>
      <c r="M15" s="620"/>
      <c r="N15" s="620"/>
      <c r="S15" s="469"/>
      <c r="T15" s="469"/>
    </row>
    <row r="16" spans="1:20" ht="19.5" customHeight="1" x14ac:dyDescent="0.3">
      <c r="A16" s="629"/>
      <c r="B16" s="629"/>
      <c r="C16" s="622" t="s">
        <v>28</v>
      </c>
      <c r="D16" s="623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387</v>
      </c>
      <c r="M16" s="621"/>
      <c r="N16" s="621"/>
      <c r="S16" s="466"/>
      <c r="T16" s="467"/>
    </row>
    <row r="17" spans="1:20" ht="18.75" customHeight="1" x14ac:dyDescent="0.3">
      <c r="A17" s="629"/>
      <c r="B17" s="629"/>
      <c r="C17" s="622" t="s">
        <v>28</v>
      </c>
      <c r="D17" s="623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3">
      <c r="A18" s="629"/>
      <c r="B18" s="629"/>
      <c r="C18" s="622" t="s">
        <v>28</v>
      </c>
      <c r="D18" s="623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3">
      <c r="A19" s="629"/>
      <c r="B19" s="629"/>
      <c r="C19" s="622" t="s">
        <v>28</v>
      </c>
      <c r="D19" s="623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3">
      <c r="A20" s="629"/>
      <c r="B20" s="629"/>
      <c r="C20" s="622" t="s">
        <v>28</v>
      </c>
      <c r="D20" s="623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3">
      <c r="A21" s="629"/>
      <c r="B21" s="629"/>
      <c r="C21" s="95" t="s">
        <v>377</v>
      </c>
      <c r="D21" s="570" t="s">
        <v>28</v>
      </c>
      <c r="E21" s="92" t="e">
        <f>'1 g'!$R$24</f>
        <v>#VALUE!</v>
      </c>
      <c r="F21" s="93" t="e">
        <f>'1 g'!$R$24+'1 g'!$R$25</f>
        <v>#VALUE!</v>
      </c>
      <c r="G21" s="96" t="s">
        <v>378</v>
      </c>
      <c r="H21" s="96" t="s">
        <v>379</v>
      </c>
      <c r="I21" s="96" t="s">
        <v>380</v>
      </c>
      <c r="J21" s="96" t="s">
        <v>381</v>
      </c>
    </row>
    <row r="22" spans="1:20" ht="20.25" customHeight="1" x14ac:dyDescent="0.3">
      <c r="A22" s="629"/>
      <c r="B22" s="629"/>
      <c r="C22" s="624" t="s">
        <v>362</v>
      </c>
      <c r="D22" s="625"/>
      <c r="E22" s="56">
        <v>0</v>
      </c>
      <c r="F22" s="57" t="s">
        <v>32</v>
      </c>
      <c r="G22" s="539" t="s">
        <v>207</v>
      </c>
      <c r="H22" s="539" t="s">
        <v>91</v>
      </c>
      <c r="I22" s="627" t="s">
        <v>736</v>
      </c>
      <c r="J22" s="627"/>
    </row>
    <row r="23" spans="1:20" ht="15" customHeight="1" x14ac:dyDescent="0.3">
      <c r="A23" s="629"/>
      <c r="B23" s="629"/>
      <c r="C23" s="98" t="s">
        <v>363</v>
      </c>
      <c r="D23" s="89" t="s">
        <v>364</v>
      </c>
      <c r="E23" s="89" t="s">
        <v>365</v>
      </c>
      <c r="F23" s="89" t="s">
        <v>366</v>
      </c>
      <c r="G23" s="97" t="s">
        <v>383</v>
      </c>
      <c r="H23" s="97" t="s">
        <v>385</v>
      </c>
      <c r="I23" s="97" t="s">
        <v>382</v>
      </c>
      <c r="J23" s="97" t="s">
        <v>384</v>
      </c>
    </row>
    <row r="24" spans="1:20" ht="15" customHeight="1" x14ac:dyDescent="0.3">
      <c r="A24" s="629"/>
      <c r="B24" s="629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7800</v>
      </c>
      <c r="H24" s="61">
        <f>'1 g'!$C$17</f>
        <v>100</v>
      </c>
      <c r="I24" s="61">
        <f>'1 g'!$C$24</f>
        <v>0.1</v>
      </c>
      <c r="J24" s="61">
        <f>'1 g'!$C$29</f>
        <v>0.1</v>
      </c>
    </row>
    <row r="25" spans="1:20" x14ac:dyDescent="0.3">
      <c r="A25" s="629"/>
      <c r="B25" s="629"/>
      <c r="C25" s="100"/>
      <c r="D25" s="100"/>
      <c r="E25" s="100"/>
      <c r="F25" s="100"/>
      <c r="G25" s="66" t="s">
        <v>367</v>
      </c>
      <c r="H25" s="67" t="s">
        <v>368</v>
      </c>
      <c r="I25" s="67" t="s">
        <v>372</v>
      </c>
      <c r="J25" s="102"/>
    </row>
    <row r="26" spans="1:20" ht="15" customHeight="1" x14ac:dyDescent="0.3">
      <c r="A26" s="629"/>
      <c r="B26" s="629"/>
      <c r="C26" s="100"/>
      <c r="D26" s="100"/>
      <c r="E26" s="100"/>
      <c r="F26" s="100"/>
      <c r="G26" s="62" t="s">
        <v>369</v>
      </c>
      <c r="H26" s="52"/>
      <c r="I26" s="52"/>
      <c r="J26" s="69" t="s">
        <v>7</v>
      </c>
    </row>
    <row r="27" spans="1:20" ht="15" customHeight="1" x14ac:dyDescent="0.3">
      <c r="A27" s="629"/>
      <c r="B27" s="629"/>
      <c r="C27" s="100"/>
      <c r="D27" s="100"/>
      <c r="E27" s="100"/>
      <c r="F27" s="100"/>
      <c r="G27" s="62" t="s">
        <v>370</v>
      </c>
      <c r="H27" s="52"/>
      <c r="I27" s="52"/>
      <c r="J27" s="70" t="s">
        <v>42</v>
      </c>
    </row>
    <row r="28" spans="1:20" x14ac:dyDescent="0.3">
      <c r="A28" s="629"/>
      <c r="B28" s="629"/>
      <c r="C28" s="100"/>
      <c r="D28" s="100"/>
      <c r="E28" s="100"/>
      <c r="F28" s="100"/>
      <c r="G28" s="71" t="s">
        <v>371</v>
      </c>
      <c r="H28" s="52"/>
      <c r="I28" s="52"/>
      <c r="J28" s="72" t="s">
        <v>373</v>
      </c>
    </row>
    <row r="29" spans="1:20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3">
      <c r="A30" s="629">
        <v>2</v>
      </c>
      <c r="B30" s="629"/>
      <c r="C30" s="624" t="s">
        <v>359</v>
      </c>
      <c r="D30" s="626"/>
      <c r="E30" s="94" t="s">
        <v>375</v>
      </c>
      <c r="F30" s="94" t="s">
        <v>376</v>
      </c>
      <c r="G30" s="94" t="s">
        <v>16</v>
      </c>
      <c r="H30" s="94" t="s">
        <v>360</v>
      </c>
      <c r="I30" s="94" t="s">
        <v>361</v>
      </c>
      <c r="J30" s="94" t="s">
        <v>36</v>
      </c>
    </row>
    <row r="31" spans="1:20" ht="21.75" customHeight="1" x14ac:dyDescent="0.3">
      <c r="A31" s="629"/>
      <c r="B31" s="629"/>
      <c r="C31" s="622" t="s">
        <v>28</v>
      </c>
      <c r="D31" s="623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618"/>
      <c r="N31" s="619"/>
    </row>
    <row r="32" spans="1:20" ht="17.25" customHeight="1" x14ac:dyDescent="0.3">
      <c r="A32" s="629"/>
      <c r="B32" s="629"/>
      <c r="C32" s="622" t="s">
        <v>28</v>
      </c>
      <c r="D32" s="623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386</v>
      </c>
      <c r="M32" s="620"/>
      <c r="N32" s="620"/>
    </row>
    <row r="33" spans="1:14" ht="18.75" customHeight="1" x14ac:dyDescent="0.3">
      <c r="A33" s="629"/>
      <c r="B33" s="629"/>
      <c r="C33" s="622" t="s">
        <v>28</v>
      </c>
      <c r="D33" s="623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387</v>
      </c>
      <c r="M33" s="621"/>
      <c r="N33" s="621"/>
    </row>
    <row r="34" spans="1:14" x14ac:dyDescent="0.3">
      <c r="A34" s="629"/>
      <c r="B34" s="629"/>
      <c r="C34" s="622" t="s">
        <v>28</v>
      </c>
      <c r="D34" s="623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3">
      <c r="A35" s="629"/>
      <c r="B35" s="629"/>
      <c r="C35" s="622" t="s">
        <v>28</v>
      </c>
      <c r="D35" s="623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3">
      <c r="A36" s="629"/>
      <c r="B36" s="629"/>
      <c r="C36" s="622" t="s">
        <v>28</v>
      </c>
      <c r="D36" s="623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3">
      <c r="A37" s="629"/>
      <c r="B37" s="629"/>
      <c r="C37" s="622" t="s">
        <v>28</v>
      </c>
      <c r="D37" s="623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3">
      <c r="A38" s="629"/>
      <c r="B38" s="629"/>
      <c r="C38" s="95" t="s">
        <v>377</v>
      </c>
      <c r="D38" s="570" t="s">
        <v>79</v>
      </c>
      <c r="E38" s="90">
        <f>'2 g'!$R$24</f>
        <v>200</v>
      </c>
      <c r="F38" s="91">
        <f>'2 g'!$R$24+'2 g'!$R$25</f>
        <v>200.00001599999999</v>
      </c>
      <c r="G38" s="101" t="s">
        <v>378</v>
      </c>
      <c r="H38" s="101" t="s">
        <v>379</v>
      </c>
      <c r="I38" s="101" t="s">
        <v>380</v>
      </c>
      <c r="J38" s="101" t="s">
        <v>381</v>
      </c>
    </row>
    <row r="39" spans="1:14" ht="19.5" customHeight="1" x14ac:dyDescent="0.3">
      <c r="A39" s="629"/>
      <c r="B39" s="629"/>
      <c r="C39" s="624" t="s">
        <v>362</v>
      </c>
      <c r="D39" s="625"/>
      <c r="E39" s="103">
        <v>0</v>
      </c>
      <c r="F39" s="57" t="s">
        <v>32</v>
      </c>
      <c r="G39" s="539" t="s">
        <v>205</v>
      </c>
      <c r="H39" s="539" t="s">
        <v>91</v>
      </c>
      <c r="I39" s="627" t="s">
        <v>736</v>
      </c>
      <c r="J39" s="627"/>
    </row>
    <row r="40" spans="1:14" ht="15.75" customHeight="1" x14ac:dyDescent="0.3">
      <c r="A40" s="629"/>
      <c r="B40" s="629"/>
      <c r="C40" s="98" t="s">
        <v>363</v>
      </c>
      <c r="D40" s="89" t="s">
        <v>364</v>
      </c>
      <c r="E40" s="89" t="s">
        <v>365</v>
      </c>
      <c r="F40" s="89" t="s">
        <v>366</v>
      </c>
      <c r="G40" s="97" t="s">
        <v>383</v>
      </c>
      <c r="H40" s="97" t="s">
        <v>385</v>
      </c>
      <c r="I40" s="97" t="s">
        <v>382</v>
      </c>
      <c r="J40" s="97" t="s">
        <v>384</v>
      </c>
    </row>
    <row r="41" spans="1:14" x14ac:dyDescent="0.3">
      <c r="A41" s="629"/>
      <c r="B41" s="629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>
        <f>'2 g'!$C$17</f>
        <v>100</v>
      </c>
      <c r="I41" s="61">
        <f>'2 g'!$C$24</f>
        <v>0.1</v>
      </c>
      <c r="J41" s="61">
        <f>'2 g'!$C$29</f>
        <v>0.1</v>
      </c>
    </row>
    <row r="42" spans="1:14" x14ac:dyDescent="0.3">
      <c r="A42" s="629"/>
      <c r="B42" s="629"/>
      <c r="C42" s="107"/>
      <c r="D42" s="107"/>
      <c r="E42" s="108"/>
      <c r="F42" s="108"/>
      <c r="G42" s="66" t="s">
        <v>367</v>
      </c>
      <c r="H42" s="67" t="s">
        <v>368</v>
      </c>
      <c r="I42" s="67" t="s">
        <v>372</v>
      </c>
      <c r="J42" s="102"/>
    </row>
    <row r="43" spans="1:14" x14ac:dyDescent="0.3">
      <c r="A43" s="629"/>
      <c r="B43" s="629"/>
      <c r="C43" s="107"/>
      <c r="D43" s="107"/>
      <c r="E43" s="108"/>
      <c r="F43" s="108"/>
      <c r="G43" s="62" t="s">
        <v>369</v>
      </c>
      <c r="H43" s="52"/>
      <c r="I43" s="52"/>
      <c r="J43" s="69" t="s">
        <v>7</v>
      </c>
    </row>
    <row r="44" spans="1:14" x14ac:dyDescent="0.3">
      <c r="A44" s="629"/>
      <c r="B44" s="629"/>
      <c r="C44" s="107"/>
      <c r="D44" s="107"/>
      <c r="E44" s="108"/>
      <c r="F44" s="108"/>
      <c r="G44" s="62" t="s">
        <v>370</v>
      </c>
      <c r="H44" s="52"/>
      <c r="I44" s="54"/>
      <c r="J44" s="70" t="s">
        <v>42</v>
      </c>
    </row>
    <row r="45" spans="1:14" x14ac:dyDescent="0.3">
      <c r="A45" s="629"/>
      <c r="B45" s="629"/>
      <c r="C45" s="107"/>
      <c r="D45" s="107"/>
      <c r="E45" s="108"/>
      <c r="F45" s="108"/>
      <c r="G45" s="71" t="s">
        <v>371</v>
      </c>
      <c r="H45" s="52"/>
      <c r="I45" s="52"/>
      <c r="J45" s="72" t="s">
        <v>373</v>
      </c>
    </row>
    <row r="46" spans="1:1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3">
      <c r="A47" s="629">
        <v>3</v>
      </c>
      <c r="B47" s="629"/>
      <c r="C47" s="624" t="s">
        <v>359</v>
      </c>
      <c r="D47" s="626"/>
      <c r="E47" s="94" t="s">
        <v>375</v>
      </c>
      <c r="F47" s="94" t="s">
        <v>376</v>
      </c>
      <c r="G47" s="94" t="s">
        <v>16</v>
      </c>
      <c r="H47" s="94" t="s">
        <v>360</v>
      </c>
      <c r="I47" s="94" t="s">
        <v>361</v>
      </c>
      <c r="J47" s="94" t="s">
        <v>36</v>
      </c>
    </row>
    <row r="48" spans="1:14" ht="20.25" customHeight="1" x14ac:dyDescent="0.3">
      <c r="A48" s="629"/>
      <c r="B48" s="629"/>
      <c r="C48" s="622" t="s">
        <v>28</v>
      </c>
      <c r="D48" s="623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618"/>
      <c r="N48" s="619"/>
    </row>
    <row r="49" spans="1:14" ht="19.5" customHeight="1" x14ac:dyDescent="0.3">
      <c r="A49" s="629"/>
      <c r="B49" s="629"/>
      <c r="C49" s="622" t="s">
        <v>28</v>
      </c>
      <c r="D49" s="623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386</v>
      </c>
      <c r="M49" s="620"/>
      <c r="N49" s="620"/>
    </row>
    <row r="50" spans="1:14" ht="17.25" customHeight="1" x14ac:dyDescent="0.3">
      <c r="A50" s="629"/>
      <c r="B50" s="629"/>
      <c r="C50" s="622" t="s">
        <v>28</v>
      </c>
      <c r="D50" s="623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387</v>
      </c>
      <c r="M50" s="621"/>
      <c r="N50" s="621"/>
    </row>
    <row r="51" spans="1:14" ht="19.5" customHeight="1" x14ac:dyDescent="0.3">
      <c r="A51" s="629"/>
      <c r="B51" s="629"/>
      <c r="C51" s="622" t="s">
        <v>28</v>
      </c>
      <c r="D51" s="623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3">
      <c r="A52" s="629"/>
      <c r="B52" s="629"/>
      <c r="C52" s="622" t="s">
        <v>28</v>
      </c>
      <c r="D52" s="623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3">
      <c r="A53" s="629"/>
      <c r="B53" s="629"/>
      <c r="C53" s="622" t="s">
        <v>28</v>
      </c>
      <c r="D53" s="623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3">
      <c r="A54" s="629"/>
      <c r="B54" s="629"/>
      <c r="C54" s="622" t="s">
        <v>28</v>
      </c>
      <c r="D54" s="623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3">
      <c r="A55" s="629"/>
      <c r="B55" s="629"/>
      <c r="C55" s="95" t="s">
        <v>377</v>
      </c>
      <c r="D55" s="570" t="s">
        <v>79</v>
      </c>
      <c r="E55" s="90">
        <f>'2 g.'!$R$24</f>
        <v>200</v>
      </c>
      <c r="F55" s="106">
        <f>'2 g.'!$R$24+'2 g.'!$R$25</f>
        <v>200.00001599999999</v>
      </c>
      <c r="G55" s="101" t="s">
        <v>378</v>
      </c>
      <c r="H55" s="101" t="s">
        <v>379</v>
      </c>
      <c r="I55" s="101" t="s">
        <v>380</v>
      </c>
      <c r="J55" s="101" t="s">
        <v>381</v>
      </c>
    </row>
    <row r="56" spans="1:14" ht="24" customHeight="1" x14ac:dyDescent="0.3">
      <c r="A56" s="629"/>
      <c r="B56" s="629"/>
      <c r="C56" s="624" t="s">
        <v>362</v>
      </c>
      <c r="D56" s="625"/>
      <c r="E56" s="64">
        <v>0</v>
      </c>
      <c r="F56" s="65" t="s">
        <v>32</v>
      </c>
      <c r="G56" s="539" t="s">
        <v>205</v>
      </c>
      <c r="H56" s="539" t="s">
        <v>91</v>
      </c>
      <c r="I56" s="627" t="s">
        <v>736</v>
      </c>
      <c r="J56" s="627"/>
    </row>
    <row r="57" spans="1:14" ht="15" x14ac:dyDescent="0.3">
      <c r="A57" s="629"/>
      <c r="B57" s="629"/>
      <c r="C57" s="98" t="s">
        <v>363</v>
      </c>
      <c r="D57" s="89" t="s">
        <v>364</v>
      </c>
      <c r="E57" s="89" t="s">
        <v>365</v>
      </c>
      <c r="F57" s="89" t="s">
        <v>366</v>
      </c>
      <c r="G57" s="97" t="s">
        <v>383</v>
      </c>
      <c r="H57" s="97" t="s">
        <v>385</v>
      </c>
      <c r="I57" s="97" t="s">
        <v>382</v>
      </c>
      <c r="J57" s="97" t="s">
        <v>384</v>
      </c>
    </row>
    <row r="58" spans="1:14" x14ac:dyDescent="0.3">
      <c r="A58" s="629"/>
      <c r="B58" s="629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>
        <f>'2 g.'!$C$17</f>
        <v>100</v>
      </c>
      <c r="I58" s="61">
        <f>'2 g.'!$C$24</f>
        <v>0.1</v>
      </c>
      <c r="J58" s="61">
        <f>'2 g.'!$C$29</f>
        <v>0.1</v>
      </c>
    </row>
    <row r="59" spans="1:14" x14ac:dyDescent="0.3">
      <c r="A59" s="629"/>
      <c r="B59" s="629"/>
      <c r="C59" s="109"/>
      <c r="D59" s="109"/>
      <c r="E59" s="110"/>
      <c r="F59" s="110"/>
      <c r="G59" s="66" t="s">
        <v>367</v>
      </c>
      <c r="H59" s="67" t="s">
        <v>368</v>
      </c>
      <c r="I59" s="67" t="s">
        <v>372</v>
      </c>
      <c r="J59" s="102"/>
    </row>
    <row r="60" spans="1:14" x14ac:dyDescent="0.3">
      <c r="A60" s="629"/>
      <c r="B60" s="629"/>
      <c r="C60" s="109"/>
      <c r="D60" s="109"/>
      <c r="E60" s="110"/>
      <c r="F60" s="110"/>
      <c r="G60" s="62" t="s">
        <v>369</v>
      </c>
      <c r="H60" s="68"/>
      <c r="I60" s="68"/>
      <c r="J60" s="69" t="s">
        <v>7</v>
      </c>
    </row>
    <row r="61" spans="1:14" x14ac:dyDescent="0.3">
      <c r="A61" s="629"/>
      <c r="B61" s="629"/>
      <c r="C61" s="109"/>
      <c r="D61" s="109"/>
      <c r="E61" s="110"/>
      <c r="F61" s="110"/>
      <c r="G61" s="62" t="s">
        <v>370</v>
      </c>
      <c r="H61" s="68"/>
      <c r="I61" s="76"/>
      <c r="J61" s="70" t="s">
        <v>42</v>
      </c>
    </row>
    <row r="62" spans="1:14" x14ac:dyDescent="0.3">
      <c r="A62" s="629"/>
      <c r="B62" s="629"/>
      <c r="C62" s="109"/>
      <c r="D62" s="109"/>
      <c r="E62" s="110"/>
      <c r="F62" s="110"/>
      <c r="G62" s="71" t="s">
        <v>371</v>
      </c>
      <c r="H62" s="68"/>
      <c r="I62" s="68"/>
      <c r="J62" s="72" t="s">
        <v>373</v>
      </c>
    </row>
    <row r="63" spans="1:1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3">
      <c r="A64" s="629">
        <v>4</v>
      </c>
      <c r="B64" s="629"/>
      <c r="C64" s="624" t="s">
        <v>359</v>
      </c>
      <c r="D64" s="626"/>
      <c r="E64" s="94" t="s">
        <v>375</v>
      </c>
      <c r="F64" s="94" t="s">
        <v>376</v>
      </c>
      <c r="G64" s="94" t="s">
        <v>16</v>
      </c>
      <c r="H64" s="94" t="s">
        <v>360</v>
      </c>
      <c r="I64" s="94" t="s">
        <v>361</v>
      </c>
      <c r="J64" s="94" t="s">
        <v>36</v>
      </c>
    </row>
    <row r="65" spans="1:14" ht="22.5" customHeight="1" x14ac:dyDescent="0.3">
      <c r="A65" s="629"/>
      <c r="B65" s="629"/>
      <c r="C65" s="622" t="s">
        <v>28</v>
      </c>
      <c r="D65" s="623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618"/>
      <c r="N65" s="619"/>
    </row>
    <row r="66" spans="1:14" ht="16.5" customHeight="1" x14ac:dyDescent="0.3">
      <c r="A66" s="629"/>
      <c r="B66" s="629"/>
      <c r="C66" s="622" t="s">
        <v>28</v>
      </c>
      <c r="D66" s="623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386</v>
      </c>
      <c r="M66" s="620"/>
      <c r="N66" s="620"/>
    </row>
    <row r="67" spans="1:14" ht="21.75" customHeight="1" x14ac:dyDescent="0.3">
      <c r="A67" s="629"/>
      <c r="B67" s="629"/>
      <c r="C67" s="622" t="s">
        <v>28</v>
      </c>
      <c r="D67" s="623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387</v>
      </c>
      <c r="M67" s="621"/>
      <c r="N67" s="621"/>
    </row>
    <row r="68" spans="1:14" ht="18" customHeight="1" x14ac:dyDescent="0.3">
      <c r="A68" s="629"/>
      <c r="B68" s="629"/>
      <c r="C68" s="622" t="s">
        <v>28</v>
      </c>
      <c r="D68" s="623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3">
      <c r="A69" s="629"/>
      <c r="B69" s="629"/>
      <c r="C69" s="622" t="s">
        <v>28</v>
      </c>
      <c r="D69" s="623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3">
      <c r="A70" s="629"/>
      <c r="B70" s="629"/>
      <c r="C70" s="622" t="s">
        <v>28</v>
      </c>
      <c r="D70" s="623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3">
      <c r="A71" s="629"/>
      <c r="B71" s="629"/>
      <c r="C71" s="622" t="s">
        <v>28</v>
      </c>
      <c r="D71" s="623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3">
      <c r="A72" s="629"/>
      <c r="B72" s="629"/>
      <c r="C72" s="95" t="s">
        <v>377</v>
      </c>
      <c r="D72" s="570" t="s">
        <v>79</v>
      </c>
      <c r="E72" s="90">
        <f>'5 g'!$R$24</f>
        <v>200</v>
      </c>
      <c r="F72" s="106">
        <f>'5 g'!$R$24+'5 g'!$R$25</f>
        <v>200.00001599999999</v>
      </c>
      <c r="G72" s="101" t="s">
        <v>378</v>
      </c>
      <c r="H72" s="101" t="s">
        <v>379</v>
      </c>
      <c r="I72" s="101" t="s">
        <v>380</v>
      </c>
      <c r="J72" s="101" t="s">
        <v>381</v>
      </c>
    </row>
    <row r="73" spans="1:14" ht="21.75" customHeight="1" x14ac:dyDescent="0.3">
      <c r="A73" s="629"/>
      <c r="B73" s="629"/>
      <c r="C73" s="624" t="s">
        <v>362</v>
      </c>
      <c r="D73" s="625"/>
      <c r="E73" s="56">
        <v>0</v>
      </c>
      <c r="F73" s="57" t="s">
        <v>32</v>
      </c>
      <c r="G73" s="539" t="s">
        <v>205</v>
      </c>
      <c r="H73" s="539" t="s">
        <v>91</v>
      </c>
      <c r="I73" s="627" t="s">
        <v>736</v>
      </c>
      <c r="J73" s="627"/>
    </row>
    <row r="74" spans="1:14" ht="15" x14ac:dyDescent="0.3">
      <c r="A74" s="629"/>
      <c r="B74" s="629"/>
      <c r="C74" s="98" t="s">
        <v>363</v>
      </c>
      <c r="D74" s="89" t="s">
        <v>364</v>
      </c>
      <c r="E74" s="89" t="s">
        <v>365</v>
      </c>
      <c r="F74" s="89" t="s">
        <v>366</v>
      </c>
      <c r="G74" s="97" t="s">
        <v>383</v>
      </c>
      <c r="H74" s="97" t="s">
        <v>385</v>
      </c>
      <c r="I74" s="97" t="s">
        <v>382</v>
      </c>
      <c r="J74" s="97" t="s">
        <v>384</v>
      </c>
    </row>
    <row r="75" spans="1:14" x14ac:dyDescent="0.3">
      <c r="A75" s="629"/>
      <c r="B75" s="629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>
        <f>'5 g'!$C$17</f>
        <v>100</v>
      </c>
      <c r="I75" s="61">
        <f>'5 g'!$C$24</f>
        <v>0.1</v>
      </c>
      <c r="J75" s="61">
        <f>'5 g'!$C$29</f>
        <v>0.1</v>
      </c>
    </row>
    <row r="76" spans="1:14" x14ac:dyDescent="0.3">
      <c r="A76" s="629"/>
      <c r="B76" s="629"/>
      <c r="C76" s="109"/>
      <c r="D76" s="109"/>
      <c r="E76" s="110"/>
      <c r="F76" s="110"/>
      <c r="G76" s="66" t="s">
        <v>367</v>
      </c>
      <c r="H76" s="67" t="s">
        <v>368</v>
      </c>
      <c r="I76" s="67" t="s">
        <v>372</v>
      </c>
      <c r="J76" s="102"/>
    </row>
    <row r="77" spans="1:14" x14ac:dyDescent="0.3">
      <c r="A77" s="629"/>
      <c r="B77" s="629"/>
      <c r="C77" s="109"/>
      <c r="D77" s="109"/>
      <c r="E77" s="110"/>
      <c r="F77" s="110"/>
      <c r="G77" s="62" t="s">
        <v>369</v>
      </c>
      <c r="H77" s="52"/>
      <c r="I77" s="52"/>
      <c r="J77" s="69" t="s">
        <v>7</v>
      </c>
    </row>
    <row r="78" spans="1:14" x14ac:dyDescent="0.3">
      <c r="A78" s="629"/>
      <c r="B78" s="629"/>
      <c r="C78" s="109"/>
      <c r="D78" s="109"/>
      <c r="E78" s="110"/>
      <c r="F78" s="110"/>
      <c r="G78" s="62" t="s">
        <v>370</v>
      </c>
      <c r="H78" s="52"/>
      <c r="I78" s="54"/>
      <c r="J78" s="70" t="s">
        <v>42</v>
      </c>
    </row>
    <row r="79" spans="1:14" x14ac:dyDescent="0.3">
      <c r="A79" s="629"/>
      <c r="B79" s="629"/>
      <c r="C79" s="109"/>
      <c r="D79" s="109"/>
      <c r="E79" s="110"/>
      <c r="F79" s="110"/>
      <c r="G79" s="71" t="s">
        <v>371</v>
      </c>
      <c r="H79" s="52"/>
      <c r="I79" s="52"/>
      <c r="J79" s="72" t="s">
        <v>373</v>
      </c>
    </row>
    <row r="80" spans="1:1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3">
      <c r="A81" s="629">
        <v>5</v>
      </c>
      <c r="B81" s="629"/>
      <c r="C81" s="624" t="s">
        <v>359</v>
      </c>
      <c r="D81" s="626"/>
      <c r="E81" s="94" t="s">
        <v>375</v>
      </c>
      <c r="F81" s="94" t="s">
        <v>376</v>
      </c>
      <c r="G81" s="94" t="s">
        <v>16</v>
      </c>
      <c r="H81" s="94" t="s">
        <v>360</v>
      </c>
      <c r="I81" s="94" t="s">
        <v>361</v>
      </c>
      <c r="J81" s="94" t="s">
        <v>36</v>
      </c>
    </row>
    <row r="82" spans="1:14" ht="21" customHeight="1" x14ac:dyDescent="0.3">
      <c r="A82" s="629"/>
      <c r="B82" s="629"/>
      <c r="C82" s="622" t="s">
        <v>28</v>
      </c>
      <c r="D82" s="623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618"/>
      <c r="N82" s="619"/>
    </row>
    <row r="83" spans="1:14" ht="25.5" customHeight="1" x14ac:dyDescent="0.3">
      <c r="A83" s="629"/>
      <c r="B83" s="629"/>
      <c r="C83" s="622" t="s">
        <v>28</v>
      </c>
      <c r="D83" s="623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386</v>
      </c>
      <c r="M83" s="620"/>
      <c r="N83" s="620"/>
    </row>
    <row r="84" spans="1:14" ht="18.75" customHeight="1" x14ac:dyDescent="0.3">
      <c r="A84" s="629"/>
      <c r="B84" s="629"/>
      <c r="C84" s="622" t="s">
        <v>28</v>
      </c>
      <c r="D84" s="623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387</v>
      </c>
      <c r="M84" s="621"/>
      <c r="N84" s="621"/>
    </row>
    <row r="85" spans="1:14" ht="20.25" customHeight="1" x14ac:dyDescent="0.3">
      <c r="A85" s="629"/>
      <c r="B85" s="629"/>
      <c r="C85" s="622" t="s">
        <v>28</v>
      </c>
      <c r="D85" s="623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3">
      <c r="A86" s="629"/>
      <c r="B86" s="629"/>
      <c r="C86" s="622" t="s">
        <v>28</v>
      </c>
      <c r="D86" s="623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3">
      <c r="A87" s="629"/>
      <c r="B87" s="629"/>
      <c r="C87" s="622" t="s">
        <v>28</v>
      </c>
      <c r="D87" s="623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3">
      <c r="A88" s="629"/>
      <c r="B88" s="629"/>
      <c r="C88" s="622" t="s">
        <v>28</v>
      </c>
      <c r="D88" s="623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3">
      <c r="A89" s="629"/>
      <c r="B89" s="629"/>
      <c r="C89" s="95" t="s">
        <v>377</v>
      </c>
      <c r="D89" s="570" t="s">
        <v>79</v>
      </c>
      <c r="E89" s="90">
        <f>'10 g'!$R$24</f>
        <v>200</v>
      </c>
      <c r="F89" s="106">
        <f>'10 g'!$R$24+'10 g'!$R$25</f>
        <v>200.00001599999999</v>
      </c>
      <c r="G89" s="101" t="s">
        <v>378</v>
      </c>
      <c r="H89" s="101" t="s">
        <v>379</v>
      </c>
      <c r="I89" s="101" t="s">
        <v>380</v>
      </c>
      <c r="J89" s="101" t="s">
        <v>381</v>
      </c>
    </row>
    <row r="90" spans="1:14" ht="19.5" customHeight="1" x14ac:dyDescent="0.3">
      <c r="A90" s="629"/>
      <c r="B90" s="629"/>
      <c r="C90" s="624" t="s">
        <v>362</v>
      </c>
      <c r="D90" s="625"/>
      <c r="E90" s="56">
        <v>0</v>
      </c>
      <c r="F90" s="57" t="s">
        <v>32</v>
      </c>
      <c r="G90" s="539" t="s">
        <v>205</v>
      </c>
      <c r="H90" s="539" t="s">
        <v>91</v>
      </c>
      <c r="I90" s="627" t="s">
        <v>736</v>
      </c>
      <c r="J90" s="627"/>
    </row>
    <row r="91" spans="1:14" ht="15" x14ac:dyDescent="0.3">
      <c r="A91" s="629"/>
      <c r="B91" s="629"/>
      <c r="C91" s="98" t="s">
        <v>363</v>
      </c>
      <c r="D91" s="89" t="s">
        <v>364</v>
      </c>
      <c r="E91" s="89" t="s">
        <v>365</v>
      </c>
      <c r="F91" s="89" t="s">
        <v>366</v>
      </c>
      <c r="G91" s="97" t="s">
        <v>383</v>
      </c>
      <c r="H91" s="97" t="s">
        <v>385</v>
      </c>
      <c r="I91" s="97" t="s">
        <v>382</v>
      </c>
      <c r="J91" s="97" t="s">
        <v>384</v>
      </c>
    </row>
    <row r="92" spans="1:14" x14ac:dyDescent="0.3">
      <c r="A92" s="629"/>
      <c r="B92" s="629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>
        <f>'10 g'!$C$17</f>
        <v>100</v>
      </c>
      <c r="I92" s="61">
        <f>'10 g'!$C$24</f>
        <v>0.1</v>
      </c>
      <c r="J92" s="61">
        <f>'10 g'!$C$29</f>
        <v>0.1</v>
      </c>
    </row>
    <row r="93" spans="1:14" x14ac:dyDescent="0.3">
      <c r="A93" s="629"/>
      <c r="B93" s="629"/>
      <c r="C93" s="107"/>
      <c r="D93" s="107"/>
      <c r="E93" s="108"/>
      <c r="F93" s="108"/>
      <c r="G93" s="66" t="s">
        <v>367</v>
      </c>
      <c r="H93" s="67" t="s">
        <v>368</v>
      </c>
      <c r="I93" s="67" t="s">
        <v>372</v>
      </c>
      <c r="J93" s="102"/>
    </row>
    <row r="94" spans="1:14" x14ac:dyDescent="0.3">
      <c r="A94" s="629"/>
      <c r="B94" s="629"/>
      <c r="C94" s="107"/>
      <c r="D94" s="107"/>
      <c r="E94" s="108"/>
      <c r="F94" s="108"/>
      <c r="G94" s="62" t="s">
        <v>369</v>
      </c>
      <c r="H94" s="52"/>
      <c r="I94" s="52"/>
      <c r="J94" s="69" t="s">
        <v>7</v>
      </c>
    </row>
    <row r="95" spans="1:14" x14ac:dyDescent="0.3">
      <c r="A95" s="629"/>
      <c r="B95" s="629"/>
      <c r="C95" s="107"/>
      <c r="D95" s="107"/>
      <c r="E95" s="108"/>
      <c r="F95" s="108"/>
      <c r="G95" s="62" t="s">
        <v>370</v>
      </c>
      <c r="H95" s="52"/>
      <c r="I95" s="54"/>
      <c r="J95" s="70" t="s">
        <v>42</v>
      </c>
    </row>
    <row r="96" spans="1:14" x14ac:dyDescent="0.3">
      <c r="A96" s="629"/>
      <c r="B96" s="629"/>
      <c r="C96" s="107"/>
      <c r="D96" s="107"/>
      <c r="E96" s="108"/>
      <c r="F96" s="108"/>
      <c r="G96" s="71" t="s">
        <v>371</v>
      </c>
      <c r="H96" s="52"/>
      <c r="I96" s="52"/>
      <c r="J96" s="72" t="s">
        <v>373</v>
      </c>
    </row>
    <row r="97" spans="1:1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3">
      <c r="A98" s="629">
        <v>6</v>
      </c>
      <c r="B98" s="629"/>
      <c r="C98" s="624" t="s">
        <v>359</v>
      </c>
      <c r="D98" s="626"/>
      <c r="E98" s="94" t="s">
        <v>375</v>
      </c>
      <c r="F98" s="94" t="s">
        <v>376</v>
      </c>
      <c r="G98" s="94" t="s">
        <v>16</v>
      </c>
      <c r="H98" s="94" t="s">
        <v>360</v>
      </c>
      <c r="I98" s="94" t="s">
        <v>361</v>
      </c>
      <c r="J98" s="94" t="s">
        <v>36</v>
      </c>
    </row>
    <row r="99" spans="1:14" ht="23.25" customHeight="1" x14ac:dyDescent="0.3">
      <c r="A99" s="629"/>
      <c r="B99" s="629"/>
      <c r="C99" s="622" t="s">
        <v>28</v>
      </c>
      <c r="D99" s="623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618"/>
      <c r="N99" s="619"/>
    </row>
    <row r="100" spans="1:14" ht="21" customHeight="1" x14ac:dyDescent="0.3">
      <c r="A100" s="629"/>
      <c r="B100" s="629"/>
      <c r="C100" s="622" t="s">
        <v>28</v>
      </c>
      <c r="D100" s="623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386</v>
      </c>
      <c r="M100" s="620"/>
      <c r="N100" s="620"/>
    </row>
    <row r="101" spans="1:14" ht="19.5" customHeight="1" x14ac:dyDescent="0.3">
      <c r="A101" s="629"/>
      <c r="B101" s="629"/>
      <c r="C101" s="622" t="s">
        <v>28</v>
      </c>
      <c r="D101" s="623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387</v>
      </c>
      <c r="M101" s="621"/>
      <c r="N101" s="621"/>
    </row>
    <row r="102" spans="1:14" ht="22.5" customHeight="1" x14ac:dyDescent="0.3">
      <c r="A102" s="629"/>
      <c r="B102" s="629"/>
      <c r="C102" s="622" t="s">
        <v>28</v>
      </c>
      <c r="D102" s="623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3">
      <c r="A103" s="629"/>
      <c r="B103" s="629"/>
      <c r="C103" s="622" t="s">
        <v>28</v>
      </c>
      <c r="D103" s="623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3">
      <c r="A104" s="629"/>
      <c r="B104" s="629"/>
      <c r="C104" s="622" t="s">
        <v>28</v>
      </c>
      <c r="D104" s="623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3">
      <c r="A105" s="629"/>
      <c r="B105" s="629"/>
      <c r="C105" s="622" t="s">
        <v>28</v>
      </c>
      <c r="D105" s="623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3">
      <c r="A106" s="629"/>
      <c r="B106" s="629"/>
      <c r="C106" s="95" t="s">
        <v>377</v>
      </c>
      <c r="D106" s="570" t="s">
        <v>79</v>
      </c>
      <c r="E106" s="90">
        <f>'20 g'!$R$24</f>
        <v>200</v>
      </c>
      <c r="F106" s="91">
        <f>'20 g'!$R$24+'20 g'!$R$25</f>
        <v>200.00001599999999</v>
      </c>
      <c r="G106" s="101" t="s">
        <v>378</v>
      </c>
      <c r="H106" s="101" t="s">
        <v>379</v>
      </c>
      <c r="I106" s="101" t="s">
        <v>380</v>
      </c>
      <c r="J106" s="101" t="s">
        <v>381</v>
      </c>
    </row>
    <row r="107" spans="1:14" ht="18.75" customHeight="1" x14ac:dyDescent="0.3">
      <c r="A107" s="629"/>
      <c r="B107" s="629"/>
      <c r="C107" s="624" t="s">
        <v>362</v>
      </c>
      <c r="D107" s="625"/>
      <c r="E107" s="56">
        <v>0</v>
      </c>
      <c r="F107" s="57" t="s">
        <v>32</v>
      </c>
      <c r="G107" s="539" t="s">
        <v>205</v>
      </c>
      <c r="H107" s="539" t="s">
        <v>91</v>
      </c>
      <c r="I107" s="627" t="s">
        <v>736</v>
      </c>
      <c r="J107" s="627"/>
    </row>
    <row r="108" spans="1:14" ht="15" x14ac:dyDescent="0.3">
      <c r="A108" s="629"/>
      <c r="B108" s="629"/>
      <c r="C108" s="98" t="s">
        <v>363</v>
      </c>
      <c r="D108" s="89" t="s">
        <v>364</v>
      </c>
      <c r="E108" s="89" t="s">
        <v>365</v>
      </c>
      <c r="F108" s="89" t="s">
        <v>366</v>
      </c>
      <c r="G108" s="97" t="s">
        <v>383</v>
      </c>
      <c r="H108" s="97" t="s">
        <v>385</v>
      </c>
      <c r="I108" s="97" t="s">
        <v>382</v>
      </c>
      <c r="J108" s="97" t="s">
        <v>384</v>
      </c>
    </row>
    <row r="109" spans="1:14" x14ac:dyDescent="0.3">
      <c r="A109" s="629"/>
      <c r="B109" s="629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>
        <f>'20 g'!$C$17</f>
        <v>100</v>
      </c>
      <c r="I109" s="61">
        <f>'20 g'!$C$24</f>
        <v>0.1</v>
      </c>
      <c r="J109" s="61">
        <f>'20 g'!$C$29</f>
        <v>0.1</v>
      </c>
    </row>
    <row r="110" spans="1:14" x14ac:dyDescent="0.3">
      <c r="A110" s="629"/>
      <c r="B110" s="629"/>
      <c r="C110" s="107"/>
      <c r="D110" s="107"/>
      <c r="E110" s="108"/>
      <c r="F110" s="108"/>
      <c r="G110" s="66" t="s">
        <v>367</v>
      </c>
      <c r="H110" s="67" t="s">
        <v>368</v>
      </c>
      <c r="I110" s="67" t="s">
        <v>372</v>
      </c>
      <c r="J110" s="102"/>
    </row>
    <row r="111" spans="1:14" x14ac:dyDescent="0.3">
      <c r="A111" s="629"/>
      <c r="B111" s="629"/>
      <c r="C111" s="107"/>
      <c r="D111" s="107"/>
      <c r="E111" s="108"/>
      <c r="F111" s="108"/>
      <c r="G111" s="62" t="s">
        <v>369</v>
      </c>
      <c r="H111" s="52"/>
      <c r="I111" s="52"/>
      <c r="J111" s="69" t="s">
        <v>7</v>
      </c>
    </row>
    <row r="112" spans="1:14" x14ac:dyDescent="0.3">
      <c r="A112" s="629"/>
      <c r="B112" s="629"/>
      <c r="C112" s="107"/>
      <c r="D112" s="107"/>
      <c r="E112" s="108"/>
      <c r="F112" s="108"/>
      <c r="G112" s="62" t="s">
        <v>370</v>
      </c>
      <c r="H112" s="52"/>
      <c r="I112" s="54"/>
      <c r="J112" s="70" t="s">
        <v>42</v>
      </c>
    </row>
    <row r="113" spans="1:14" x14ac:dyDescent="0.3">
      <c r="A113" s="629"/>
      <c r="B113" s="629"/>
      <c r="C113" s="107"/>
      <c r="D113" s="107"/>
      <c r="E113" s="108"/>
      <c r="F113" s="108"/>
      <c r="G113" s="71" t="s">
        <v>371</v>
      </c>
      <c r="H113" s="52"/>
      <c r="I113" s="52"/>
      <c r="J113" s="72" t="s">
        <v>373</v>
      </c>
    </row>
    <row r="114" spans="1:14" x14ac:dyDescent="0.3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3">
      <c r="A115" s="629">
        <v>7</v>
      </c>
      <c r="B115" s="629"/>
      <c r="C115" s="624" t="s">
        <v>359</v>
      </c>
      <c r="D115" s="626"/>
      <c r="E115" s="94" t="s">
        <v>375</v>
      </c>
      <c r="F115" s="94" t="s">
        <v>376</v>
      </c>
      <c r="G115" s="94" t="s">
        <v>16</v>
      </c>
      <c r="H115" s="94" t="s">
        <v>360</v>
      </c>
      <c r="I115" s="94" t="s">
        <v>361</v>
      </c>
      <c r="J115" s="94" t="s">
        <v>36</v>
      </c>
    </row>
    <row r="116" spans="1:14" ht="19.5" customHeight="1" x14ac:dyDescent="0.3">
      <c r="A116" s="629"/>
      <c r="B116" s="629"/>
      <c r="C116" s="622" t="s">
        <v>28</v>
      </c>
      <c r="D116" s="623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618"/>
      <c r="N116" s="619"/>
    </row>
    <row r="117" spans="1:14" ht="21.75" customHeight="1" x14ac:dyDescent="0.3">
      <c r="A117" s="629"/>
      <c r="B117" s="629"/>
      <c r="C117" s="622" t="s">
        <v>28</v>
      </c>
      <c r="D117" s="623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386</v>
      </c>
      <c r="M117" s="620"/>
      <c r="N117" s="620"/>
    </row>
    <row r="118" spans="1:14" ht="17.25" customHeight="1" x14ac:dyDescent="0.3">
      <c r="A118" s="629"/>
      <c r="B118" s="629"/>
      <c r="C118" s="622" t="s">
        <v>28</v>
      </c>
      <c r="D118" s="623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387</v>
      </c>
      <c r="M118" s="621"/>
      <c r="N118" s="621"/>
    </row>
    <row r="119" spans="1:14" ht="16.5" customHeight="1" x14ac:dyDescent="0.3">
      <c r="A119" s="629"/>
      <c r="B119" s="629"/>
      <c r="C119" s="622" t="s">
        <v>28</v>
      </c>
      <c r="D119" s="623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3">
      <c r="A120" s="629"/>
      <c r="B120" s="629"/>
      <c r="C120" s="622" t="s">
        <v>28</v>
      </c>
      <c r="D120" s="623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3">
      <c r="A121" s="629"/>
      <c r="B121" s="629"/>
      <c r="C121" s="622" t="s">
        <v>28</v>
      </c>
      <c r="D121" s="623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3">
      <c r="A122" s="629"/>
      <c r="B122" s="629"/>
      <c r="C122" s="622" t="s">
        <v>28</v>
      </c>
      <c r="D122" s="623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3">
      <c r="A123" s="629"/>
      <c r="B123" s="629"/>
      <c r="C123" s="95" t="s">
        <v>377</v>
      </c>
      <c r="D123" s="570" t="s">
        <v>79</v>
      </c>
      <c r="E123" s="90">
        <f>'20 g,'!$R$24</f>
        <v>200</v>
      </c>
      <c r="F123" s="91">
        <f>'20 g,'!$R$24+'20 g,'!$R$25</f>
        <v>200.00001599999999</v>
      </c>
      <c r="G123" s="101" t="s">
        <v>378</v>
      </c>
      <c r="H123" s="101" t="s">
        <v>379</v>
      </c>
      <c r="I123" s="101" t="s">
        <v>380</v>
      </c>
      <c r="J123" s="101" t="s">
        <v>381</v>
      </c>
    </row>
    <row r="124" spans="1:14" ht="24" customHeight="1" x14ac:dyDescent="0.3">
      <c r="A124" s="629"/>
      <c r="B124" s="629"/>
      <c r="C124" s="624" t="s">
        <v>362</v>
      </c>
      <c r="D124" s="625"/>
      <c r="E124" s="56">
        <v>0</v>
      </c>
      <c r="F124" s="57" t="s">
        <v>32</v>
      </c>
      <c r="G124" s="539" t="s">
        <v>205</v>
      </c>
      <c r="H124" s="539" t="s">
        <v>91</v>
      </c>
      <c r="I124" s="627" t="s">
        <v>736</v>
      </c>
      <c r="J124" s="627"/>
    </row>
    <row r="125" spans="1:14" ht="22.5" customHeight="1" x14ac:dyDescent="0.3">
      <c r="A125" s="629"/>
      <c r="B125" s="629"/>
      <c r="C125" s="98" t="s">
        <v>363</v>
      </c>
      <c r="D125" s="89" t="s">
        <v>364</v>
      </c>
      <c r="E125" s="89" t="s">
        <v>365</v>
      </c>
      <c r="F125" s="89" t="s">
        <v>366</v>
      </c>
      <c r="G125" s="97" t="s">
        <v>383</v>
      </c>
      <c r="H125" s="97" t="s">
        <v>385</v>
      </c>
      <c r="I125" s="97" t="s">
        <v>382</v>
      </c>
      <c r="J125" s="97" t="s">
        <v>384</v>
      </c>
    </row>
    <row r="126" spans="1:14" ht="21.75" customHeight="1" x14ac:dyDescent="0.3">
      <c r="A126" s="629"/>
      <c r="B126" s="629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>
        <f>'20 g,'!$C$17</f>
        <v>100</v>
      </c>
      <c r="I126" s="61">
        <f>'20 g,'!$C$24</f>
        <v>0.1</v>
      </c>
      <c r="J126" s="61">
        <f>'20 g,'!$C$29</f>
        <v>0.1</v>
      </c>
    </row>
    <row r="127" spans="1:14" ht="18" customHeight="1" x14ac:dyDescent="0.3">
      <c r="A127" s="629"/>
      <c r="B127" s="629"/>
      <c r="C127" s="107"/>
      <c r="D127" s="107"/>
      <c r="E127" s="108"/>
      <c r="F127" s="108"/>
      <c r="G127" s="66" t="s">
        <v>367</v>
      </c>
      <c r="H127" s="67" t="s">
        <v>368</v>
      </c>
      <c r="I127" s="67" t="s">
        <v>372</v>
      </c>
      <c r="J127" s="102"/>
    </row>
    <row r="128" spans="1:14" x14ac:dyDescent="0.3">
      <c r="A128" s="629"/>
      <c r="B128" s="629"/>
      <c r="C128" s="107"/>
      <c r="D128" s="107"/>
      <c r="E128" s="108"/>
      <c r="F128" s="108"/>
      <c r="G128" s="62" t="s">
        <v>369</v>
      </c>
      <c r="H128" s="52"/>
      <c r="I128" s="52"/>
      <c r="J128" s="69" t="s">
        <v>7</v>
      </c>
    </row>
    <row r="129" spans="1:14" x14ac:dyDescent="0.3">
      <c r="A129" s="629"/>
      <c r="B129" s="629"/>
      <c r="C129" s="107"/>
      <c r="D129" s="107"/>
      <c r="E129" s="108"/>
      <c r="F129" s="108"/>
      <c r="G129" s="62" t="s">
        <v>370</v>
      </c>
      <c r="H129" s="77"/>
      <c r="I129" s="54"/>
      <c r="J129" s="70" t="s">
        <v>42</v>
      </c>
    </row>
    <row r="130" spans="1:14" x14ac:dyDescent="0.3">
      <c r="A130" s="629"/>
      <c r="B130" s="629"/>
      <c r="C130" s="107"/>
      <c r="D130" s="107"/>
      <c r="E130" s="108"/>
      <c r="F130" s="108"/>
      <c r="G130" s="71" t="s">
        <v>371</v>
      </c>
      <c r="H130" s="52"/>
      <c r="I130" s="52"/>
      <c r="J130" s="72" t="s">
        <v>373</v>
      </c>
    </row>
    <row r="131" spans="1:1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3">
      <c r="A132" s="629">
        <v>8</v>
      </c>
      <c r="B132" s="629"/>
      <c r="C132" s="624" t="s">
        <v>359</v>
      </c>
      <c r="D132" s="626"/>
      <c r="E132" s="94" t="s">
        <v>375</v>
      </c>
      <c r="F132" s="94" t="s">
        <v>376</v>
      </c>
      <c r="G132" s="94" t="s">
        <v>16</v>
      </c>
      <c r="H132" s="94" t="s">
        <v>360</v>
      </c>
      <c r="I132" s="94" t="s">
        <v>361</v>
      </c>
      <c r="J132" s="94" t="s">
        <v>36</v>
      </c>
    </row>
    <row r="133" spans="1:14" ht="24" customHeight="1" x14ac:dyDescent="0.3">
      <c r="A133" s="629"/>
      <c r="B133" s="629"/>
      <c r="C133" s="622" t="s">
        <v>28</v>
      </c>
      <c r="D133" s="623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618"/>
      <c r="N133" s="619"/>
    </row>
    <row r="134" spans="1:14" ht="22.5" customHeight="1" x14ac:dyDescent="0.3">
      <c r="A134" s="629"/>
      <c r="B134" s="629"/>
      <c r="C134" s="622" t="s">
        <v>28</v>
      </c>
      <c r="D134" s="623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386</v>
      </c>
      <c r="M134" s="620"/>
      <c r="N134" s="620"/>
    </row>
    <row r="135" spans="1:14" ht="18.75" customHeight="1" x14ac:dyDescent="0.3">
      <c r="A135" s="629"/>
      <c r="B135" s="629"/>
      <c r="C135" s="622" t="s">
        <v>28</v>
      </c>
      <c r="D135" s="623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387</v>
      </c>
      <c r="M135" s="621"/>
      <c r="N135" s="621"/>
    </row>
    <row r="136" spans="1:14" ht="21.75" customHeight="1" x14ac:dyDescent="0.3">
      <c r="A136" s="629"/>
      <c r="B136" s="629"/>
      <c r="C136" s="622" t="s">
        <v>28</v>
      </c>
      <c r="D136" s="623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3">
      <c r="A137" s="629"/>
      <c r="B137" s="629"/>
      <c r="C137" s="622" t="s">
        <v>28</v>
      </c>
      <c r="D137" s="623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3">
      <c r="A138" s="629"/>
      <c r="B138" s="629"/>
      <c r="C138" s="622" t="s">
        <v>28</v>
      </c>
      <c r="D138" s="623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3">
      <c r="A139" s="629"/>
      <c r="B139" s="629"/>
      <c r="C139" s="622" t="s">
        <v>28</v>
      </c>
      <c r="D139" s="623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3">
      <c r="A140" s="629"/>
      <c r="B140" s="629"/>
      <c r="C140" s="95" t="s">
        <v>377</v>
      </c>
      <c r="D140" s="570" t="s">
        <v>79</v>
      </c>
      <c r="E140" s="90">
        <f>'50 g'!$R$24</f>
        <v>200</v>
      </c>
      <c r="F140" s="106">
        <f>'50 g'!$R$24+'50 g'!$R$25</f>
        <v>200.00001599999999</v>
      </c>
      <c r="G140" s="101" t="s">
        <v>378</v>
      </c>
      <c r="H140" s="101" t="s">
        <v>379</v>
      </c>
      <c r="I140" s="101" t="s">
        <v>380</v>
      </c>
      <c r="J140" s="101" t="s">
        <v>381</v>
      </c>
    </row>
    <row r="141" spans="1:14" ht="20.25" customHeight="1" x14ac:dyDescent="0.3">
      <c r="A141" s="629"/>
      <c r="B141" s="629"/>
      <c r="C141" s="624" t="s">
        <v>362</v>
      </c>
      <c r="D141" s="625"/>
      <c r="E141" s="56">
        <v>0</v>
      </c>
      <c r="F141" s="57" t="s">
        <v>32</v>
      </c>
      <c r="G141" s="539" t="s">
        <v>205</v>
      </c>
      <c r="H141" s="539" t="s">
        <v>91</v>
      </c>
      <c r="I141" s="627" t="s">
        <v>736</v>
      </c>
      <c r="J141" s="627"/>
    </row>
    <row r="142" spans="1:14" ht="15" x14ac:dyDescent="0.3">
      <c r="A142" s="629"/>
      <c r="B142" s="629"/>
      <c r="C142" s="98" t="s">
        <v>363</v>
      </c>
      <c r="D142" s="89" t="s">
        <v>364</v>
      </c>
      <c r="E142" s="89" t="s">
        <v>365</v>
      </c>
      <c r="F142" s="89" t="s">
        <v>366</v>
      </c>
      <c r="G142" s="97" t="s">
        <v>383</v>
      </c>
      <c r="H142" s="97" t="s">
        <v>385</v>
      </c>
      <c r="I142" s="97" t="s">
        <v>382</v>
      </c>
      <c r="J142" s="97" t="s">
        <v>384</v>
      </c>
    </row>
    <row r="143" spans="1:14" x14ac:dyDescent="0.3">
      <c r="A143" s="629"/>
      <c r="B143" s="629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>
        <f>'50 g'!$C$17</f>
        <v>100</v>
      </c>
      <c r="I143" s="61">
        <f>'50 g'!$C$24</f>
        <v>0.1</v>
      </c>
      <c r="J143" s="61">
        <f>'50 g'!$C$29</f>
        <v>0.1</v>
      </c>
    </row>
    <row r="144" spans="1:14" x14ac:dyDescent="0.3">
      <c r="A144" s="629"/>
      <c r="B144" s="629"/>
      <c r="C144" s="107"/>
      <c r="D144" s="107"/>
      <c r="E144" s="108"/>
      <c r="F144" s="108"/>
      <c r="G144" s="66" t="s">
        <v>367</v>
      </c>
      <c r="H144" s="67" t="s">
        <v>368</v>
      </c>
      <c r="I144" s="67" t="s">
        <v>372</v>
      </c>
      <c r="J144" s="102"/>
    </row>
    <row r="145" spans="1:14" x14ac:dyDescent="0.3">
      <c r="A145" s="629"/>
      <c r="B145" s="629"/>
      <c r="C145" s="107"/>
      <c r="D145" s="107"/>
      <c r="E145" s="108"/>
      <c r="F145" s="108"/>
      <c r="G145" s="62" t="s">
        <v>369</v>
      </c>
      <c r="H145" s="52"/>
      <c r="I145" s="52"/>
      <c r="J145" s="69" t="s">
        <v>7</v>
      </c>
    </row>
    <row r="146" spans="1:14" x14ac:dyDescent="0.3">
      <c r="A146" s="629"/>
      <c r="B146" s="629"/>
      <c r="C146" s="107"/>
      <c r="D146" s="107"/>
      <c r="E146" s="108"/>
      <c r="F146" s="108"/>
      <c r="G146" s="62" t="s">
        <v>370</v>
      </c>
      <c r="H146" s="52"/>
      <c r="I146" s="54"/>
      <c r="J146" s="70" t="s">
        <v>42</v>
      </c>
    </row>
    <row r="147" spans="1:14" x14ac:dyDescent="0.3">
      <c r="A147" s="629"/>
      <c r="B147" s="629"/>
      <c r="C147" s="107"/>
      <c r="D147" s="107"/>
      <c r="E147" s="108"/>
      <c r="F147" s="108"/>
      <c r="G147" s="71" t="s">
        <v>371</v>
      </c>
      <c r="H147" s="52"/>
      <c r="I147" s="52"/>
      <c r="J147" s="72" t="s">
        <v>373</v>
      </c>
    </row>
    <row r="148" spans="1:1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3">
      <c r="A149" s="629">
        <v>9</v>
      </c>
      <c r="B149" s="629"/>
      <c r="C149" s="624" t="s">
        <v>359</v>
      </c>
      <c r="D149" s="626"/>
      <c r="E149" s="94" t="s">
        <v>375</v>
      </c>
      <c r="F149" s="94" t="s">
        <v>376</v>
      </c>
      <c r="G149" s="94" t="s">
        <v>16</v>
      </c>
      <c r="H149" s="94" t="s">
        <v>360</v>
      </c>
      <c r="I149" s="94" t="s">
        <v>361</v>
      </c>
      <c r="J149" s="94" t="s">
        <v>36</v>
      </c>
    </row>
    <row r="150" spans="1:14" ht="21.75" customHeight="1" x14ac:dyDescent="0.3">
      <c r="A150" s="629"/>
      <c r="B150" s="629"/>
      <c r="C150" s="622" t="s">
        <v>28</v>
      </c>
      <c r="D150" s="623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618"/>
      <c r="N150" s="619"/>
    </row>
    <row r="151" spans="1:14" ht="24" customHeight="1" x14ac:dyDescent="0.3">
      <c r="A151" s="629"/>
      <c r="B151" s="629"/>
      <c r="C151" s="622" t="s">
        <v>28</v>
      </c>
      <c r="D151" s="623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386</v>
      </c>
      <c r="M151" s="620"/>
      <c r="N151" s="620"/>
    </row>
    <row r="152" spans="1:14" ht="15.75" customHeight="1" x14ac:dyDescent="0.3">
      <c r="A152" s="629"/>
      <c r="B152" s="629"/>
      <c r="C152" s="622" t="s">
        <v>28</v>
      </c>
      <c r="D152" s="623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387</v>
      </c>
      <c r="M152" s="621"/>
      <c r="N152" s="621"/>
    </row>
    <row r="153" spans="1:14" ht="19.5" customHeight="1" x14ac:dyDescent="0.3">
      <c r="A153" s="629"/>
      <c r="B153" s="629"/>
      <c r="C153" s="622" t="s">
        <v>28</v>
      </c>
      <c r="D153" s="623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3">
      <c r="A154" s="629"/>
      <c r="B154" s="629"/>
      <c r="C154" s="622" t="s">
        <v>28</v>
      </c>
      <c r="D154" s="623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3">
      <c r="A155" s="629"/>
      <c r="B155" s="629"/>
      <c r="C155" s="622" t="s">
        <v>28</v>
      </c>
      <c r="D155" s="623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3">
      <c r="A156" s="629"/>
      <c r="B156" s="629"/>
      <c r="C156" s="622" t="s">
        <v>28</v>
      </c>
      <c r="D156" s="623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3">
      <c r="A157" s="629"/>
      <c r="B157" s="629"/>
      <c r="C157" s="95" t="s">
        <v>377</v>
      </c>
      <c r="D157" s="570" t="s">
        <v>79</v>
      </c>
      <c r="E157" s="90">
        <f>'100 g'!$R$24</f>
        <v>200</v>
      </c>
      <c r="F157" s="91">
        <f>'100 g'!$R$24+'100 g'!$R$25</f>
        <v>200.00001599999999</v>
      </c>
      <c r="G157" s="101" t="s">
        <v>378</v>
      </c>
      <c r="H157" s="101" t="s">
        <v>379</v>
      </c>
      <c r="I157" s="101" t="s">
        <v>380</v>
      </c>
      <c r="J157" s="101" t="s">
        <v>381</v>
      </c>
    </row>
    <row r="158" spans="1:14" ht="27" customHeight="1" x14ac:dyDescent="0.3">
      <c r="A158" s="629"/>
      <c r="B158" s="629"/>
      <c r="C158" s="624" t="s">
        <v>362</v>
      </c>
      <c r="D158" s="625"/>
      <c r="E158" s="56">
        <v>0</v>
      </c>
      <c r="F158" s="57" t="s">
        <v>32</v>
      </c>
      <c r="G158" s="539" t="s">
        <v>205</v>
      </c>
      <c r="H158" s="539" t="s">
        <v>91</v>
      </c>
      <c r="I158" s="627" t="s">
        <v>736</v>
      </c>
      <c r="J158" s="627"/>
    </row>
    <row r="159" spans="1:14" ht="15" x14ac:dyDescent="0.3">
      <c r="A159" s="629"/>
      <c r="B159" s="629"/>
      <c r="C159" s="98" t="s">
        <v>363</v>
      </c>
      <c r="D159" s="89" t="s">
        <v>364</v>
      </c>
      <c r="E159" s="89" t="s">
        <v>365</v>
      </c>
      <c r="F159" s="89" t="s">
        <v>366</v>
      </c>
      <c r="G159" s="97" t="s">
        <v>383</v>
      </c>
      <c r="H159" s="97" t="s">
        <v>385</v>
      </c>
      <c r="I159" s="97" t="s">
        <v>382</v>
      </c>
      <c r="J159" s="97" t="s">
        <v>384</v>
      </c>
    </row>
    <row r="160" spans="1:14" x14ac:dyDescent="0.3">
      <c r="A160" s="629"/>
      <c r="B160" s="629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>
        <f>'100 g'!$C$17</f>
        <v>100</v>
      </c>
      <c r="I160" s="61">
        <f>'100 g'!$C$24</f>
        <v>0.1</v>
      </c>
      <c r="J160" s="61">
        <f>'100 g'!$C$29</f>
        <v>0.1</v>
      </c>
    </row>
    <row r="161" spans="1:14" x14ac:dyDescent="0.3">
      <c r="A161" s="629"/>
      <c r="B161" s="629"/>
      <c r="C161" s="107"/>
      <c r="D161" s="107"/>
      <c r="E161" s="108"/>
      <c r="F161" s="108"/>
      <c r="G161" s="66" t="s">
        <v>367</v>
      </c>
      <c r="H161" s="67" t="s">
        <v>368</v>
      </c>
      <c r="I161" s="67" t="s">
        <v>372</v>
      </c>
      <c r="J161" s="102"/>
    </row>
    <row r="162" spans="1:14" x14ac:dyDescent="0.3">
      <c r="A162" s="629"/>
      <c r="B162" s="629"/>
      <c r="C162" s="107"/>
      <c r="D162" s="107"/>
      <c r="E162" s="108"/>
      <c r="F162" s="108"/>
      <c r="G162" s="62" t="s">
        <v>369</v>
      </c>
      <c r="H162" s="52"/>
      <c r="I162" s="52"/>
      <c r="J162" s="69" t="s">
        <v>7</v>
      </c>
    </row>
    <row r="163" spans="1:14" x14ac:dyDescent="0.3">
      <c r="A163" s="629"/>
      <c r="B163" s="629"/>
      <c r="C163" s="107"/>
      <c r="D163" s="107"/>
      <c r="E163" s="108"/>
      <c r="F163" s="108"/>
      <c r="G163" s="62" t="s">
        <v>370</v>
      </c>
      <c r="H163" s="52"/>
      <c r="I163" s="54"/>
      <c r="J163" s="70" t="s">
        <v>42</v>
      </c>
    </row>
    <row r="164" spans="1:14" x14ac:dyDescent="0.3">
      <c r="A164" s="629"/>
      <c r="B164" s="629"/>
      <c r="C164" s="107"/>
      <c r="D164" s="107"/>
      <c r="E164" s="108"/>
      <c r="F164" s="108"/>
      <c r="G164" s="71" t="s">
        <v>371</v>
      </c>
      <c r="H164" s="52"/>
      <c r="I164" s="52"/>
      <c r="J164" s="72" t="s">
        <v>373</v>
      </c>
    </row>
    <row r="165" spans="1:1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3">
      <c r="A166" s="629">
        <v>10</v>
      </c>
      <c r="B166" s="629"/>
      <c r="C166" s="624" t="s">
        <v>359</v>
      </c>
      <c r="D166" s="626"/>
      <c r="E166" s="94" t="s">
        <v>375</v>
      </c>
      <c r="F166" s="94" t="s">
        <v>376</v>
      </c>
      <c r="G166" s="94" t="s">
        <v>16</v>
      </c>
      <c r="H166" s="94" t="s">
        <v>360</v>
      </c>
      <c r="I166" s="94" t="s">
        <v>361</v>
      </c>
      <c r="J166" s="94" t="s">
        <v>36</v>
      </c>
    </row>
    <row r="167" spans="1:14" ht="22.5" customHeight="1" x14ac:dyDescent="0.3">
      <c r="A167" s="629"/>
      <c r="B167" s="629"/>
      <c r="C167" s="622" t="s">
        <v>28</v>
      </c>
      <c r="D167" s="623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618"/>
      <c r="N167" s="619"/>
    </row>
    <row r="168" spans="1:14" ht="23.25" customHeight="1" x14ac:dyDescent="0.3">
      <c r="A168" s="629"/>
      <c r="B168" s="629"/>
      <c r="C168" s="622" t="s">
        <v>28</v>
      </c>
      <c r="D168" s="623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386</v>
      </c>
      <c r="M168" s="620"/>
      <c r="N168" s="620"/>
    </row>
    <row r="169" spans="1:14" ht="17.25" customHeight="1" x14ac:dyDescent="0.3">
      <c r="A169" s="629"/>
      <c r="B169" s="629"/>
      <c r="C169" s="622" t="s">
        <v>28</v>
      </c>
      <c r="D169" s="623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387</v>
      </c>
      <c r="M169" s="621"/>
      <c r="N169" s="621"/>
    </row>
    <row r="170" spans="1:14" ht="20.25" customHeight="1" x14ac:dyDescent="0.3">
      <c r="A170" s="629"/>
      <c r="B170" s="629"/>
      <c r="C170" s="622" t="s">
        <v>28</v>
      </c>
      <c r="D170" s="623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3">
      <c r="A171" s="629"/>
      <c r="B171" s="629"/>
      <c r="C171" s="622" t="s">
        <v>28</v>
      </c>
      <c r="D171" s="623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3">
      <c r="A172" s="629"/>
      <c r="B172" s="629"/>
      <c r="C172" s="622" t="s">
        <v>28</v>
      </c>
      <c r="D172" s="623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3">
      <c r="A173" s="629"/>
      <c r="B173" s="629"/>
      <c r="C173" s="622" t="s">
        <v>28</v>
      </c>
      <c r="D173" s="623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3">
      <c r="A174" s="629"/>
      <c r="B174" s="629"/>
      <c r="C174" s="95" t="s">
        <v>377</v>
      </c>
      <c r="D174" s="570" t="s">
        <v>79</v>
      </c>
      <c r="E174" s="90">
        <f>'200 g'!$R$24</f>
        <v>200</v>
      </c>
      <c r="F174" s="91">
        <f>'200 g'!$R$24+'200 g'!$R$25</f>
        <v>200.00001599999999</v>
      </c>
      <c r="G174" s="101" t="s">
        <v>378</v>
      </c>
      <c r="H174" s="101" t="s">
        <v>379</v>
      </c>
      <c r="I174" s="101" t="s">
        <v>380</v>
      </c>
      <c r="J174" s="101" t="s">
        <v>381</v>
      </c>
    </row>
    <row r="175" spans="1:14" ht="27" customHeight="1" x14ac:dyDescent="0.3">
      <c r="A175" s="629"/>
      <c r="B175" s="629"/>
      <c r="C175" s="624" t="s">
        <v>362</v>
      </c>
      <c r="D175" s="625"/>
      <c r="E175" s="56">
        <v>0</v>
      </c>
      <c r="F175" s="57" t="s">
        <v>779</v>
      </c>
      <c r="G175" s="539" t="s">
        <v>205</v>
      </c>
      <c r="H175" s="539" t="s">
        <v>91</v>
      </c>
      <c r="I175" s="627" t="s">
        <v>736</v>
      </c>
      <c r="J175" s="627"/>
    </row>
    <row r="176" spans="1:14" ht="15" x14ac:dyDescent="0.3">
      <c r="A176" s="629"/>
      <c r="B176" s="629"/>
      <c r="C176" s="98" t="s">
        <v>363</v>
      </c>
      <c r="D176" s="89" t="s">
        <v>364</v>
      </c>
      <c r="E176" s="89" t="s">
        <v>365</v>
      </c>
      <c r="F176" s="89" t="s">
        <v>366</v>
      </c>
      <c r="G176" s="97" t="s">
        <v>383</v>
      </c>
      <c r="H176" s="97" t="s">
        <v>385</v>
      </c>
      <c r="I176" s="97" t="s">
        <v>382</v>
      </c>
      <c r="J176" s="97" t="s">
        <v>384</v>
      </c>
    </row>
    <row r="177" spans="1:14" x14ac:dyDescent="0.3">
      <c r="A177" s="629"/>
      <c r="B177" s="629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>
        <f>'200 g'!$C$17</f>
        <v>100</v>
      </c>
      <c r="I177" s="61">
        <f>'200 g'!$C$24</f>
        <v>0.1</v>
      </c>
      <c r="J177" s="61">
        <f>'200 g'!$C$29</f>
        <v>0.1</v>
      </c>
    </row>
    <row r="178" spans="1:14" x14ac:dyDescent="0.3">
      <c r="A178" s="629"/>
      <c r="B178" s="629"/>
      <c r="C178" s="111"/>
      <c r="D178" s="111"/>
      <c r="E178" s="112"/>
      <c r="F178" s="112"/>
      <c r="G178" s="66" t="s">
        <v>367</v>
      </c>
      <c r="H178" s="67" t="s">
        <v>368</v>
      </c>
      <c r="I178" s="67" t="s">
        <v>372</v>
      </c>
      <c r="J178" s="102"/>
    </row>
    <row r="179" spans="1:14" x14ac:dyDescent="0.3">
      <c r="A179" s="629"/>
      <c r="B179" s="629"/>
      <c r="C179" s="111"/>
      <c r="D179" s="111"/>
      <c r="E179" s="112"/>
      <c r="F179" s="112"/>
      <c r="G179" s="62" t="s">
        <v>369</v>
      </c>
      <c r="H179" s="52"/>
      <c r="I179" s="52"/>
      <c r="J179" s="69" t="s">
        <v>7</v>
      </c>
    </row>
    <row r="180" spans="1:14" x14ac:dyDescent="0.3">
      <c r="A180" s="629"/>
      <c r="B180" s="629"/>
      <c r="C180" s="111"/>
      <c r="D180" s="111"/>
      <c r="E180" s="112"/>
      <c r="F180" s="112"/>
      <c r="G180" s="62" t="s">
        <v>370</v>
      </c>
      <c r="H180" s="52"/>
      <c r="I180" s="54"/>
      <c r="J180" s="70" t="s">
        <v>42</v>
      </c>
    </row>
    <row r="181" spans="1:14" x14ac:dyDescent="0.3">
      <c r="A181" s="629"/>
      <c r="B181" s="629"/>
      <c r="C181" s="111"/>
      <c r="D181" s="111"/>
      <c r="E181" s="112"/>
      <c r="F181" s="112"/>
      <c r="G181" s="71" t="s">
        <v>371</v>
      </c>
      <c r="H181" s="52"/>
      <c r="I181" s="53"/>
      <c r="J181" s="72" t="s">
        <v>373</v>
      </c>
    </row>
    <row r="182" spans="1:14" x14ac:dyDescent="0.3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3">
      <c r="A183" s="629">
        <v>11</v>
      </c>
      <c r="B183" s="629"/>
      <c r="C183" s="624" t="s">
        <v>359</v>
      </c>
      <c r="D183" s="626"/>
      <c r="E183" s="94" t="s">
        <v>375</v>
      </c>
      <c r="F183" s="94" t="s">
        <v>376</v>
      </c>
      <c r="G183" s="94" t="s">
        <v>16</v>
      </c>
      <c r="H183" s="94" t="s">
        <v>360</v>
      </c>
      <c r="I183" s="94" t="s">
        <v>361</v>
      </c>
      <c r="J183" s="94" t="s">
        <v>36</v>
      </c>
    </row>
    <row r="184" spans="1:14" ht="19.5" customHeight="1" x14ac:dyDescent="0.3">
      <c r="A184" s="629"/>
      <c r="B184" s="629"/>
      <c r="C184" s="622" t="s">
        <v>28</v>
      </c>
      <c r="D184" s="623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618"/>
      <c r="N184" s="619"/>
    </row>
    <row r="185" spans="1:14" ht="20.25" customHeight="1" x14ac:dyDescent="0.3">
      <c r="A185" s="629"/>
      <c r="B185" s="629"/>
      <c r="C185" s="622" t="s">
        <v>28</v>
      </c>
      <c r="D185" s="623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386</v>
      </c>
      <c r="M185" s="620"/>
      <c r="N185" s="620"/>
    </row>
    <row r="186" spans="1:14" ht="19.5" customHeight="1" x14ac:dyDescent="0.3">
      <c r="A186" s="629"/>
      <c r="B186" s="629"/>
      <c r="C186" s="622" t="s">
        <v>28</v>
      </c>
      <c r="D186" s="623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387</v>
      </c>
      <c r="M186" s="621"/>
      <c r="N186" s="621"/>
    </row>
    <row r="187" spans="1:14" ht="18" customHeight="1" x14ac:dyDescent="0.3">
      <c r="A187" s="629"/>
      <c r="B187" s="629"/>
      <c r="C187" s="622" t="s">
        <v>28</v>
      </c>
      <c r="D187" s="623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3">
      <c r="A188" s="629"/>
      <c r="B188" s="629"/>
      <c r="C188" s="622" t="s">
        <v>28</v>
      </c>
      <c r="D188" s="623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3">
      <c r="A189" s="629"/>
      <c r="B189" s="629"/>
      <c r="C189" s="622" t="s">
        <v>28</v>
      </c>
      <c r="D189" s="623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3">
      <c r="A190" s="629"/>
      <c r="B190" s="629"/>
      <c r="C190" s="622" t="s">
        <v>28</v>
      </c>
      <c r="D190" s="623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3">
      <c r="A191" s="629"/>
      <c r="B191" s="629"/>
      <c r="C191" s="95" t="s">
        <v>377</v>
      </c>
      <c r="D191" s="570" t="s">
        <v>79</v>
      </c>
      <c r="E191" s="90">
        <f>'200 g.'!$R$24</f>
        <v>200</v>
      </c>
      <c r="F191" s="91">
        <f>'200 g.'!$R$24+'200 g.'!$R$25</f>
        <v>200.00001599999999</v>
      </c>
      <c r="G191" s="101" t="s">
        <v>378</v>
      </c>
      <c r="H191" s="101" t="s">
        <v>379</v>
      </c>
      <c r="I191" s="101" t="s">
        <v>380</v>
      </c>
      <c r="J191" s="101" t="s">
        <v>381</v>
      </c>
    </row>
    <row r="192" spans="1:14" ht="21" customHeight="1" x14ac:dyDescent="0.3">
      <c r="A192" s="629"/>
      <c r="B192" s="629"/>
      <c r="C192" s="624" t="s">
        <v>362</v>
      </c>
      <c r="D192" s="625"/>
      <c r="E192" s="56">
        <v>0</v>
      </c>
      <c r="F192" s="57" t="s">
        <v>779</v>
      </c>
      <c r="G192" s="539" t="s">
        <v>205</v>
      </c>
      <c r="H192" s="539" t="s">
        <v>91</v>
      </c>
      <c r="I192" s="627" t="s">
        <v>736</v>
      </c>
      <c r="J192" s="627"/>
    </row>
    <row r="193" spans="1:14" ht="15" customHeight="1" x14ac:dyDescent="0.3">
      <c r="A193" s="629"/>
      <c r="B193" s="629"/>
      <c r="C193" s="98" t="s">
        <v>363</v>
      </c>
      <c r="D193" s="89" t="s">
        <v>364</v>
      </c>
      <c r="E193" s="89" t="s">
        <v>365</v>
      </c>
      <c r="F193" s="89" t="s">
        <v>366</v>
      </c>
      <c r="G193" s="97" t="s">
        <v>383</v>
      </c>
      <c r="H193" s="97" t="s">
        <v>385</v>
      </c>
      <c r="I193" s="97" t="s">
        <v>382</v>
      </c>
      <c r="J193" s="97" t="s">
        <v>384</v>
      </c>
    </row>
    <row r="194" spans="1:14" x14ac:dyDescent="0.3">
      <c r="A194" s="629"/>
      <c r="B194" s="629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>
        <f>'200 g.'!$C$17</f>
        <v>100</v>
      </c>
      <c r="I194" s="61">
        <f>'200 g.'!$C$24</f>
        <v>0.1</v>
      </c>
      <c r="J194" s="61">
        <f>'200 g.'!$C$29</f>
        <v>0.1</v>
      </c>
    </row>
    <row r="195" spans="1:14" x14ac:dyDescent="0.3">
      <c r="A195" s="629"/>
      <c r="B195" s="629"/>
      <c r="C195" s="111"/>
      <c r="D195" s="111"/>
      <c r="E195" s="112"/>
      <c r="F195" s="112"/>
      <c r="G195" s="66" t="s">
        <v>367</v>
      </c>
      <c r="H195" s="67" t="s">
        <v>368</v>
      </c>
      <c r="I195" s="67" t="s">
        <v>372</v>
      </c>
      <c r="J195" s="102"/>
    </row>
    <row r="196" spans="1:14" x14ac:dyDescent="0.3">
      <c r="A196" s="629"/>
      <c r="B196" s="629"/>
      <c r="C196" s="111"/>
      <c r="D196" s="111"/>
      <c r="E196" s="112"/>
      <c r="F196" s="112"/>
      <c r="G196" s="62" t="s">
        <v>369</v>
      </c>
      <c r="H196" s="52"/>
      <c r="I196" s="52"/>
      <c r="J196" s="69" t="s">
        <v>7</v>
      </c>
    </row>
    <row r="197" spans="1:14" x14ac:dyDescent="0.3">
      <c r="A197" s="629"/>
      <c r="B197" s="629"/>
      <c r="C197" s="111"/>
      <c r="D197" s="111"/>
      <c r="E197" s="112"/>
      <c r="F197" s="112"/>
      <c r="G197" s="62" t="s">
        <v>370</v>
      </c>
      <c r="H197" s="52"/>
      <c r="I197" s="54"/>
      <c r="J197" s="70" t="s">
        <v>42</v>
      </c>
    </row>
    <row r="198" spans="1:14" x14ac:dyDescent="0.3">
      <c r="A198" s="629"/>
      <c r="B198" s="629"/>
      <c r="C198" s="111"/>
      <c r="D198" s="111"/>
      <c r="E198" s="112"/>
      <c r="F198" s="112"/>
      <c r="G198" s="71" t="s">
        <v>371</v>
      </c>
      <c r="H198" s="52"/>
      <c r="I198" s="52"/>
      <c r="J198" s="72" t="s">
        <v>373</v>
      </c>
    </row>
    <row r="199" spans="1:14" x14ac:dyDescent="0.3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3">
      <c r="A200" s="629">
        <v>12</v>
      </c>
      <c r="B200" s="629"/>
      <c r="C200" s="624" t="s">
        <v>359</v>
      </c>
      <c r="D200" s="626"/>
      <c r="E200" s="94" t="s">
        <v>375</v>
      </c>
      <c r="F200" s="94" t="s">
        <v>376</v>
      </c>
      <c r="G200" s="94" t="s">
        <v>16</v>
      </c>
      <c r="H200" s="94" t="s">
        <v>360</v>
      </c>
      <c r="I200" s="94" t="s">
        <v>361</v>
      </c>
      <c r="J200" s="94" t="s">
        <v>36</v>
      </c>
    </row>
    <row r="201" spans="1:14" ht="24.75" customHeight="1" x14ac:dyDescent="0.3">
      <c r="A201" s="629"/>
      <c r="B201" s="629"/>
      <c r="C201" s="622" t="s">
        <v>28</v>
      </c>
      <c r="D201" s="623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618"/>
      <c r="N201" s="619"/>
    </row>
    <row r="202" spans="1:14" ht="27" customHeight="1" x14ac:dyDescent="0.3">
      <c r="A202" s="629"/>
      <c r="B202" s="629"/>
      <c r="C202" s="622" t="s">
        <v>28</v>
      </c>
      <c r="D202" s="623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386</v>
      </c>
      <c r="M202" s="620"/>
      <c r="N202" s="620"/>
    </row>
    <row r="203" spans="1:14" ht="18.75" customHeight="1" x14ac:dyDescent="0.3">
      <c r="A203" s="629"/>
      <c r="B203" s="629"/>
      <c r="C203" s="622" t="s">
        <v>28</v>
      </c>
      <c r="D203" s="623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387</v>
      </c>
      <c r="M203" s="621"/>
      <c r="N203" s="621"/>
    </row>
    <row r="204" spans="1:14" ht="20.25" customHeight="1" x14ac:dyDescent="0.3">
      <c r="A204" s="629"/>
      <c r="B204" s="629"/>
      <c r="C204" s="622" t="s">
        <v>28</v>
      </c>
      <c r="D204" s="623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3">
      <c r="A205" s="629"/>
      <c r="B205" s="629"/>
      <c r="C205" s="622" t="s">
        <v>28</v>
      </c>
      <c r="D205" s="623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3">
      <c r="A206" s="629"/>
      <c r="B206" s="629"/>
      <c r="C206" s="622" t="s">
        <v>28</v>
      </c>
      <c r="D206" s="623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3">
      <c r="A207" s="629"/>
      <c r="B207" s="629"/>
      <c r="C207" s="622" t="s">
        <v>28</v>
      </c>
      <c r="D207" s="623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3">
      <c r="A208" s="629"/>
      <c r="B208" s="629"/>
      <c r="C208" s="95" t="s">
        <v>377</v>
      </c>
      <c r="D208" s="570" t="s">
        <v>79</v>
      </c>
      <c r="E208" s="90">
        <f>'500 g'!$R$24</f>
        <v>200</v>
      </c>
      <c r="F208" s="91">
        <f>'500 g'!$R$24+'500 g'!$R$25</f>
        <v>200.00001599999999</v>
      </c>
      <c r="G208" s="101" t="s">
        <v>378</v>
      </c>
      <c r="H208" s="101" t="s">
        <v>379</v>
      </c>
      <c r="I208" s="101" t="s">
        <v>380</v>
      </c>
      <c r="J208" s="101" t="s">
        <v>381</v>
      </c>
    </row>
    <row r="209" spans="1:14" ht="22.5" customHeight="1" x14ac:dyDescent="0.3">
      <c r="A209" s="629"/>
      <c r="B209" s="629"/>
      <c r="C209" s="624" t="s">
        <v>362</v>
      </c>
      <c r="D209" s="625"/>
      <c r="E209" s="56">
        <v>0</v>
      </c>
      <c r="F209" s="57" t="s">
        <v>779</v>
      </c>
      <c r="G209" s="539" t="s">
        <v>205</v>
      </c>
      <c r="H209" s="539" t="s">
        <v>91</v>
      </c>
      <c r="I209" s="627" t="s">
        <v>736</v>
      </c>
      <c r="J209" s="627"/>
    </row>
    <row r="210" spans="1:14" ht="15" x14ac:dyDescent="0.3">
      <c r="A210" s="629"/>
      <c r="B210" s="629"/>
      <c r="C210" s="98" t="s">
        <v>363</v>
      </c>
      <c r="D210" s="89" t="s">
        <v>364</v>
      </c>
      <c r="E210" s="89" t="s">
        <v>365</v>
      </c>
      <c r="F210" s="89" t="s">
        <v>366</v>
      </c>
      <c r="G210" s="97" t="s">
        <v>383</v>
      </c>
      <c r="H210" s="97" t="s">
        <v>385</v>
      </c>
      <c r="I210" s="97" t="s">
        <v>382</v>
      </c>
      <c r="J210" s="97" t="s">
        <v>384</v>
      </c>
    </row>
    <row r="211" spans="1:14" x14ac:dyDescent="0.3">
      <c r="A211" s="629"/>
      <c r="B211" s="629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>
        <f>'500 g'!$C$17</f>
        <v>100</v>
      </c>
      <c r="I211" s="61">
        <f>'500 g'!$C$24</f>
        <v>0.1</v>
      </c>
      <c r="J211" s="61">
        <f>'500 g'!$C$29</f>
        <v>0.1</v>
      </c>
    </row>
    <row r="212" spans="1:14" x14ac:dyDescent="0.3">
      <c r="A212" s="629"/>
      <c r="B212" s="629"/>
      <c r="C212" s="111"/>
      <c r="D212" s="111"/>
      <c r="E212" s="112"/>
      <c r="F212" s="112"/>
      <c r="G212" s="66" t="s">
        <v>367</v>
      </c>
      <c r="H212" s="67" t="s">
        <v>368</v>
      </c>
      <c r="I212" s="67" t="s">
        <v>372</v>
      </c>
      <c r="J212" s="102"/>
    </row>
    <row r="213" spans="1:14" x14ac:dyDescent="0.3">
      <c r="A213" s="629"/>
      <c r="B213" s="629"/>
      <c r="C213" s="111"/>
      <c r="D213" s="111"/>
      <c r="E213" s="112"/>
      <c r="F213" s="112"/>
      <c r="G213" s="62" t="s">
        <v>369</v>
      </c>
      <c r="H213" s="52"/>
      <c r="I213" s="52"/>
      <c r="J213" s="69" t="s">
        <v>7</v>
      </c>
    </row>
    <row r="214" spans="1:14" x14ac:dyDescent="0.3">
      <c r="A214" s="629"/>
      <c r="B214" s="629"/>
      <c r="C214" s="111"/>
      <c r="D214" s="111"/>
      <c r="E214" s="112"/>
      <c r="F214" s="112"/>
      <c r="G214" s="62" t="s">
        <v>370</v>
      </c>
      <c r="H214" s="52"/>
      <c r="I214" s="54"/>
      <c r="J214" s="70" t="s">
        <v>42</v>
      </c>
    </row>
    <row r="215" spans="1:14" x14ac:dyDescent="0.3">
      <c r="A215" s="629"/>
      <c r="B215" s="629"/>
      <c r="C215" s="111"/>
      <c r="D215" s="111"/>
      <c r="E215" s="112"/>
      <c r="F215" s="112"/>
      <c r="G215" s="71" t="s">
        <v>371</v>
      </c>
      <c r="H215" s="52"/>
      <c r="I215" s="52"/>
      <c r="J215" s="72" t="s">
        <v>373</v>
      </c>
    </row>
    <row r="216" spans="1:14" x14ac:dyDescent="0.3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3">
      <c r="A217" s="629">
        <v>13</v>
      </c>
      <c r="B217" s="629"/>
      <c r="C217" s="624" t="s">
        <v>359</v>
      </c>
      <c r="D217" s="626"/>
      <c r="E217" s="94" t="s">
        <v>375</v>
      </c>
      <c r="F217" s="94" t="s">
        <v>376</v>
      </c>
      <c r="G217" s="94" t="s">
        <v>16</v>
      </c>
      <c r="H217" s="94" t="s">
        <v>360</v>
      </c>
      <c r="I217" s="94" t="s">
        <v>361</v>
      </c>
      <c r="J217" s="94" t="s">
        <v>36</v>
      </c>
    </row>
    <row r="218" spans="1:14" ht="22.5" customHeight="1" x14ac:dyDescent="0.3">
      <c r="A218" s="629"/>
      <c r="B218" s="629"/>
      <c r="C218" s="622" t="s">
        <v>28</v>
      </c>
      <c r="D218" s="623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618"/>
      <c r="N218" s="619"/>
    </row>
    <row r="219" spans="1:14" ht="23.25" customHeight="1" x14ac:dyDescent="0.3">
      <c r="A219" s="629"/>
      <c r="B219" s="629"/>
      <c r="C219" s="622" t="s">
        <v>28</v>
      </c>
      <c r="D219" s="623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386</v>
      </c>
      <c r="M219" s="620"/>
      <c r="N219" s="620"/>
    </row>
    <row r="220" spans="1:14" ht="18.75" customHeight="1" x14ac:dyDescent="0.3">
      <c r="A220" s="629"/>
      <c r="B220" s="629"/>
      <c r="C220" s="622" t="s">
        <v>28</v>
      </c>
      <c r="D220" s="623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387</v>
      </c>
      <c r="M220" s="621"/>
      <c r="N220" s="621"/>
    </row>
    <row r="221" spans="1:14" ht="24" customHeight="1" x14ac:dyDescent="0.3">
      <c r="A221" s="629"/>
      <c r="B221" s="629"/>
      <c r="C221" s="622" t="s">
        <v>28</v>
      </c>
      <c r="D221" s="623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3">
      <c r="A222" s="629"/>
      <c r="B222" s="629"/>
      <c r="C222" s="622" t="s">
        <v>28</v>
      </c>
      <c r="D222" s="623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3">
      <c r="A223" s="629"/>
      <c r="B223" s="629"/>
      <c r="C223" s="622" t="s">
        <v>28</v>
      </c>
      <c r="D223" s="623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3">
      <c r="A224" s="629"/>
      <c r="B224" s="629"/>
      <c r="C224" s="622" t="s">
        <v>28</v>
      </c>
      <c r="D224" s="623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3">
      <c r="A225" s="629"/>
      <c r="B225" s="629"/>
      <c r="C225" s="95" t="s">
        <v>377</v>
      </c>
      <c r="D225" s="570" t="s">
        <v>79</v>
      </c>
      <c r="E225" s="90">
        <f>'1 kg'!$R$24</f>
        <v>200</v>
      </c>
      <c r="F225" s="91">
        <f>'1 kg'!$R$24+'1 kg'!$R$25</f>
        <v>200.00001599999999</v>
      </c>
      <c r="G225" s="96" t="s">
        <v>378</v>
      </c>
      <c r="H225" s="96" t="s">
        <v>379</v>
      </c>
      <c r="I225" s="96" t="s">
        <v>380</v>
      </c>
      <c r="J225" s="96" t="s">
        <v>381</v>
      </c>
    </row>
    <row r="226" spans="1:14" ht="27.75" customHeight="1" x14ac:dyDescent="0.3">
      <c r="A226" s="629"/>
      <c r="B226" s="629"/>
      <c r="C226" s="624" t="s">
        <v>362</v>
      </c>
      <c r="D226" s="625"/>
      <c r="E226" s="56">
        <v>0</v>
      </c>
      <c r="F226" s="57" t="s">
        <v>32</v>
      </c>
      <c r="G226" s="539" t="s">
        <v>205</v>
      </c>
      <c r="H226" s="539" t="s">
        <v>91</v>
      </c>
      <c r="I226" s="627" t="s">
        <v>736</v>
      </c>
      <c r="J226" s="627"/>
    </row>
    <row r="227" spans="1:14" ht="20.25" customHeight="1" x14ac:dyDescent="0.3">
      <c r="A227" s="629"/>
      <c r="B227" s="629"/>
      <c r="C227" s="98" t="s">
        <v>363</v>
      </c>
      <c r="D227" s="89" t="s">
        <v>364</v>
      </c>
      <c r="E227" s="89" t="s">
        <v>365</v>
      </c>
      <c r="F227" s="89" t="s">
        <v>366</v>
      </c>
      <c r="G227" s="97" t="s">
        <v>383</v>
      </c>
      <c r="H227" s="97" t="s">
        <v>385</v>
      </c>
      <c r="I227" s="97" t="s">
        <v>382</v>
      </c>
      <c r="J227" s="97" t="s">
        <v>384</v>
      </c>
    </row>
    <row r="228" spans="1:14" x14ac:dyDescent="0.3">
      <c r="A228" s="629"/>
      <c r="B228" s="629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>
        <f>'1 kg'!$C$17</f>
        <v>100</v>
      </c>
      <c r="I228" s="61">
        <f>'1 kg'!$C$24</f>
        <v>0.1</v>
      </c>
      <c r="J228" s="61">
        <f>'1 kg'!$C$29</f>
        <v>0.1</v>
      </c>
    </row>
    <row r="229" spans="1:14" x14ac:dyDescent="0.3">
      <c r="A229" s="629"/>
      <c r="B229" s="629"/>
      <c r="C229" s="111"/>
      <c r="D229" s="111"/>
      <c r="E229" s="112"/>
      <c r="F229" s="112"/>
      <c r="G229" s="66" t="s">
        <v>367</v>
      </c>
      <c r="H229" s="67" t="s">
        <v>368</v>
      </c>
      <c r="I229" s="67" t="s">
        <v>372</v>
      </c>
      <c r="J229" s="102"/>
    </row>
    <row r="230" spans="1:14" x14ac:dyDescent="0.3">
      <c r="A230" s="629"/>
      <c r="B230" s="629"/>
      <c r="C230" s="111"/>
      <c r="D230" s="111"/>
      <c r="E230" s="112"/>
      <c r="F230" s="112"/>
      <c r="G230" s="62" t="s">
        <v>369</v>
      </c>
      <c r="H230" s="52"/>
      <c r="I230" s="77"/>
      <c r="J230" s="69" t="s">
        <v>7</v>
      </c>
    </row>
    <row r="231" spans="1:14" x14ac:dyDescent="0.3">
      <c r="A231" s="629"/>
      <c r="B231" s="629"/>
      <c r="C231" s="111"/>
      <c r="D231" s="111"/>
      <c r="E231" s="112"/>
      <c r="F231" s="112"/>
      <c r="G231" s="62" t="s">
        <v>370</v>
      </c>
      <c r="H231" s="52"/>
      <c r="I231" s="52"/>
      <c r="J231" s="70" t="s">
        <v>42</v>
      </c>
    </row>
    <row r="232" spans="1:14" x14ac:dyDescent="0.3">
      <c r="A232" s="629"/>
      <c r="B232" s="629"/>
      <c r="C232" s="111"/>
      <c r="D232" s="111"/>
      <c r="E232" s="112"/>
      <c r="F232" s="112"/>
      <c r="G232" s="71" t="s">
        <v>371</v>
      </c>
      <c r="H232" s="52"/>
      <c r="I232" s="52"/>
      <c r="J232" s="72" t="s">
        <v>373</v>
      </c>
    </row>
    <row r="233" spans="1:14" x14ac:dyDescent="0.3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3">
      <c r="A234" s="629">
        <v>14</v>
      </c>
      <c r="B234" s="629"/>
      <c r="C234" s="624" t="s">
        <v>359</v>
      </c>
      <c r="D234" s="626"/>
      <c r="E234" s="94" t="s">
        <v>375</v>
      </c>
      <c r="F234" s="94" t="s">
        <v>376</v>
      </c>
      <c r="G234" s="94" t="s">
        <v>16</v>
      </c>
      <c r="H234" s="94" t="s">
        <v>360</v>
      </c>
      <c r="I234" s="94" t="s">
        <v>361</v>
      </c>
      <c r="J234" s="94" t="s">
        <v>36</v>
      </c>
    </row>
    <row r="235" spans="1:14" ht="24.75" customHeight="1" x14ac:dyDescent="0.3">
      <c r="A235" s="629"/>
      <c r="B235" s="629"/>
      <c r="C235" s="622" t="s">
        <v>28</v>
      </c>
      <c r="D235" s="623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618"/>
      <c r="N235" s="619"/>
    </row>
    <row r="236" spans="1:14" ht="17.25" customHeight="1" x14ac:dyDescent="0.3">
      <c r="A236" s="629"/>
      <c r="B236" s="629"/>
      <c r="C236" s="622" t="s">
        <v>28</v>
      </c>
      <c r="D236" s="623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386</v>
      </c>
      <c r="M236" s="620"/>
      <c r="N236" s="620"/>
    </row>
    <row r="237" spans="1:14" ht="21.75" customHeight="1" x14ac:dyDescent="0.3">
      <c r="A237" s="629"/>
      <c r="B237" s="629"/>
      <c r="C237" s="622" t="s">
        <v>28</v>
      </c>
      <c r="D237" s="623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387</v>
      </c>
      <c r="M237" s="621"/>
      <c r="N237" s="621"/>
    </row>
    <row r="238" spans="1:14" ht="18.75" customHeight="1" x14ac:dyDescent="0.3">
      <c r="A238" s="629"/>
      <c r="B238" s="629"/>
      <c r="C238" s="622" t="s">
        <v>28</v>
      </c>
      <c r="D238" s="623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3">
      <c r="A239" s="629"/>
      <c r="B239" s="629"/>
      <c r="C239" s="622" t="s">
        <v>28</v>
      </c>
      <c r="D239" s="623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3">
      <c r="A240" s="629"/>
      <c r="B240" s="629"/>
      <c r="C240" s="622" t="s">
        <v>28</v>
      </c>
      <c r="D240" s="623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3">
      <c r="A241" s="629"/>
      <c r="B241" s="629"/>
      <c r="C241" s="622" t="s">
        <v>28</v>
      </c>
      <c r="D241" s="623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8" customHeight="1" x14ac:dyDescent="0.3">
      <c r="A242" s="629"/>
      <c r="B242" s="629"/>
      <c r="C242" s="95" t="s">
        <v>377</v>
      </c>
      <c r="D242" s="570" t="s">
        <v>79</v>
      </c>
      <c r="E242" s="90">
        <f>'2 kg'!$R$24</f>
        <v>200</v>
      </c>
      <c r="F242" s="91">
        <f>'2 kg'!$R$24+'2 kg'!$R$25</f>
        <v>200.00001599999999</v>
      </c>
      <c r="G242" s="96" t="s">
        <v>378</v>
      </c>
      <c r="H242" s="96" t="s">
        <v>379</v>
      </c>
      <c r="I242" s="96" t="s">
        <v>380</v>
      </c>
      <c r="J242" s="96" t="s">
        <v>381</v>
      </c>
    </row>
    <row r="243" spans="1:14" ht="21" customHeight="1" x14ac:dyDescent="0.3">
      <c r="A243" s="629"/>
      <c r="B243" s="629"/>
      <c r="C243" s="624" t="s">
        <v>362</v>
      </c>
      <c r="D243" s="625"/>
      <c r="E243" s="56">
        <v>0</v>
      </c>
      <c r="F243" s="57" t="s">
        <v>779</v>
      </c>
      <c r="G243" s="539" t="s">
        <v>205</v>
      </c>
      <c r="H243" s="539" t="s">
        <v>91</v>
      </c>
      <c r="I243" s="627" t="s">
        <v>736</v>
      </c>
      <c r="J243" s="627"/>
    </row>
    <row r="244" spans="1:14" ht="14.25" customHeight="1" x14ac:dyDescent="0.3">
      <c r="A244" s="629"/>
      <c r="B244" s="629"/>
      <c r="C244" s="98" t="s">
        <v>363</v>
      </c>
      <c r="D244" s="89" t="s">
        <v>364</v>
      </c>
      <c r="E244" s="89" t="s">
        <v>365</v>
      </c>
      <c r="F244" s="89" t="s">
        <v>366</v>
      </c>
      <c r="G244" s="97" t="s">
        <v>383</v>
      </c>
      <c r="H244" s="97" t="s">
        <v>385</v>
      </c>
      <c r="I244" s="97" t="s">
        <v>382</v>
      </c>
      <c r="J244" s="97" t="s">
        <v>384</v>
      </c>
    </row>
    <row r="245" spans="1:14" x14ac:dyDescent="0.3">
      <c r="A245" s="629"/>
      <c r="B245" s="629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>
        <f>'2 kg'!$C$17</f>
        <v>100</v>
      </c>
      <c r="I245" s="61">
        <f>'2 kg'!$C$24</f>
        <v>0.1</v>
      </c>
      <c r="J245" s="61">
        <f>'2 kg'!$C$29</f>
        <v>0.1</v>
      </c>
    </row>
    <row r="246" spans="1:14" x14ac:dyDescent="0.3">
      <c r="A246" s="629"/>
      <c r="B246" s="629"/>
      <c r="C246" s="113"/>
      <c r="D246" s="113"/>
      <c r="E246" s="114"/>
      <c r="F246" s="114"/>
      <c r="G246" s="66" t="s">
        <v>367</v>
      </c>
      <c r="H246" s="67" t="s">
        <v>368</v>
      </c>
      <c r="I246" s="67" t="s">
        <v>372</v>
      </c>
      <c r="J246" s="102"/>
    </row>
    <row r="247" spans="1:14" x14ac:dyDescent="0.3">
      <c r="A247" s="629"/>
      <c r="B247" s="629"/>
      <c r="C247" s="113"/>
      <c r="D247" s="113"/>
      <c r="E247" s="114"/>
      <c r="F247" s="114"/>
      <c r="G247" s="62" t="s">
        <v>369</v>
      </c>
      <c r="H247" s="52"/>
      <c r="I247" s="52"/>
      <c r="J247" s="69" t="s">
        <v>7</v>
      </c>
    </row>
    <row r="248" spans="1:14" x14ac:dyDescent="0.3">
      <c r="A248" s="629"/>
      <c r="B248" s="629"/>
      <c r="C248" s="113"/>
      <c r="D248" s="113"/>
      <c r="E248" s="114"/>
      <c r="F248" s="114"/>
      <c r="G248" s="62" t="s">
        <v>370</v>
      </c>
      <c r="H248" s="52"/>
      <c r="I248" s="54"/>
      <c r="J248" s="70" t="s">
        <v>42</v>
      </c>
    </row>
    <row r="249" spans="1:14" x14ac:dyDescent="0.3">
      <c r="A249" s="629"/>
      <c r="B249" s="629"/>
      <c r="C249" s="113"/>
      <c r="D249" s="113"/>
      <c r="E249" s="114"/>
      <c r="F249" s="114"/>
      <c r="G249" s="71" t="s">
        <v>371</v>
      </c>
      <c r="H249" s="52"/>
      <c r="I249" s="52"/>
      <c r="J249" s="72" t="s">
        <v>373</v>
      </c>
    </row>
    <row r="250" spans="1:14" x14ac:dyDescent="0.3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3">
      <c r="A251" s="629">
        <v>15</v>
      </c>
      <c r="B251" s="629"/>
      <c r="C251" s="624" t="s">
        <v>359</v>
      </c>
      <c r="D251" s="626"/>
      <c r="E251" s="94" t="s">
        <v>375</v>
      </c>
      <c r="F251" s="94" t="s">
        <v>376</v>
      </c>
      <c r="G251" s="94" t="s">
        <v>16</v>
      </c>
      <c r="H251" s="94" t="s">
        <v>360</v>
      </c>
      <c r="I251" s="94" t="s">
        <v>361</v>
      </c>
      <c r="J251" s="94" t="s">
        <v>36</v>
      </c>
    </row>
    <row r="252" spans="1:14" ht="22.5" customHeight="1" x14ac:dyDescent="0.3">
      <c r="A252" s="629"/>
      <c r="B252" s="629"/>
      <c r="C252" s="622" t="s">
        <v>28</v>
      </c>
      <c r="D252" s="623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618"/>
      <c r="N252" s="619"/>
    </row>
    <row r="253" spans="1:14" ht="23.25" customHeight="1" x14ac:dyDescent="0.3">
      <c r="A253" s="629"/>
      <c r="B253" s="629"/>
      <c r="C253" s="622" t="s">
        <v>28</v>
      </c>
      <c r="D253" s="623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386</v>
      </c>
      <c r="M253" s="620"/>
      <c r="N253" s="620"/>
    </row>
    <row r="254" spans="1:14" ht="21.75" customHeight="1" x14ac:dyDescent="0.3">
      <c r="A254" s="629"/>
      <c r="B254" s="629"/>
      <c r="C254" s="622" t="s">
        <v>28</v>
      </c>
      <c r="D254" s="623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387</v>
      </c>
      <c r="M254" s="621"/>
      <c r="N254" s="621"/>
    </row>
    <row r="255" spans="1:14" ht="23.25" customHeight="1" x14ac:dyDescent="0.3">
      <c r="A255" s="629"/>
      <c r="B255" s="629"/>
      <c r="C255" s="622" t="s">
        <v>28</v>
      </c>
      <c r="D255" s="623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3">
      <c r="A256" s="629"/>
      <c r="B256" s="629"/>
      <c r="C256" s="622" t="s">
        <v>28</v>
      </c>
      <c r="D256" s="623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3">
      <c r="A257" s="629"/>
      <c r="B257" s="629"/>
      <c r="C257" s="622" t="s">
        <v>28</v>
      </c>
      <c r="D257" s="623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3">
      <c r="A258" s="629"/>
      <c r="B258" s="629"/>
      <c r="C258" s="622" t="s">
        <v>28</v>
      </c>
      <c r="D258" s="623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3">
      <c r="A259" s="629"/>
      <c r="B259" s="629"/>
      <c r="C259" s="95" t="s">
        <v>377</v>
      </c>
      <c r="D259" s="570" t="s">
        <v>79</v>
      </c>
      <c r="E259" s="90">
        <f>'2 kg.'!$R$24</f>
        <v>200</v>
      </c>
      <c r="F259" s="91">
        <f>'2 kg.'!$R$24+'2 kg.'!$R$25</f>
        <v>200.00001599999999</v>
      </c>
      <c r="G259" s="96" t="s">
        <v>378</v>
      </c>
      <c r="H259" s="96" t="s">
        <v>379</v>
      </c>
      <c r="I259" s="96" t="s">
        <v>380</v>
      </c>
      <c r="J259" s="96" t="s">
        <v>381</v>
      </c>
    </row>
    <row r="260" spans="1:14" ht="21.75" customHeight="1" x14ac:dyDescent="0.3">
      <c r="A260" s="629"/>
      <c r="B260" s="629"/>
      <c r="C260" s="624" t="s">
        <v>362</v>
      </c>
      <c r="D260" s="625"/>
      <c r="E260" s="56">
        <v>0</v>
      </c>
      <c r="F260" s="57" t="s">
        <v>779</v>
      </c>
      <c r="G260" s="539" t="s">
        <v>205</v>
      </c>
      <c r="H260" s="539" t="s">
        <v>91</v>
      </c>
      <c r="I260" s="627" t="s">
        <v>736</v>
      </c>
      <c r="J260" s="627"/>
    </row>
    <row r="261" spans="1:14" ht="15" x14ac:dyDescent="0.3">
      <c r="A261" s="629"/>
      <c r="B261" s="629"/>
      <c r="C261" s="98" t="s">
        <v>363</v>
      </c>
      <c r="D261" s="89" t="s">
        <v>364</v>
      </c>
      <c r="E261" s="89" t="s">
        <v>365</v>
      </c>
      <c r="F261" s="89" t="s">
        <v>366</v>
      </c>
      <c r="G261" s="97" t="s">
        <v>383</v>
      </c>
      <c r="H261" s="97" t="s">
        <v>385</v>
      </c>
      <c r="I261" s="97" t="s">
        <v>382</v>
      </c>
      <c r="J261" s="97" t="s">
        <v>384</v>
      </c>
    </row>
    <row r="262" spans="1:14" x14ac:dyDescent="0.3">
      <c r="A262" s="629"/>
      <c r="B262" s="629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>
        <f>'2 kg.'!$C$17</f>
        <v>100</v>
      </c>
      <c r="I262" s="61">
        <f>'2 kg.'!$C$24</f>
        <v>0.1</v>
      </c>
      <c r="J262" s="61">
        <f>'2 kg.'!$C$29</f>
        <v>0.1</v>
      </c>
    </row>
    <row r="263" spans="1:14" x14ac:dyDescent="0.3">
      <c r="A263" s="629"/>
      <c r="B263" s="629"/>
      <c r="C263" s="113"/>
      <c r="D263" s="114"/>
      <c r="E263" s="114"/>
      <c r="F263" s="114"/>
      <c r="G263" s="66" t="s">
        <v>367</v>
      </c>
      <c r="H263" s="67" t="s">
        <v>368</v>
      </c>
      <c r="I263" s="67" t="s">
        <v>372</v>
      </c>
      <c r="J263" s="102"/>
    </row>
    <row r="264" spans="1:14" x14ac:dyDescent="0.3">
      <c r="A264" s="629"/>
      <c r="B264" s="629"/>
      <c r="C264" s="115"/>
      <c r="D264" s="114"/>
      <c r="E264" s="114"/>
      <c r="F264" s="116"/>
      <c r="G264" s="62" t="s">
        <v>369</v>
      </c>
      <c r="H264" s="52"/>
      <c r="I264" s="52"/>
      <c r="J264" s="69" t="s">
        <v>7</v>
      </c>
    </row>
    <row r="265" spans="1:14" x14ac:dyDescent="0.3">
      <c r="A265" s="629"/>
      <c r="B265" s="629"/>
      <c r="C265" s="115"/>
      <c r="D265" s="114"/>
      <c r="E265" s="114"/>
      <c r="F265" s="116"/>
      <c r="G265" s="62" t="s">
        <v>370</v>
      </c>
      <c r="H265" s="52"/>
      <c r="I265" s="54"/>
      <c r="J265" s="70" t="s">
        <v>42</v>
      </c>
    </row>
    <row r="266" spans="1:14" x14ac:dyDescent="0.3">
      <c r="A266" s="629"/>
      <c r="B266" s="629"/>
      <c r="C266" s="113"/>
      <c r="D266" s="114"/>
      <c r="E266" s="114"/>
      <c r="F266" s="114"/>
      <c r="G266" s="71" t="s">
        <v>371</v>
      </c>
      <c r="H266" s="52"/>
      <c r="I266" s="52"/>
      <c r="J266" s="72" t="s">
        <v>373</v>
      </c>
    </row>
    <row r="267" spans="1:14" x14ac:dyDescent="0.3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3">
      <c r="A268" s="629">
        <v>16</v>
      </c>
      <c r="B268" s="629"/>
      <c r="C268" s="624" t="s">
        <v>359</v>
      </c>
      <c r="D268" s="626"/>
      <c r="E268" s="94" t="s">
        <v>375</v>
      </c>
      <c r="F268" s="94" t="s">
        <v>376</v>
      </c>
      <c r="G268" s="94" t="s">
        <v>16</v>
      </c>
      <c r="H268" s="94" t="s">
        <v>360</v>
      </c>
      <c r="I268" s="94" t="s">
        <v>361</v>
      </c>
      <c r="J268" s="94" t="s">
        <v>36</v>
      </c>
    </row>
    <row r="269" spans="1:14" ht="23.25" customHeight="1" x14ac:dyDescent="0.3">
      <c r="A269" s="629"/>
      <c r="B269" s="629"/>
      <c r="C269" s="622" t="s">
        <v>28</v>
      </c>
      <c r="D269" s="623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618"/>
      <c r="N269" s="619"/>
    </row>
    <row r="270" spans="1:14" ht="18.75" customHeight="1" x14ac:dyDescent="0.3">
      <c r="A270" s="629"/>
      <c r="B270" s="629"/>
      <c r="C270" s="622" t="s">
        <v>28</v>
      </c>
      <c r="D270" s="623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386</v>
      </c>
      <c r="M270" s="620"/>
      <c r="N270" s="620"/>
    </row>
    <row r="271" spans="1:14" ht="21.6" customHeight="1" x14ac:dyDescent="0.3">
      <c r="A271" s="629"/>
      <c r="B271" s="629"/>
      <c r="C271" s="622" t="s">
        <v>28</v>
      </c>
      <c r="D271" s="623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387</v>
      </c>
      <c r="M271" s="621"/>
      <c r="N271" s="621"/>
    </row>
    <row r="272" spans="1:14" ht="20.25" customHeight="1" x14ac:dyDescent="0.3">
      <c r="A272" s="629"/>
      <c r="B272" s="629"/>
      <c r="C272" s="622" t="s">
        <v>28</v>
      </c>
      <c r="D272" s="623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3">
      <c r="A273" s="629"/>
      <c r="B273" s="629"/>
      <c r="C273" s="622" t="s">
        <v>28</v>
      </c>
      <c r="D273" s="623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3">
      <c r="A274" s="629"/>
      <c r="B274" s="629"/>
      <c r="C274" s="622" t="s">
        <v>28</v>
      </c>
      <c r="D274" s="623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3">
      <c r="A275" s="629"/>
      <c r="B275" s="629"/>
      <c r="C275" s="622" t="s">
        <v>28</v>
      </c>
      <c r="D275" s="623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3">
      <c r="A276" s="629"/>
      <c r="B276" s="629"/>
      <c r="C276" s="95" t="s">
        <v>377</v>
      </c>
      <c r="D276" s="570" t="s">
        <v>79</v>
      </c>
      <c r="E276" s="90">
        <f>'5 kg'!$R$24</f>
        <v>200</v>
      </c>
      <c r="F276" s="91">
        <f>'5 kg'!$R$24+'5 kg'!$R$25</f>
        <v>200.00001599999999</v>
      </c>
      <c r="G276" s="96" t="s">
        <v>378</v>
      </c>
      <c r="H276" s="96" t="s">
        <v>379</v>
      </c>
      <c r="I276" s="96" t="s">
        <v>380</v>
      </c>
      <c r="J276" s="96" t="s">
        <v>381</v>
      </c>
    </row>
    <row r="277" spans="1:14" ht="26.25" customHeight="1" x14ac:dyDescent="0.3">
      <c r="A277" s="629"/>
      <c r="B277" s="629"/>
      <c r="C277" s="624" t="s">
        <v>362</v>
      </c>
      <c r="D277" s="625"/>
      <c r="E277" s="56">
        <v>0</v>
      </c>
      <c r="F277" s="57" t="s">
        <v>779</v>
      </c>
      <c r="G277" s="539" t="s">
        <v>205</v>
      </c>
      <c r="H277" s="539" t="s">
        <v>91</v>
      </c>
      <c r="I277" s="627" t="s">
        <v>736</v>
      </c>
      <c r="J277" s="627"/>
    </row>
    <row r="278" spans="1:14" ht="14.25" customHeight="1" x14ac:dyDescent="0.3">
      <c r="A278" s="629"/>
      <c r="B278" s="629"/>
      <c r="C278" s="98" t="s">
        <v>363</v>
      </c>
      <c r="D278" s="89" t="s">
        <v>364</v>
      </c>
      <c r="E278" s="89" t="s">
        <v>365</v>
      </c>
      <c r="F278" s="89" t="s">
        <v>366</v>
      </c>
      <c r="G278" s="97" t="s">
        <v>383</v>
      </c>
      <c r="H278" s="97" t="s">
        <v>385</v>
      </c>
      <c r="I278" s="97" t="s">
        <v>382</v>
      </c>
      <c r="J278" s="97" t="s">
        <v>384</v>
      </c>
    </row>
    <row r="279" spans="1:14" x14ac:dyDescent="0.3">
      <c r="A279" s="629"/>
      <c r="B279" s="629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>
        <f>'5 kg'!$C$17</f>
        <v>100</v>
      </c>
      <c r="I279" s="61">
        <f>'5 kg'!$C$24</f>
        <v>0.1</v>
      </c>
      <c r="J279" s="61">
        <f>'5 kg'!$C$29</f>
        <v>0.1</v>
      </c>
    </row>
    <row r="280" spans="1:14" x14ac:dyDescent="0.3">
      <c r="A280" s="629"/>
      <c r="B280" s="629"/>
      <c r="C280" s="113"/>
      <c r="D280" s="113"/>
      <c r="E280" s="114"/>
      <c r="F280" s="114"/>
      <c r="G280" s="66" t="s">
        <v>367</v>
      </c>
      <c r="H280" s="67" t="s">
        <v>368</v>
      </c>
      <c r="I280" s="67" t="s">
        <v>372</v>
      </c>
      <c r="J280" s="102"/>
    </row>
    <row r="281" spans="1:14" x14ac:dyDescent="0.3">
      <c r="A281" s="629"/>
      <c r="B281" s="629"/>
      <c r="C281" s="113"/>
      <c r="D281" s="113"/>
      <c r="E281" s="114"/>
      <c r="F281" s="114"/>
      <c r="G281" s="62" t="s">
        <v>369</v>
      </c>
      <c r="H281" s="77"/>
      <c r="I281" s="52"/>
      <c r="J281" s="69" t="s">
        <v>7</v>
      </c>
    </row>
    <row r="282" spans="1:14" x14ac:dyDescent="0.3">
      <c r="A282" s="629"/>
      <c r="B282" s="629"/>
      <c r="C282" s="113"/>
      <c r="D282" s="113"/>
      <c r="E282" s="114"/>
      <c r="F282" s="114"/>
      <c r="G282" s="62" t="s">
        <v>370</v>
      </c>
      <c r="H282" s="52"/>
      <c r="I282" s="54"/>
      <c r="J282" s="70" t="s">
        <v>42</v>
      </c>
    </row>
    <row r="283" spans="1:14" x14ac:dyDescent="0.3">
      <c r="A283" s="629"/>
      <c r="B283" s="629"/>
      <c r="C283" s="113"/>
      <c r="D283" s="113"/>
      <c r="E283" s="114"/>
      <c r="F283" s="114"/>
      <c r="G283" s="71" t="s">
        <v>371</v>
      </c>
      <c r="H283" s="52"/>
      <c r="I283" s="52"/>
      <c r="J283" s="72" t="s">
        <v>373</v>
      </c>
    </row>
    <row r="284" spans="1:14" x14ac:dyDescent="0.3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3">
      <c r="A285" s="629">
        <v>17</v>
      </c>
      <c r="B285" s="629"/>
      <c r="C285" s="624" t="s">
        <v>359</v>
      </c>
      <c r="D285" s="626"/>
      <c r="E285" s="94" t="s">
        <v>375</v>
      </c>
      <c r="F285" s="94" t="s">
        <v>376</v>
      </c>
      <c r="G285" s="94" t="s">
        <v>16</v>
      </c>
      <c r="H285" s="94" t="s">
        <v>360</v>
      </c>
      <c r="I285" s="94" t="s">
        <v>361</v>
      </c>
      <c r="J285" s="94" t="s">
        <v>36</v>
      </c>
    </row>
    <row r="286" spans="1:14" ht="24" customHeight="1" x14ac:dyDescent="0.3">
      <c r="A286" s="629"/>
      <c r="B286" s="629"/>
      <c r="C286" s="622" t="s">
        <v>28</v>
      </c>
      <c r="D286" s="623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618"/>
      <c r="N286" s="619"/>
    </row>
    <row r="287" spans="1:14" ht="21.75" customHeight="1" x14ac:dyDescent="0.3">
      <c r="A287" s="629"/>
      <c r="B287" s="629"/>
      <c r="C287" s="622" t="s">
        <v>28</v>
      </c>
      <c r="D287" s="623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386</v>
      </c>
      <c r="M287" s="620"/>
      <c r="N287" s="620"/>
    </row>
    <row r="288" spans="1:14" ht="21.75" customHeight="1" x14ac:dyDescent="0.3">
      <c r="A288" s="629"/>
      <c r="B288" s="629"/>
      <c r="C288" s="622" t="s">
        <v>28</v>
      </c>
      <c r="D288" s="623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387</v>
      </c>
      <c r="M288" s="621"/>
      <c r="N288" s="621"/>
    </row>
    <row r="289" spans="1:14" ht="23.25" customHeight="1" x14ac:dyDescent="0.3">
      <c r="A289" s="629"/>
      <c r="B289" s="629"/>
      <c r="C289" s="622" t="s">
        <v>28</v>
      </c>
      <c r="D289" s="623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3">
      <c r="A290" s="629"/>
      <c r="B290" s="629"/>
      <c r="C290" s="622" t="s">
        <v>28</v>
      </c>
      <c r="D290" s="623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3">
      <c r="A291" s="629"/>
      <c r="B291" s="629"/>
      <c r="C291" s="622" t="s">
        <v>28</v>
      </c>
      <c r="D291" s="623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3">
      <c r="A292" s="629"/>
      <c r="B292" s="629"/>
      <c r="C292" s="622" t="s">
        <v>28</v>
      </c>
      <c r="D292" s="623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3">
      <c r="A293" s="629"/>
      <c r="B293" s="629"/>
      <c r="C293" s="95" t="s">
        <v>377</v>
      </c>
      <c r="D293" s="570" t="s">
        <v>79</v>
      </c>
      <c r="E293" s="90">
        <f>'10 kg'!$R$24</f>
        <v>200</v>
      </c>
      <c r="F293" s="91">
        <f>'10 kg'!$R$24+'10 kg'!$R$25</f>
        <v>200.00001599999999</v>
      </c>
      <c r="G293" s="101" t="s">
        <v>378</v>
      </c>
      <c r="H293" s="101" t="s">
        <v>379</v>
      </c>
      <c r="I293" s="101" t="s">
        <v>380</v>
      </c>
      <c r="J293" s="101" t="s">
        <v>381</v>
      </c>
    </row>
    <row r="294" spans="1:14" ht="18" customHeight="1" x14ac:dyDescent="0.3">
      <c r="A294" s="629"/>
      <c r="B294" s="629"/>
      <c r="C294" s="624" t="s">
        <v>362</v>
      </c>
      <c r="D294" s="625"/>
      <c r="E294" s="56">
        <v>0</v>
      </c>
      <c r="F294" s="57" t="s">
        <v>32</v>
      </c>
      <c r="G294" s="539" t="s">
        <v>205</v>
      </c>
      <c r="H294" s="539" t="s">
        <v>91</v>
      </c>
      <c r="I294" s="627" t="s">
        <v>736</v>
      </c>
      <c r="J294" s="627"/>
    </row>
    <row r="295" spans="1:14" ht="17.25" customHeight="1" x14ac:dyDescent="0.3">
      <c r="A295" s="629"/>
      <c r="B295" s="629"/>
      <c r="C295" s="98" t="s">
        <v>363</v>
      </c>
      <c r="D295" s="89" t="s">
        <v>364</v>
      </c>
      <c r="E295" s="89" t="s">
        <v>365</v>
      </c>
      <c r="F295" s="89" t="s">
        <v>366</v>
      </c>
      <c r="G295" s="97" t="s">
        <v>383</v>
      </c>
      <c r="H295" s="97" t="s">
        <v>385</v>
      </c>
      <c r="I295" s="97" t="s">
        <v>382</v>
      </c>
      <c r="J295" s="97" t="s">
        <v>384</v>
      </c>
    </row>
    <row r="296" spans="1:14" x14ac:dyDescent="0.3">
      <c r="A296" s="629"/>
      <c r="B296" s="629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>
        <f>'10 kg'!$C$17</f>
        <v>100</v>
      </c>
      <c r="I296" s="61">
        <f>'10 kg'!$C$24</f>
        <v>0.1</v>
      </c>
      <c r="J296" s="61">
        <f>'10 kg'!$C$29</f>
        <v>0.1</v>
      </c>
    </row>
    <row r="297" spans="1:14" x14ac:dyDescent="0.3">
      <c r="A297" s="629"/>
      <c r="B297" s="629"/>
      <c r="C297" s="107"/>
      <c r="D297" s="107"/>
      <c r="E297" s="108"/>
      <c r="F297" s="108"/>
      <c r="G297" s="66" t="s">
        <v>367</v>
      </c>
      <c r="H297" s="67" t="s">
        <v>368</v>
      </c>
      <c r="I297" s="67" t="s">
        <v>372</v>
      </c>
      <c r="J297" s="102"/>
    </row>
    <row r="298" spans="1:14" x14ac:dyDescent="0.3">
      <c r="A298" s="629"/>
      <c r="B298" s="629"/>
      <c r="C298" s="107"/>
      <c r="D298" s="107"/>
      <c r="E298" s="108"/>
      <c r="F298" s="108"/>
      <c r="G298" s="62" t="s">
        <v>369</v>
      </c>
      <c r="H298" s="52"/>
      <c r="I298" s="52"/>
      <c r="J298" s="69" t="s">
        <v>7</v>
      </c>
    </row>
    <row r="299" spans="1:14" x14ac:dyDescent="0.3">
      <c r="A299" s="629"/>
      <c r="B299" s="629"/>
      <c r="C299" s="107"/>
      <c r="D299" s="107"/>
      <c r="E299" s="108"/>
      <c r="F299" s="108"/>
      <c r="G299" s="62" t="s">
        <v>370</v>
      </c>
      <c r="H299" s="52"/>
      <c r="I299" s="54"/>
      <c r="J299" s="70" t="s">
        <v>42</v>
      </c>
    </row>
    <row r="300" spans="1:14" x14ac:dyDescent="0.3">
      <c r="A300" s="629"/>
      <c r="B300" s="629"/>
      <c r="C300" s="107"/>
      <c r="D300" s="107"/>
      <c r="E300" s="108"/>
      <c r="F300" s="108"/>
      <c r="G300" s="71" t="s">
        <v>371</v>
      </c>
      <c r="H300" s="52"/>
      <c r="I300" s="52"/>
      <c r="J300" s="72" t="s">
        <v>373</v>
      </c>
    </row>
    <row r="301" spans="1:14" x14ac:dyDescent="0.3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3">
      <c r="A302" s="629">
        <v>18</v>
      </c>
      <c r="B302" s="629"/>
      <c r="C302" s="624" t="s">
        <v>359</v>
      </c>
      <c r="D302" s="626"/>
      <c r="E302" s="94" t="s">
        <v>375</v>
      </c>
      <c r="F302" s="94" t="s">
        <v>376</v>
      </c>
      <c r="G302" s="94" t="s">
        <v>16</v>
      </c>
      <c r="H302" s="94" t="s">
        <v>360</v>
      </c>
      <c r="I302" s="94" t="s">
        <v>361</v>
      </c>
      <c r="J302" s="94" t="s">
        <v>36</v>
      </c>
    </row>
    <row r="303" spans="1:14" ht="27.75" customHeight="1" x14ac:dyDescent="0.3">
      <c r="A303" s="629"/>
      <c r="B303" s="629"/>
      <c r="C303" s="622" t="s">
        <v>28</v>
      </c>
      <c r="D303" s="623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618"/>
      <c r="N303" s="619"/>
    </row>
    <row r="304" spans="1:14" ht="18" customHeight="1" x14ac:dyDescent="0.3">
      <c r="A304" s="629"/>
      <c r="B304" s="629"/>
      <c r="C304" s="622" t="s">
        <v>28</v>
      </c>
      <c r="D304" s="623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386</v>
      </c>
      <c r="M304" s="620"/>
      <c r="N304" s="620"/>
    </row>
    <row r="305" spans="1:14" ht="23.25" customHeight="1" x14ac:dyDescent="0.3">
      <c r="A305" s="629"/>
      <c r="B305" s="629"/>
      <c r="C305" s="622" t="s">
        <v>28</v>
      </c>
      <c r="D305" s="623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387</v>
      </c>
      <c r="M305" s="621"/>
      <c r="N305" s="621"/>
    </row>
    <row r="306" spans="1:14" ht="23.25" customHeight="1" x14ac:dyDescent="0.3">
      <c r="A306" s="629"/>
      <c r="B306" s="629"/>
      <c r="C306" s="622" t="s">
        <v>28</v>
      </c>
      <c r="D306" s="623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3">
      <c r="A307" s="629"/>
      <c r="B307" s="629"/>
      <c r="C307" s="622" t="s">
        <v>28</v>
      </c>
      <c r="D307" s="623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3">
      <c r="A308" s="629"/>
      <c r="B308" s="629"/>
      <c r="C308" s="622" t="s">
        <v>28</v>
      </c>
      <c r="D308" s="623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3">
      <c r="A309" s="629"/>
      <c r="B309" s="629"/>
      <c r="C309" s="622" t="s">
        <v>28</v>
      </c>
      <c r="D309" s="623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3">
      <c r="A310" s="629"/>
      <c r="B310" s="629"/>
      <c r="C310" s="95" t="s">
        <v>377</v>
      </c>
      <c r="D310" s="570" t="s">
        <v>79</v>
      </c>
      <c r="E310" s="90">
        <f>'20 kg'!$R$24</f>
        <v>200</v>
      </c>
      <c r="F310" s="91">
        <f>'20 kg'!$R$24+'20 kg'!$R$25</f>
        <v>200.00001599999999</v>
      </c>
      <c r="G310" s="101" t="s">
        <v>378</v>
      </c>
      <c r="H310" s="101" t="s">
        <v>379</v>
      </c>
      <c r="I310" s="101" t="s">
        <v>380</v>
      </c>
      <c r="J310" s="101" t="s">
        <v>381</v>
      </c>
    </row>
    <row r="311" spans="1:14" ht="22.5" customHeight="1" x14ac:dyDescent="0.3">
      <c r="A311" s="629"/>
      <c r="B311" s="629"/>
      <c r="C311" s="624" t="s">
        <v>362</v>
      </c>
      <c r="D311" s="625"/>
      <c r="E311" s="56">
        <v>0</v>
      </c>
      <c r="F311" s="57" t="s">
        <v>32</v>
      </c>
      <c r="G311" s="539" t="s">
        <v>205</v>
      </c>
      <c r="H311" s="539" t="s">
        <v>91</v>
      </c>
      <c r="I311" s="627" t="s">
        <v>736</v>
      </c>
      <c r="J311" s="627"/>
    </row>
    <row r="312" spans="1:14" ht="15" x14ac:dyDescent="0.3">
      <c r="A312" s="629"/>
      <c r="B312" s="629"/>
      <c r="C312" s="98" t="s">
        <v>363</v>
      </c>
      <c r="D312" s="89" t="s">
        <v>364</v>
      </c>
      <c r="E312" s="89" t="s">
        <v>365</v>
      </c>
      <c r="F312" s="89" t="s">
        <v>366</v>
      </c>
      <c r="G312" s="97" t="s">
        <v>383</v>
      </c>
      <c r="H312" s="97" t="s">
        <v>385</v>
      </c>
      <c r="I312" s="97" t="s">
        <v>382</v>
      </c>
      <c r="J312" s="97" t="s">
        <v>384</v>
      </c>
    </row>
    <row r="313" spans="1:14" x14ac:dyDescent="0.3">
      <c r="A313" s="629"/>
      <c r="B313" s="629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>
        <f>'20 kg'!$C$17</f>
        <v>100</v>
      </c>
      <c r="I313" s="61">
        <f>'20 kg'!$C$24</f>
        <v>0.1</v>
      </c>
      <c r="J313" s="61">
        <f>'20 kg'!$C$29</f>
        <v>0.1</v>
      </c>
    </row>
    <row r="314" spans="1:14" x14ac:dyDescent="0.3">
      <c r="A314" s="629"/>
      <c r="B314" s="629"/>
      <c r="C314" s="107"/>
      <c r="D314" s="107"/>
      <c r="E314" s="108"/>
      <c r="F314" s="108"/>
      <c r="G314" s="66" t="s">
        <v>367</v>
      </c>
      <c r="H314" s="67" t="s">
        <v>368</v>
      </c>
      <c r="I314" s="67" t="s">
        <v>372</v>
      </c>
      <c r="J314" s="102"/>
    </row>
    <row r="315" spans="1:14" x14ac:dyDescent="0.3">
      <c r="A315" s="629"/>
      <c r="B315" s="629"/>
      <c r="C315" s="107"/>
      <c r="D315" s="107"/>
      <c r="E315" s="108"/>
      <c r="F315" s="108"/>
      <c r="G315" s="62" t="s">
        <v>369</v>
      </c>
      <c r="H315" s="52"/>
      <c r="I315" s="52"/>
      <c r="J315" s="69" t="s">
        <v>7</v>
      </c>
    </row>
    <row r="316" spans="1:14" x14ac:dyDescent="0.3">
      <c r="A316" s="629"/>
      <c r="B316" s="629"/>
      <c r="C316" s="107"/>
      <c r="D316" s="107"/>
      <c r="E316" s="108"/>
      <c r="F316" s="108"/>
      <c r="G316" s="62" t="s">
        <v>370</v>
      </c>
      <c r="H316" s="52"/>
      <c r="I316" s="54"/>
      <c r="J316" s="70" t="s">
        <v>42</v>
      </c>
    </row>
    <row r="317" spans="1:14" x14ac:dyDescent="0.3">
      <c r="A317" s="629"/>
      <c r="B317" s="629"/>
      <c r="C317" s="107"/>
      <c r="D317" s="107"/>
      <c r="E317" s="108"/>
      <c r="F317" s="108"/>
      <c r="G317" s="71" t="s">
        <v>371</v>
      </c>
      <c r="H317" s="52"/>
      <c r="I317" s="52"/>
      <c r="J317" s="72" t="s">
        <v>373</v>
      </c>
    </row>
    <row r="318" spans="1:14" x14ac:dyDescent="0.3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3">
      <c r="A319" s="629">
        <v>19</v>
      </c>
      <c r="B319" s="629"/>
      <c r="C319" s="624" t="s">
        <v>359</v>
      </c>
      <c r="D319" s="626"/>
      <c r="E319" s="94" t="s">
        <v>375</v>
      </c>
      <c r="F319" s="94" t="s">
        <v>376</v>
      </c>
      <c r="G319" s="94" t="s">
        <v>16</v>
      </c>
      <c r="H319" s="94" t="s">
        <v>360</v>
      </c>
      <c r="I319" s="94" t="s">
        <v>361</v>
      </c>
      <c r="J319" s="94" t="s">
        <v>36</v>
      </c>
    </row>
    <row r="320" spans="1:14" ht="23.25" customHeight="1" x14ac:dyDescent="0.3">
      <c r="A320" s="629"/>
      <c r="B320" s="629"/>
      <c r="C320" s="622" t="s">
        <v>28</v>
      </c>
      <c r="D320" s="623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618"/>
      <c r="N320" s="619"/>
    </row>
    <row r="321" spans="1:14" ht="21.75" customHeight="1" x14ac:dyDescent="0.3">
      <c r="A321" s="629"/>
      <c r="B321" s="629"/>
      <c r="C321" s="622" t="s">
        <v>28</v>
      </c>
      <c r="D321" s="623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386</v>
      </c>
      <c r="M321" s="620"/>
      <c r="N321" s="620"/>
    </row>
    <row r="322" spans="1:14" ht="25.5" customHeight="1" x14ac:dyDescent="0.3">
      <c r="A322" s="629"/>
      <c r="B322" s="629"/>
      <c r="C322" s="622" t="s">
        <v>28</v>
      </c>
      <c r="D322" s="623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387</v>
      </c>
      <c r="M322" s="621"/>
      <c r="N322" s="621"/>
    </row>
    <row r="323" spans="1:14" ht="20.25" customHeight="1" x14ac:dyDescent="0.3">
      <c r="A323" s="629"/>
      <c r="B323" s="629"/>
      <c r="C323" s="622" t="s">
        <v>28</v>
      </c>
      <c r="D323" s="623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3">
      <c r="A324" s="629"/>
      <c r="B324" s="629"/>
      <c r="C324" s="622" t="s">
        <v>28</v>
      </c>
      <c r="D324" s="623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3">
      <c r="A325" s="629"/>
      <c r="B325" s="629"/>
      <c r="C325" s="622" t="s">
        <v>28</v>
      </c>
      <c r="D325" s="623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3">
      <c r="A326" s="629"/>
      <c r="B326" s="629"/>
      <c r="C326" s="622" t="s">
        <v>28</v>
      </c>
      <c r="D326" s="623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3">
      <c r="A327" s="629"/>
      <c r="B327" s="629"/>
      <c r="C327" s="95" t="s">
        <v>377</v>
      </c>
      <c r="D327" s="570" t="s">
        <v>79</v>
      </c>
      <c r="E327" s="90">
        <f>'20 kg.'!$R$24</f>
        <v>200</v>
      </c>
      <c r="F327" s="91">
        <f>'20 kg.'!$R$24+'20 kg.'!$R$25</f>
        <v>200.00001599999999</v>
      </c>
      <c r="G327" s="101" t="s">
        <v>378</v>
      </c>
      <c r="H327" s="101" t="s">
        <v>379</v>
      </c>
      <c r="I327" s="101" t="s">
        <v>380</v>
      </c>
      <c r="J327" s="101" t="s">
        <v>381</v>
      </c>
    </row>
    <row r="328" spans="1:14" ht="19.5" customHeight="1" x14ac:dyDescent="0.3">
      <c r="A328" s="629"/>
      <c r="B328" s="629"/>
      <c r="C328" s="624" t="s">
        <v>362</v>
      </c>
      <c r="D328" s="625"/>
      <c r="E328" s="56">
        <v>0</v>
      </c>
      <c r="F328" s="57" t="s">
        <v>779</v>
      </c>
      <c r="G328" s="539" t="s">
        <v>205</v>
      </c>
      <c r="H328" s="539" t="s">
        <v>91</v>
      </c>
      <c r="I328" s="627" t="s">
        <v>736</v>
      </c>
      <c r="J328" s="627"/>
    </row>
    <row r="329" spans="1:14" ht="15.75" customHeight="1" x14ac:dyDescent="0.3">
      <c r="A329" s="629"/>
      <c r="B329" s="629"/>
      <c r="C329" s="98" t="s">
        <v>363</v>
      </c>
      <c r="D329" s="89" t="s">
        <v>364</v>
      </c>
      <c r="E329" s="89" t="s">
        <v>365</v>
      </c>
      <c r="F329" s="89" t="s">
        <v>366</v>
      </c>
      <c r="G329" s="97" t="s">
        <v>383</v>
      </c>
      <c r="H329" s="97" t="s">
        <v>385</v>
      </c>
      <c r="I329" s="97" t="s">
        <v>382</v>
      </c>
      <c r="J329" s="97" t="s">
        <v>384</v>
      </c>
    </row>
    <row r="330" spans="1:14" x14ac:dyDescent="0.3">
      <c r="A330" s="629"/>
      <c r="B330" s="629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>
        <f>'20 kg.'!$C$17</f>
        <v>100</v>
      </c>
      <c r="I330" s="61">
        <f>'20 kg.'!$C$24</f>
        <v>0.1</v>
      </c>
      <c r="J330" s="61">
        <f>'20 kg.'!$C$29</f>
        <v>0.1</v>
      </c>
    </row>
    <row r="331" spans="1:14" x14ac:dyDescent="0.3">
      <c r="A331" s="629"/>
      <c r="B331" s="629"/>
      <c r="C331" s="111"/>
      <c r="D331" s="111"/>
      <c r="E331" s="111"/>
      <c r="F331" s="112"/>
      <c r="G331" s="66" t="s">
        <v>367</v>
      </c>
      <c r="H331" s="67" t="s">
        <v>368</v>
      </c>
      <c r="I331" s="67" t="s">
        <v>372</v>
      </c>
      <c r="J331" s="102"/>
    </row>
    <row r="332" spans="1:14" x14ac:dyDescent="0.3">
      <c r="A332" s="629"/>
      <c r="B332" s="629"/>
      <c r="C332" s="111"/>
      <c r="D332" s="111"/>
      <c r="E332" s="111"/>
      <c r="F332" s="112"/>
      <c r="G332" s="62" t="s">
        <v>369</v>
      </c>
      <c r="H332" s="52"/>
      <c r="I332" s="52"/>
      <c r="J332" s="69" t="s">
        <v>7</v>
      </c>
    </row>
    <row r="333" spans="1:14" x14ac:dyDescent="0.3">
      <c r="A333" s="629"/>
      <c r="B333" s="629"/>
      <c r="C333" s="111"/>
      <c r="D333" s="111"/>
      <c r="E333" s="111"/>
      <c r="F333" s="112"/>
      <c r="G333" s="62" t="s">
        <v>370</v>
      </c>
      <c r="H333" s="77"/>
      <c r="I333" s="54"/>
      <c r="J333" s="70" t="s">
        <v>42</v>
      </c>
    </row>
    <row r="334" spans="1:14" x14ac:dyDescent="0.3">
      <c r="A334" s="629"/>
      <c r="B334" s="629"/>
      <c r="C334" s="111"/>
      <c r="D334" s="111"/>
      <c r="E334" s="111"/>
      <c r="F334" s="112"/>
      <c r="G334" s="71" t="s">
        <v>371</v>
      </c>
      <c r="H334" s="52"/>
      <c r="I334" s="52"/>
      <c r="J334" s="72" t="s">
        <v>373</v>
      </c>
    </row>
    <row r="335" spans="1:14" x14ac:dyDescent="0.3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3">
      <c r="A336" s="629">
        <v>20</v>
      </c>
      <c r="B336" s="629"/>
      <c r="C336" s="624" t="s">
        <v>359</v>
      </c>
      <c r="D336" s="626"/>
      <c r="E336" s="94" t="s">
        <v>375</v>
      </c>
      <c r="F336" s="94" t="s">
        <v>376</v>
      </c>
      <c r="G336" s="94" t="s">
        <v>16</v>
      </c>
      <c r="H336" s="94" t="s">
        <v>360</v>
      </c>
      <c r="I336" s="94" t="s">
        <v>361</v>
      </c>
      <c r="J336" s="94" t="s">
        <v>36</v>
      </c>
    </row>
    <row r="337" spans="1:14" ht="24" customHeight="1" x14ac:dyDescent="0.3">
      <c r="A337" s="629"/>
      <c r="B337" s="629"/>
      <c r="C337" s="622" t="s">
        <v>28</v>
      </c>
      <c r="D337" s="623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618"/>
      <c r="N337" s="619"/>
    </row>
    <row r="338" spans="1:14" ht="18.75" customHeight="1" x14ac:dyDescent="0.3">
      <c r="A338" s="629"/>
      <c r="B338" s="629"/>
      <c r="C338" s="622" t="s">
        <v>28</v>
      </c>
      <c r="D338" s="623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386</v>
      </c>
      <c r="M338" s="620"/>
      <c r="N338" s="620"/>
    </row>
    <row r="339" spans="1:14" ht="22.5" customHeight="1" x14ac:dyDescent="0.3">
      <c r="A339" s="629"/>
      <c r="B339" s="629"/>
      <c r="C339" s="622" t="s">
        <v>28</v>
      </c>
      <c r="D339" s="623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387</v>
      </c>
      <c r="M339" s="621"/>
      <c r="N339" s="621"/>
    </row>
    <row r="340" spans="1:14" ht="21" customHeight="1" x14ac:dyDescent="0.3">
      <c r="A340" s="629"/>
      <c r="B340" s="629"/>
      <c r="C340" s="622" t="s">
        <v>28</v>
      </c>
      <c r="D340" s="623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3">
      <c r="A341" s="629"/>
      <c r="B341" s="629"/>
      <c r="C341" s="622" t="s">
        <v>28</v>
      </c>
      <c r="D341" s="623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3">
      <c r="A342" s="629"/>
      <c r="B342" s="629"/>
      <c r="C342" s="622" t="s">
        <v>28</v>
      </c>
      <c r="D342" s="623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3">
      <c r="A343" s="629"/>
      <c r="B343" s="629"/>
      <c r="C343" s="622" t="s">
        <v>28</v>
      </c>
      <c r="D343" s="623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3">
      <c r="A344" s="629"/>
      <c r="B344" s="629"/>
      <c r="C344" s="95" t="s">
        <v>377</v>
      </c>
      <c r="D344" s="570" t="s">
        <v>79</v>
      </c>
      <c r="E344" s="90">
        <f>'50 kg'!$R$24</f>
        <v>200</v>
      </c>
      <c r="F344" s="91">
        <f>'50 kg'!$R$24+'50 kg'!$R$25</f>
        <v>200.00001599999999</v>
      </c>
      <c r="G344" s="101" t="s">
        <v>378</v>
      </c>
      <c r="H344" s="101" t="s">
        <v>379</v>
      </c>
      <c r="I344" s="101" t="s">
        <v>380</v>
      </c>
      <c r="J344" s="101" t="s">
        <v>381</v>
      </c>
    </row>
    <row r="345" spans="1:14" ht="19.5" customHeight="1" x14ac:dyDescent="0.3">
      <c r="A345" s="629"/>
      <c r="B345" s="629"/>
      <c r="C345" s="624" t="s">
        <v>362</v>
      </c>
      <c r="D345" s="625"/>
      <c r="E345" s="56">
        <v>0</v>
      </c>
      <c r="F345" s="57" t="s">
        <v>779</v>
      </c>
      <c r="G345" s="539" t="s">
        <v>205</v>
      </c>
      <c r="H345" s="539" t="s">
        <v>91</v>
      </c>
      <c r="I345" s="627" t="s">
        <v>736</v>
      </c>
      <c r="J345" s="627"/>
    </row>
    <row r="346" spans="1:14" ht="15" x14ac:dyDescent="0.3">
      <c r="A346" s="629"/>
      <c r="B346" s="629"/>
      <c r="C346" s="98" t="s">
        <v>363</v>
      </c>
      <c r="D346" s="89" t="s">
        <v>364</v>
      </c>
      <c r="E346" s="89" t="s">
        <v>365</v>
      </c>
      <c r="F346" s="89" t="s">
        <v>366</v>
      </c>
      <c r="G346" s="97" t="s">
        <v>383</v>
      </c>
      <c r="H346" s="97" t="s">
        <v>385</v>
      </c>
      <c r="I346" s="97" t="s">
        <v>382</v>
      </c>
      <c r="J346" s="97" t="s">
        <v>384</v>
      </c>
    </row>
    <row r="347" spans="1:14" ht="17.25" customHeight="1" x14ac:dyDescent="0.3">
      <c r="A347" s="629"/>
      <c r="B347" s="629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>
        <f>'50 kg'!$C$17</f>
        <v>100</v>
      </c>
      <c r="I347" s="61">
        <f>'50 kg'!$C$24</f>
        <v>0.1</v>
      </c>
      <c r="J347" s="61">
        <f>'50 kg'!$C$29</f>
        <v>0.1</v>
      </c>
    </row>
    <row r="348" spans="1:14" x14ac:dyDescent="0.3">
      <c r="A348" s="629"/>
      <c r="B348" s="629"/>
      <c r="C348" s="111"/>
      <c r="D348" s="111"/>
      <c r="E348" s="112"/>
      <c r="F348" s="112"/>
      <c r="G348" s="66" t="s">
        <v>367</v>
      </c>
      <c r="H348" s="67" t="s">
        <v>368</v>
      </c>
      <c r="I348" s="67" t="s">
        <v>372</v>
      </c>
      <c r="J348" s="102"/>
    </row>
    <row r="349" spans="1:14" x14ac:dyDescent="0.3">
      <c r="A349" s="629"/>
      <c r="B349" s="629"/>
      <c r="C349" s="111"/>
      <c r="D349" s="111"/>
      <c r="E349" s="112"/>
      <c r="F349" s="112"/>
      <c r="G349" s="62" t="s">
        <v>369</v>
      </c>
      <c r="H349" s="52"/>
      <c r="I349" s="52"/>
      <c r="J349" s="69" t="s">
        <v>7</v>
      </c>
    </row>
    <row r="350" spans="1:14" x14ac:dyDescent="0.3">
      <c r="A350" s="629"/>
      <c r="B350" s="629"/>
      <c r="C350" s="111"/>
      <c r="D350" s="111"/>
      <c r="E350" s="112"/>
      <c r="F350" s="112"/>
      <c r="G350" s="62" t="s">
        <v>370</v>
      </c>
      <c r="H350" s="52"/>
      <c r="I350" s="54"/>
      <c r="J350" s="70" t="s">
        <v>42</v>
      </c>
    </row>
    <row r="351" spans="1:14" x14ac:dyDescent="0.3">
      <c r="A351" s="629"/>
      <c r="B351" s="629"/>
      <c r="C351" s="111"/>
      <c r="D351" s="111"/>
      <c r="E351" s="112"/>
      <c r="F351" s="112"/>
      <c r="G351" s="71" t="s">
        <v>371</v>
      </c>
      <c r="H351" s="52"/>
      <c r="I351" s="52"/>
      <c r="J351" s="72" t="s">
        <v>373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387</v>
      </c>
      <c r="E365" s="51">
        <v>4</v>
      </c>
      <c r="F365" s="51">
        <v>4</v>
      </c>
    </row>
    <row r="366" spans="3:7" x14ac:dyDescent="0.3">
      <c r="C366">
        <v>1</v>
      </c>
      <c r="D366" s="59" t="s">
        <v>33</v>
      </c>
      <c r="E366" s="51">
        <v>4</v>
      </c>
      <c r="F366" s="51">
        <v>4</v>
      </c>
    </row>
    <row r="367" spans="3:7" x14ac:dyDescent="0.3">
      <c r="C367">
        <v>2</v>
      </c>
      <c r="D367" s="59" t="s">
        <v>34</v>
      </c>
      <c r="E367" s="51">
        <v>4</v>
      </c>
      <c r="F367" s="51">
        <v>4</v>
      </c>
    </row>
    <row r="368" spans="3:7" x14ac:dyDescent="0.3">
      <c r="C368">
        <v>3</v>
      </c>
      <c r="D368" s="59" t="s">
        <v>26</v>
      </c>
      <c r="E368" s="51">
        <v>4</v>
      </c>
      <c r="F368" s="51">
        <v>4</v>
      </c>
    </row>
    <row r="369" spans="1:6" x14ac:dyDescent="0.3">
      <c r="C369">
        <v>4</v>
      </c>
      <c r="D369" s="59" t="s">
        <v>31</v>
      </c>
      <c r="E369" s="51">
        <v>4</v>
      </c>
      <c r="F369" s="51">
        <v>4</v>
      </c>
    </row>
    <row r="370" spans="1:6" x14ac:dyDescent="0.3">
      <c r="C370">
        <v>5</v>
      </c>
      <c r="D370" s="59" t="s">
        <v>29</v>
      </c>
      <c r="E370" s="51">
        <v>4</v>
      </c>
      <c r="F370" s="51">
        <v>4</v>
      </c>
    </row>
    <row r="371" spans="1:6" x14ac:dyDescent="0.3">
      <c r="C371">
        <v>6</v>
      </c>
      <c r="D371" s="59" t="s">
        <v>30</v>
      </c>
      <c r="E371" s="51">
        <v>4</v>
      </c>
      <c r="F371" s="51">
        <v>4</v>
      </c>
    </row>
    <row r="372" spans="1:6" x14ac:dyDescent="0.3">
      <c r="C372">
        <v>7</v>
      </c>
      <c r="D372" s="59" t="s">
        <v>35</v>
      </c>
      <c r="E372" s="51">
        <v>4</v>
      </c>
      <c r="F372" s="51">
        <v>4</v>
      </c>
    </row>
    <row r="376" spans="1:6" x14ac:dyDescent="0.3">
      <c r="A376">
        <v>1</v>
      </c>
      <c r="B376" s="73" t="s">
        <v>388</v>
      </c>
    </row>
    <row r="377" spans="1:6" x14ac:dyDescent="0.3">
      <c r="A377">
        <v>2</v>
      </c>
      <c r="B377" s="73" t="s">
        <v>389</v>
      </c>
    </row>
    <row r="378" spans="1:6" x14ac:dyDescent="0.3">
      <c r="A378">
        <v>3</v>
      </c>
      <c r="B378" s="73" t="s">
        <v>390</v>
      </c>
    </row>
    <row r="379" spans="1:6" x14ac:dyDescent="0.3">
      <c r="A379">
        <v>4</v>
      </c>
      <c r="B379" s="73" t="s">
        <v>391</v>
      </c>
    </row>
    <row r="380" spans="1:6" x14ac:dyDescent="0.3">
      <c r="A380">
        <v>5</v>
      </c>
      <c r="B380" s="73" t="s">
        <v>392</v>
      </c>
    </row>
    <row r="381" spans="1:6" x14ac:dyDescent="0.3">
      <c r="A381">
        <v>6</v>
      </c>
      <c r="B381" s="73" t="s">
        <v>393</v>
      </c>
    </row>
    <row r="382" spans="1:6" x14ac:dyDescent="0.3">
      <c r="A382">
        <v>7</v>
      </c>
      <c r="B382" s="73" t="s">
        <v>394</v>
      </c>
    </row>
    <row r="383" spans="1:6" x14ac:dyDescent="0.3">
      <c r="A383">
        <v>89</v>
      </c>
      <c r="B383" s="73" t="s">
        <v>395</v>
      </c>
    </row>
    <row r="384" spans="1:6" x14ac:dyDescent="0.3">
      <c r="A384">
        <v>10</v>
      </c>
      <c r="B384" s="73" t="s">
        <v>396</v>
      </c>
    </row>
    <row r="385" spans="1:2" x14ac:dyDescent="0.3">
      <c r="A385">
        <v>11</v>
      </c>
      <c r="B385" s="73" t="s">
        <v>397</v>
      </c>
    </row>
    <row r="386" spans="1:2" ht="27" x14ac:dyDescent="0.3">
      <c r="A386">
        <v>12</v>
      </c>
      <c r="B386" s="74" t="s">
        <v>398</v>
      </c>
    </row>
    <row r="387" spans="1:2" ht="53.4" x14ac:dyDescent="0.3">
      <c r="A387">
        <v>13</v>
      </c>
      <c r="B387" s="74" t="s">
        <v>399</v>
      </c>
    </row>
    <row r="388" spans="1:2" ht="53.4" x14ac:dyDescent="0.3">
      <c r="A388">
        <v>14</v>
      </c>
      <c r="B388" s="74" t="s">
        <v>400</v>
      </c>
    </row>
    <row r="389" spans="1:2" x14ac:dyDescent="0.3">
      <c r="A389">
        <v>15</v>
      </c>
      <c r="B389" s="73" t="s">
        <v>401</v>
      </c>
    </row>
    <row r="390" spans="1:2" x14ac:dyDescent="0.3">
      <c r="A390">
        <v>16</v>
      </c>
      <c r="B390" s="73" t="s">
        <v>402</v>
      </c>
    </row>
    <row r="391" spans="1:2" x14ac:dyDescent="0.3">
      <c r="A391">
        <v>17</v>
      </c>
      <c r="B391" s="73" t="s">
        <v>403</v>
      </c>
    </row>
    <row r="392" spans="1:2" x14ac:dyDescent="0.3">
      <c r="A392">
        <v>18</v>
      </c>
      <c r="B392" s="73" t="s">
        <v>404</v>
      </c>
    </row>
    <row r="393" spans="1:2" x14ac:dyDescent="0.3">
      <c r="A393">
        <v>19</v>
      </c>
      <c r="B393" s="73" t="s">
        <v>405</v>
      </c>
    </row>
    <row r="394" spans="1:2" x14ac:dyDescent="0.3">
      <c r="A394">
        <v>20</v>
      </c>
      <c r="B394" s="73" t="s">
        <v>406</v>
      </c>
    </row>
    <row r="395" spans="1:2" x14ac:dyDescent="0.3">
      <c r="A395">
        <v>21</v>
      </c>
      <c r="B395" s="73" t="s">
        <v>407</v>
      </c>
    </row>
    <row r="396" spans="1:2" x14ac:dyDescent="0.3">
      <c r="A396">
        <v>22</v>
      </c>
      <c r="B396" s="73" t="s">
        <v>408</v>
      </c>
    </row>
    <row r="397" spans="1:2" x14ac:dyDescent="0.3">
      <c r="A397">
        <v>23</v>
      </c>
      <c r="B397" s="73" t="s">
        <v>409</v>
      </c>
    </row>
    <row r="398" spans="1:2" x14ac:dyDescent="0.3">
      <c r="A398">
        <v>24</v>
      </c>
      <c r="B398" s="73" t="s">
        <v>410</v>
      </c>
    </row>
    <row r="399" spans="1:2" x14ac:dyDescent="0.3">
      <c r="A399">
        <v>25</v>
      </c>
      <c r="B399" s="73" t="s">
        <v>411</v>
      </c>
    </row>
    <row r="400" spans="1:2" ht="40.200000000000003" x14ac:dyDescent="0.3">
      <c r="A400">
        <v>26</v>
      </c>
      <c r="B400" s="74" t="s">
        <v>412</v>
      </c>
    </row>
    <row r="401" spans="1:2" x14ac:dyDescent="0.3">
      <c r="A401">
        <v>27</v>
      </c>
      <c r="B401" s="73" t="s">
        <v>413</v>
      </c>
    </row>
    <row r="402" spans="1:2" x14ac:dyDescent="0.3">
      <c r="A402">
        <v>28</v>
      </c>
      <c r="B402" s="73" t="s">
        <v>414</v>
      </c>
    </row>
    <row r="403" spans="1:2" x14ac:dyDescent="0.3">
      <c r="A403">
        <v>29</v>
      </c>
      <c r="B403" s="73" t="s">
        <v>415</v>
      </c>
    </row>
    <row r="404" spans="1:2" x14ac:dyDescent="0.3">
      <c r="A404">
        <v>30</v>
      </c>
      <c r="B404" s="73" t="s">
        <v>416</v>
      </c>
    </row>
    <row r="405" spans="1:2" x14ac:dyDescent="0.3">
      <c r="A405">
        <v>31</v>
      </c>
      <c r="B405" s="73" t="s">
        <v>417</v>
      </c>
    </row>
    <row r="406" spans="1:2" x14ac:dyDescent="0.3">
      <c r="A406">
        <v>32</v>
      </c>
      <c r="B406" s="73" t="s">
        <v>418</v>
      </c>
    </row>
    <row r="407" spans="1:2" x14ac:dyDescent="0.3">
      <c r="A407">
        <v>33</v>
      </c>
      <c r="B407" s="73" t="s">
        <v>419</v>
      </c>
    </row>
    <row r="408" spans="1:2" x14ac:dyDescent="0.3">
      <c r="A408">
        <v>34</v>
      </c>
      <c r="B408" s="73" t="s">
        <v>420</v>
      </c>
    </row>
    <row r="409" spans="1:2" x14ac:dyDescent="0.3">
      <c r="A409">
        <v>35</v>
      </c>
      <c r="B409" s="73" t="s">
        <v>421</v>
      </c>
    </row>
    <row r="410" spans="1:2" x14ac:dyDescent="0.3">
      <c r="A410">
        <v>36</v>
      </c>
      <c r="B410" s="73" t="s">
        <v>422</v>
      </c>
    </row>
    <row r="411" spans="1:2" x14ac:dyDescent="0.3">
      <c r="A411">
        <v>37</v>
      </c>
      <c r="B411" s="73" t="s">
        <v>423</v>
      </c>
    </row>
    <row r="412" spans="1:2" x14ac:dyDescent="0.3">
      <c r="A412">
        <v>38</v>
      </c>
      <c r="B412" s="73" t="s">
        <v>424</v>
      </c>
    </row>
    <row r="413" spans="1:2" x14ac:dyDescent="0.3">
      <c r="A413">
        <v>39</v>
      </c>
      <c r="B413" s="73" t="s">
        <v>425</v>
      </c>
    </row>
    <row r="414" spans="1:2" x14ac:dyDescent="0.3">
      <c r="A414">
        <v>40</v>
      </c>
      <c r="B414" s="73" t="s">
        <v>426</v>
      </c>
    </row>
    <row r="415" spans="1:2" x14ac:dyDescent="0.3">
      <c r="A415">
        <v>41</v>
      </c>
      <c r="B415" s="73" t="s">
        <v>427</v>
      </c>
    </row>
    <row r="416" spans="1:2" x14ac:dyDescent="0.3">
      <c r="A416">
        <v>42</v>
      </c>
      <c r="B416" s="73" t="s">
        <v>428</v>
      </c>
    </row>
    <row r="417" spans="1:2" x14ac:dyDescent="0.3">
      <c r="A417">
        <v>43</v>
      </c>
      <c r="B417" s="73" t="s">
        <v>429</v>
      </c>
    </row>
    <row r="418" spans="1:2" x14ac:dyDescent="0.3">
      <c r="A418">
        <v>44</v>
      </c>
      <c r="B418" s="73" t="s">
        <v>430</v>
      </c>
    </row>
    <row r="419" spans="1:2" x14ac:dyDescent="0.3">
      <c r="A419">
        <v>45</v>
      </c>
      <c r="B419" s="73" t="s">
        <v>431</v>
      </c>
    </row>
    <row r="420" spans="1:2" x14ac:dyDescent="0.3">
      <c r="A420">
        <v>46</v>
      </c>
      <c r="B420" s="73" t="s">
        <v>432</v>
      </c>
    </row>
    <row r="421" spans="1:2" x14ac:dyDescent="0.3">
      <c r="A421">
        <v>47</v>
      </c>
      <c r="B421" s="73" t="s">
        <v>433</v>
      </c>
    </row>
    <row r="422" spans="1:2" x14ac:dyDescent="0.3">
      <c r="A422">
        <v>48</v>
      </c>
      <c r="B422" s="73" t="s">
        <v>434</v>
      </c>
    </row>
    <row r="423" spans="1:2" x14ac:dyDescent="0.3">
      <c r="A423">
        <v>49</v>
      </c>
      <c r="B423" s="73" t="s">
        <v>435</v>
      </c>
    </row>
    <row r="424" spans="1:2" x14ac:dyDescent="0.3">
      <c r="A424">
        <v>50</v>
      </c>
      <c r="B424" s="73" t="s">
        <v>436</v>
      </c>
    </row>
    <row r="425" spans="1:2" x14ac:dyDescent="0.3">
      <c r="A425">
        <v>51</v>
      </c>
      <c r="B425" s="73" t="s">
        <v>437</v>
      </c>
    </row>
    <row r="426" spans="1:2" x14ac:dyDescent="0.3">
      <c r="A426">
        <v>52</v>
      </c>
      <c r="B426" s="73" t="s">
        <v>438</v>
      </c>
    </row>
    <row r="427" spans="1:2" x14ac:dyDescent="0.3">
      <c r="A427">
        <v>53</v>
      </c>
      <c r="B427" s="73" t="s">
        <v>439</v>
      </c>
    </row>
    <row r="428" spans="1:2" x14ac:dyDescent="0.3">
      <c r="A428">
        <v>54</v>
      </c>
      <c r="B428" s="73" t="s">
        <v>440</v>
      </c>
    </row>
    <row r="429" spans="1:2" x14ac:dyDescent="0.3">
      <c r="A429">
        <v>55</v>
      </c>
      <c r="B429" s="73" t="s">
        <v>441</v>
      </c>
    </row>
    <row r="430" spans="1:2" x14ac:dyDescent="0.3">
      <c r="A430">
        <v>56</v>
      </c>
      <c r="B430" s="73" t="s">
        <v>442</v>
      </c>
    </row>
    <row r="431" spans="1:2" x14ac:dyDescent="0.3">
      <c r="A431">
        <v>57</v>
      </c>
      <c r="B431" s="73" t="s">
        <v>443</v>
      </c>
    </row>
    <row r="432" spans="1:2" x14ac:dyDescent="0.3">
      <c r="A432">
        <v>58</v>
      </c>
      <c r="B432" s="73" t="s">
        <v>444</v>
      </c>
    </row>
    <row r="433" spans="1:2" x14ac:dyDescent="0.3">
      <c r="A433">
        <v>59</v>
      </c>
      <c r="B433" s="73" t="s">
        <v>356</v>
      </c>
    </row>
    <row r="434" spans="1:2" x14ac:dyDescent="0.3">
      <c r="A434">
        <v>60</v>
      </c>
      <c r="B434" s="73" t="s">
        <v>445</v>
      </c>
    </row>
    <row r="435" spans="1:2" x14ac:dyDescent="0.3">
      <c r="A435">
        <v>61</v>
      </c>
      <c r="B435" s="73" t="s">
        <v>446</v>
      </c>
    </row>
    <row r="436" spans="1:2" x14ac:dyDescent="0.3">
      <c r="A436">
        <v>62</v>
      </c>
      <c r="B436" s="73" t="s">
        <v>447</v>
      </c>
    </row>
    <row r="437" spans="1:2" x14ac:dyDescent="0.3">
      <c r="A437">
        <v>63</v>
      </c>
      <c r="B437" s="73" t="s">
        <v>448</v>
      </c>
    </row>
    <row r="438" spans="1:2" x14ac:dyDescent="0.3">
      <c r="A438">
        <v>64</v>
      </c>
      <c r="B438" s="73" t="s">
        <v>449</v>
      </c>
    </row>
    <row r="439" spans="1:2" x14ac:dyDescent="0.3">
      <c r="A439">
        <v>65</v>
      </c>
      <c r="B439" s="73" t="s">
        <v>450</v>
      </c>
    </row>
    <row r="440" spans="1:2" x14ac:dyDescent="0.3">
      <c r="A440">
        <v>66</v>
      </c>
      <c r="B440" s="73" t="s">
        <v>451</v>
      </c>
    </row>
    <row r="441" spans="1:2" x14ac:dyDescent="0.3">
      <c r="A441">
        <v>67</v>
      </c>
      <c r="B441" s="73" t="s">
        <v>452</v>
      </c>
    </row>
    <row r="442" spans="1:2" x14ac:dyDescent="0.3">
      <c r="A442">
        <v>68</v>
      </c>
      <c r="B442" s="73" t="s">
        <v>453</v>
      </c>
    </row>
    <row r="443" spans="1:2" x14ac:dyDescent="0.3">
      <c r="A443">
        <v>69</v>
      </c>
      <c r="B443" s="73" t="s">
        <v>454</v>
      </c>
    </row>
    <row r="444" spans="1:2" x14ac:dyDescent="0.3">
      <c r="A444">
        <v>70</v>
      </c>
      <c r="B444" s="73" t="s">
        <v>455</v>
      </c>
    </row>
    <row r="445" spans="1:2" x14ac:dyDescent="0.3">
      <c r="A445">
        <v>71</v>
      </c>
      <c r="B445" s="73" t="s">
        <v>456</v>
      </c>
    </row>
    <row r="446" spans="1:2" x14ac:dyDescent="0.3">
      <c r="A446">
        <v>72</v>
      </c>
      <c r="B446" s="73" t="s">
        <v>457</v>
      </c>
    </row>
    <row r="447" spans="1:2" x14ac:dyDescent="0.3">
      <c r="A447">
        <v>73</v>
      </c>
      <c r="B447" s="73" t="s">
        <v>458</v>
      </c>
    </row>
    <row r="448" spans="1:2" x14ac:dyDescent="0.3">
      <c r="A448">
        <v>74</v>
      </c>
      <c r="B448" s="73" t="s">
        <v>459</v>
      </c>
    </row>
    <row r="449" spans="1:11" x14ac:dyDescent="0.3">
      <c r="A449">
        <v>75</v>
      </c>
      <c r="B449" s="73" t="s">
        <v>460</v>
      </c>
    </row>
    <row r="450" spans="1:11" x14ac:dyDescent="0.3">
      <c r="A450">
        <v>76</v>
      </c>
      <c r="B450" s="73" t="s">
        <v>461</v>
      </c>
    </row>
    <row r="451" spans="1:11" x14ac:dyDescent="0.3">
      <c r="A451">
        <v>77</v>
      </c>
      <c r="B451" s="73" t="s">
        <v>462</v>
      </c>
    </row>
    <row r="452" spans="1:11" x14ac:dyDescent="0.3">
      <c r="A452">
        <v>78</v>
      </c>
      <c r="B452" s="73" t="s">
        <v>463</v>
      </c>
    </row>
    <row r="457" spans="1:11" ht="15" x14ac:dyDescent="0.3">
      <c r="D457" s="615" t="s">
        <v>18</v>
      </c>
      <c r="E457" s="616"/>
      <c r="F457" s="616"/>
      <c r="G457" s="616"/>
      <c r="H457" s="616"/>
      <c r="I457" s="616"/>
      <c r="J457" s="616"/>
      <c r="K457" s="617"/>
    </row>
    <row r="458" spans="1:11" x14ac:dyDescent="0.3">
      <c r="D458" s="9" t="s">
        <v>19</v>
      </c>
      <c r="E458" s="615" t="s">
        <v>20</v>
      </c>
      <c r="F458" s="616"/>
      <c r="G458" s="616"/>
      <c r="H458" s="616"/>
      <c r="I458" s="616"/>
      <c r="J458" s="616"/>
      <c r="K458" s="617"/>
    </row>
    <row r="459" spans="1:11" x14ac:dyDescent="0.3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C271:D271"/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D344 D38 C31:D37 D55 C48:D54 D72 C65:D71 D89 C82:D88 D106 C99:D105 D123 C116:D122 D140 C133:D139 D157 C150:D156 C167:D173 D174 D191 C184:D190 D208 C201:D207 D225 C218:D224 D242 C235:D241 D259 C252:D258 D276 C269:D275 D293 C286:D292 D310 C303:D309 D327 C320:D326 C337:D343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111"/>
  <sheetViews>
    <sheetView view="pageLayout" topLeftCell="A20" zoomScaleNormal="100" zoomScaleSheetLayoutView="100" workbookViewId="0">
      <selection activeCell="I35" sqref="I35:J3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630" t="str">
        <f>datos!D5</f>
        <v>NI-MC-M-2056-2024</v>
      </c>
      <c r="N10" s="630"/>
      <c r="O10" s="630"/>
      <c r="P10" s="630"/>
      <c r="Q10" s="630"/>
      <c r="R10" s="630"/>
      <c r="S10" s="630"/>
      <c r="T10" s="630"/>
      <c r="U10" s="630"/>
      <c r="V10" s="497"/>
      <c r="W10" s="497"/>
    </row>
    <row r="11" spans="2:23" x14ac:dyDescent="0.3">
      <c r="B11" s="486"/>
      <c r="C11" s="487"/>
      <c r="D11" s="472" t="s">
        <v>786</v>
      </c>
      <c r="E11" s="487"/>
      <c r="F11" s="487"/>
      <c r="G11" s="174"/>
      <c r="H11" s="174"/>
      <c r="I11" s="174"/>
      <c r="J11" s="174"/>
      <c r="K11" s="174"/>
      <c r="L11" s="215"/>
      <c r="M11" s="630" t="str">
        <f>datos!H8</f>
        <v>NI-CS-0600-22</v>
      </c>
      <c r="N11" s="630"/>
      <c r="O11" s="630"/>
      <c r="P11" s="630"/>
      <c r="Q11" s="630"/>
      <c r="R11" s="630"/>
      <c r="S11" s="630"/>
      <c r="T11" s="630"/>
      <c r="U11" s="630"/>
      <c r="V11" s="494"/>
      <c r="W11" s="494"/>
    </row>
    <row r="12" spans="2:23" x14ac:dyDescent="0.3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630" t="str">
        <f>datos!H7</f>
        <v>2024-02-23</v>
      </c>
      <c r="N12" s="630"/>
      <c r="O12" s="630"/>
      <c r="P12" s="630"/>
      <c r="Q12" s="630"/>
      <c r="R12" s="630"/>
      <c r="S12" s="630"/>
      <c r="T12" s="630"/>
      <c r="U12" s="630"/>
      <c r="V12" s="488"/>
      <c r="W12" s="488"/>
    </row>
    <row r="13" spans="2:23" x14ac:dyDescent="0.3">
      <c r="B13" s="486"/>
      <c r="C13" s="486"/>
      <c r="D13" s="472" t="s">
        <v>1352</v>
      </c>
      <c r="E13" s="486"/>
      <c r="F13" s="486"/>
      <c r="G13" s="561"/>
      <c r="H13" s="561"/>
      <c r="I13" s="561"/>
      <c r="J13" s="561"/>
      <c r="K13" s="561"/>
      <c r="L13" s="488"/>
      <c r="M13" s="631">
        <v>45345</v>
      </c>
      <c r="N13" s="631"/>
      <c r="O13" s="631"/>
      <c r="P13" s="631"/>
      <c r="Q13" s="631"/>
      <c r="R13" s="631"/>
      <c r="S13" s="631"/>
      <c r="T13" s="631"/>
      <c r="U13" s="631"/>
      <c r="V13" s="510"/>
      <c r="W13" s="510"/>
    </row>
    <row r="14" spans="2:23" x14ac:dyDescent="0.3">
      <c r="B14" s="486"/>
      <c r="C14" s="486"/>
      <c r="D14" s="472" t="s">
        <v>743</v>
      </c>
      <c r="E14" s="486"/>
      <c r="F14" s="486"/>
      <c r="G14" s="174"/>
      <c r="H14" s="174"/>
      <c r="I14" s="174"/>
      <c r="J14" s="174"/>
      <c r="K14" s="174"/>
      <c r="L14" s="488"/>
      <c r="M14" s="631">
        <v>45345</v>
      </c>
      <c r="N14" s="631"/>
      <c r="O14" s="631"/>
      <c r="P14" s="631"/>
      <c r="Q14" s="631"/>
      <c r="R14" s="631"/>
      <c r="S14" s="631"/>
      <c r="T14" s="631"/>
      <c r="U14" s="631"/>
      <c r="V14" s="510"/>
      <c r="W14" s="510"/>
    </row>
    <row r="15" spans="2:23" x14ac:dyDescent="0.3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632" t="str">
        <f>datos!D7</f>
        <v>Masa Patrón</v>
      </c>
      <c r="N15" s="630"/>
      <c r="O15" s="630"/>
      <c r="P15" s="630"/>
      <c r="Q15" s="630"/>
      <c r="R15" s="630"/>
      <c r="S15" s="630"/>
      <c r="T15" s="630"/>
      <c r="U15" s="630"/>
      <c r="V15" s="215"/>
      <c r="W15" s="215"/>
    </row>
    <row r="16" spans="2:23" x14ac:dyDescent="0.3">
      <c r="B16" s="486"/>
      <c r="C16" s="486"/>
      <c r="D16" s="472" t="s">
        <v>699</v>
      </c>
      <c r="E16" s="486"/>
      <c r="F16" s="486"/>
      <c r="G16" s="174"/>
      <c r="H16" s="174"/>
      <c r="I16" s="174"/>
      <c r="J16" s="174"/>
      <c r="K16" s="174"/>
      <c r="L16" s="215"/>
      <c r="M16" s="632" t="str">
        <f>datos!D8</f>
        <v>Mettler Toledo</v>
      </c>
      <c r="N16" s="630"/>
      <c r="O16" s="630"/>
      <c r="P16" s="630"/>
      <c r="Q16" s="630"/>
      <c r="R16" s="630"/>
      <c r="S16" s="630"/>
      <c r="T16" s="630"/>
      <c r="U16" s="630"/>
      <c r="V16" s="215"/>
      <c r="W16" s="215"/>
    </row>
    <row r="17" spans="1:23" x14ac:dyDescent="0.3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630">
        <f>'Salida de datos'!D8</f>
        <v>0</v>
      </c>
      <c r="N17" s="630"/>
      <c r="O17" s="630"/>
      <c r="P17" s="630"/>
      <c r="Q17" s="630"/>
      <c r="R17" s="630"/>
      <c r="S17" s="630"/>
      <c r="T17" s="630"/>
      <c r="U17" s="630"/>
      <c r="V17" s="215"/>
      <c r="W17" s="215"/>
    </row>
    <row r="18" spans="1:23" x14ac:dyDescent="0.3">
      <c r="B18" s="486"/>
      <c r="C18" s="486"/>
      <c r="D18" s="472" t="s">
        <v>700</v>
      </c>
      <c r="E18" s="486"/>
      <c r="F18" s="486"/>
      <c r="G18" s="174"/>
      <c r="H18" s="174"/>
      <c r="I18" s="174"/>
      <c r="J18" s="174"/>
      <c r="K18" s="174"/>
      <c r="L18" s="215"/>
      <c r="M18" s="632" t="str">
        <f>datos!D9</f>
        <v>N/A</v>
      </c>
      <c r="N18" s="630"/>
      <c r="O18" s="630"/>
      <c r="P18" s="630"/>
      <c r="Q18" s="630"/>
      <c r="R18" s="630"/>
      <c r="S18" s="630"/>
      <c r="T18" s="630"/>
      <c r="U18" s="630"/>
      <c r="V18" s="215"/>
      <c r="W18" s="215"/>
    </row>
    <row r="19" spans="1:23" x14ac:dyDescent="0.3">
      <c r="B19" s="486"/>
      <c r="C19" s="486"/>
      <c r="D19" s="472" t="s">
        <v>712</v>
      </c>
      <c r="E19" s="486"/>
      <c r="F19" s="486"/>
      <c r="G19" s="174"/>
      <c r="H19" s="174"/>
      <c r="I19" s="174"/>
      <c r="J19" s="174"/>
      <c r="K19" s="174"/>
      <c r="L19" s="215"/>
      <c r="M19" s="640">
        <f>'Salida de datos'!G8</f>
        <v>0</v>
      </c>
      <c r="N19" s="640"/>
      <c r="O19" s="640"/>
      <c r="P19" s="564" t="str">
        <f>K29</f>
        <v>g</v>
      </c>
      <c r="Q19" s="215"/>
      <c r="R19" s="215"/>
      <c r="S19" s="215"/>
      <c r="T19" s="215"/>
      <c r="U19" s="215"/>
      <c r="V19" s="215"/>
      <c r="W19" s="215"/>
    </row>
    <row r="20" spans="1:23" x14ac:dyDescent="0.3">
      <c r="B20" s="486"/>
      <c r="C20" s="486"/>
      <c r="D20" s="472" t="s">
        <v>701</v>
      </c>
      <c r="E20" s="486"/>
      <c r="F20" s="486"/>
      <c r="G20" s="174"/>
      <c r="H20" s="174"/>
      <c r="I20" s="174"/>
      <c r="J20" s="174"/>
      <c r="K20" s="174"/>
      <c r="L20" s="215"/>
      <c r="M20" s="630">
        <f>'Salida de datos'!D8</f>
        <v>0</v>
      </c>
      <c r="N20" s="630"/>
      <c r="O20" s="630"/>
      <c r="P20" s="630"/>
      <c r="Q20" s="630"/>
      <c r="R20" s="630"/>
      <c r="S20" s="630"/>
      <c r="T20" s="630"/>
      <c r="U20" s="630"/>
      <c r="V20" s="215"/>
      <c r="W20" s="215"/>
    </row>
    <row r="21" spans="1:23" x14ac:dyDescent="0.3">
      <c r="B21" s="486"/>
      <c r="C21" s="486"/>
      <c r="D21" s="472" t="s">
        <v>355</v>
      </c>
      <c r="E21" s="486"/>
      <c r="F21" s="486"/>
      <c r="G21" s="174"/>
      <c r="H21" s="174"/>
      <c r="I21" s="174"/>
      <c r="J21" s="174"/>
      <c r="K21" s="174"/>
      <c r="L21" s="215"/>
      <c r="M21" s="630" t="str">
        <f>datos!D6</f>
        <v>Instituto Nicaraguense de Energía, INE</v>
      </c>
      <c r="N21" s="630"/>
      <c r="O21" s="630"/>
      <c r="P21" s="630"/>
      <c r="Q21" s="630"/>
      <c r="R21" s="630"/>
      <c r="S21" s="630"/>
      <c r="T21" s="630"/>
      <c r="U21" s="630"/>
      <c r="V21" s="215"/>
      <c r="W21" s="215"/>
    </row>
    <row r="22" spans="1:23" ht="14.4" customHeight="1" x14ac:dyDescent="0.3">
      <c r="C22" s="486"/>
      <c r="D22" s="489" t="s">
        <v>357</v>
      </c>
      <c r="E22" s="486"/>
      <c r="F22" s="486"/>
      <c r="G22" s="174"/>
      <c r="H22" s="174"/>
      <c r="I22" s="174"/>
      <c r="J22" s="174"/>
      <c r="K22" s="174"/>
      <c r="L22" s="471"/>
      <c r="M22" s="630" t="str">
        <f>datos!H5</f>
        <v>Frente al portón Lugo Renta Car, Bolonia</v>
      </c>
      <c r="N22" s="630"/>
      <c r="O22" s="630"/>
      <c r="P22" s="630"/>
      <c r="Q22" s="630"/>
      <c r="R22" s="630"/>
      <c r="S22" s="630"/>
      <c r="T22" s="630"/>
      <c r="U22" s="630"/>
      <c r="V22" s="471"/>
      <c r="W22" s="471"/>
    </row>
    <row r="23" spans="1:23" ht="14.4" customHeight="1" x14ac:dyDescent="0.3">
      <c r="C23" s="486"/>
      <c r="D23" s="472" t="s">
        <v>702</v>
      </c>
      <c r="E23" s="486"/>
      <c r="F23" s="486"/>
      <c r="G23" s="174"/>
      <c r="H23" s="174"/>
      <c r="I23" s="174"/>
      <c r="J23" s="174"/>
      <c r="K23" s="174"/>
      <c r="L23" s="215"/>
      <c r="M23" s="630" t="str">
        <f>datos!H6</f>
        <v>Laboratorio #2 Metrocal</v>
      </c>
      <c r="N23" s="630"/>
      <c r="O23" s="630"/>
      <c r="P23" s="630"/>
      <c r="Q23" s="630"/>
      <c r="R23" s="630"/>
      <c r="S23" s="630"/>
      <c r="T23" s="630"/>
      <c r="U23" s="630"/>
      <c r="V23" s="471"/>
      <c r="W23" s="471"/>
    </row>
    <row r="24" spans="1:23" ht="14.4" customHeight="1" x14ac:dyDescent="0.3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3">
      <c r="A25" s="472" t="s">
        <v>703</v>
      </c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33" t="s">
        <v>465</v>
      </c>
      <c r="E27" s="633" t="s">
        <v>468</v>
      </c>
      <c r="F27" s="633"/>
      <c r="G27" s="633" t="s">
        <v>466</v>
      </c>
      <c r="H27" s="633"/>
      <c r="I27" s="634" t="s">
        <v>467</v>
      </c>
      <c r="J27" s="635"/>
      <c r="K27" s="635"/>
      <c r="L27" s="635"/>
      <c r="M27" s="635"/>
      <c r="N27" s="635"/>
      <c r="O27" s="635"/>
      <c r="P27" s="635"/>
      <c r="Q27" s="635"/>
      <c r="R27" s="636"/>
      <c r="S27" s="633" t="s">
        <v>732</v>
      </c>
      <c r="T27" s="633"/>
      <c r="U27" s="633"/>
      <c r="V27" s="633"/>
    </row>
    <row r="28" spans="1:23" ht="14.25" customHeight="1" x14ac:dyDescent="0.3">
      <c r="A28" s="215"/>
      <c r="B28" s="498"/>
      <c r="C28" s="498"/>
      <c r="D28" s="633"/>
      <c r="E28" s="633"/>
      <c r="F28" s="633"/>
      <c r="G28" s="633"/>
      <c r="H28" s="633"/>
      <c r="I28" s="637"/>
      <c r="J28" s="638"/>
      <c r="K28" s="638"/>
      <c r="L28" s="638"/>
      <c r="M28" s="638"/>
      <c r="N28" s="638"/>
      <c r="O28" s="638"/>
      <c r="P28" s="638"/>
      <c r="Q28" s="638"/>
      <c r="R28" s="639"/>
      <c r="S28" s="633"/>
      <c r="T28" s="633"/>
      <c r="U28" s="633"/>
      <c r="V28" s="633"/>
    </row>
    <row r="29" spans="1:23" x14ac:dyDescent="0.3">
      <c r="A29" s="215"/>
      <c r="B29" s="498"/>
      <c r="C29" s="498"/>
      <c r="D29" s="499">
        <f>'Salida de datos'!C8</f>
        <v>1</v>
      </c>
      <c r="E29" s="647">
        <f>'Salida de datos'!D8</f>
        <v>0</v>
      </c>
      <c r="F29" s="647"/>
      <c r="G29" s="500">
        <f>'Salida de datos'!E8</f>
        <v>0</v>
      </c>
      <c r="H29" s="500" t="str">
        <f>'Salida de datos'!F8</f>
        <v>g</v>
      </c>
      <c r="I29" s="648">
        <f>'Salida de datos'!G8</f>
        <v>0</v>
      </c>
      <c r="J29" s="648"/>
      <c r="K29" s="649" t="str">
        <f>'Salida de datos'!H8</f>
        <v>g</v>
      </c>
      <c r="L29" s="650"/>
      <c r="M29" s="500" t="e">
        <f>'Salida de datos'!I8</f>
        <v>#N/A</v>
      </c>
      <c r="N29" s="651" t="e">
        <f>'Salida de datos'!J8</f>
        <v>#N/A</v>
      </c>
      <c r="O29" s="651"/>
      <c r="P29" s="651"/>
      <c r="Q29" s="651" t="str">
        <f>'Salida de datos'!K8</f>
        <v>mg</v>
      </c>
      <c r="R29" s="651"/>
      <c r="S29" s="651">
        <v>333.3</v>
      </c>
      <c r="T29" s="651"/>
      <c r="U29" s="650" t="str">
        <f>'Salida de datos'!M8</f>
        <v>mg</v>
      </c>
      <c r="V29" s="650"/>
    </row>
    <row r="30" spans="1:23" ht="14.4" hidden="1" customHeight="1" x14ac:dyDescent="0.3">
      <c r="A30" s="215"/>
      <c r="B30" s="498"/>
      <c r="C30" s="498"/>
      <c r="D30" s="499">
        <f>'Salida de datos'!C9</f>
        <v>2</v>
      </c>
      <c r="E30" s="647">
        <f>'Salida de datos'!D9</f>
        <v>0</v>
      </c>
      <c r="F30" s="647"/>
      <c r="G30" s="500">
        <f>'Salida de datos'!E9</f>
        <v>0</v>
      </c>
      <c r="H30" s="500" t="str">
        <f>'Salida de datos'!F9</f>
        <v>g</v>
      </c>
      <c r="I30" s="648">
        <f>'Salida de datos'!G9</f>
        <v>0</v>
      </c>
      <c r="J30" s="648"/>
      <c r="K30" s="649" t="str">
        <f>'Salida de datos'!H9</f>
        <v>g</v>
      </c>
      <c r="L30" s="650"/>
      <c r="M30" s="500" t="e">
        <f>'Salida de datos'!I9</f>
        <v>#N/A</v>
      </c>
      <c r="N30" s="651" t="e">
        <f>'Salida de datos'!J9</f>
        <v>#N/A</v>
      </c>
      <c r="O30" s="651"/>
      <c r="P30" s="651"/>
      <c r="Q30" s="651" t="str">
        <f>'Salida de datos'!K9</f>
        <v>mg</v>
      </c>
      <c r="R30" s="651"/>
      <c r="S30" s="651">
        <v>334.3</v>
      </c>
      <c r="T30" s="651"/>
      <c r="U30" s="650" t="str">
        <f>'Salida de datos'!M9</f>
        <v>mg</v>
      </c>
      <c r="V30" s="650"/>
    </row>
    <row r="31" spans="1:23" x14ac:dyDescent="0.3">
      <c r="A31" s="215"/>
      <c r="B31" s="498"/>
      <c r="C31" s="498"/>
      <c r="D31" s="499">
        <f>'Salida de datos'!C10</f>
        <v>3</v>
      </c>
      <c r="E31" s="647">
        <f>'Salida de datos'!D10</f>
        <v>0</v>
      </c>
      <c r="F31" s="647"/>
      <c r="G31" s="500">
        <f>'Salida de datos'!E10</f>
        <v>0</v>
      </c>
      <c r="H31" s="500" t="str">
        <f>'Salida de datos'!F10</f>
        <v>g</v>
      </c>
      <c r="I31" s="648">
        <f>'Salida de datos'!G10</f>
        <v>0</v>
      </c>
      <c r="J31" s="648"/>
      <c r="K31" s="649" t="str">
        <f>'Salida de datos'!H10</f>
        <v>g</v>
      </c>
      <c r="L31" s="650"/>
      <c r="M31" s="500" t="e">
        <f>'Salida de datos'!I10</f>
        <v>#N/A</v>
      </c>
      <c r="N31" s="651" t="e">
        <f>'Salida de datos'!J10</f>
        <v>#N/A</v>
      </c>
      <c r="O31" s="651"/>
      <c r="P31" s="651"/>
      <c r="Q31" s="651" t="str">
        <f>'Salida de datos'!K10</f>
        <v>mg</v>
      </c>
      <c r="R31" s="651"/>
      <c r="S31" s="651">
        <v>335.3</v>
      </c>
      <c r="T31" s="651"/>
      <c r="U31" s="650" t="str">
        <f>'Salida de datos'!M10</f>
        <v>mg</v>
      </c>
      <c r="V31" s="650"/>
    </row>
    <row r="32" spans="1:23" x14ac:dyDescent="0.3">
      <c r="A32" s="215"/>
      <c r="B32" s="498"/>
      <c r="C32" s="498"/>
      <c r="D32" s="499">
        <f>'Salida de datos'!C11</f>
        <v>4</v>
      </c>
      <c r="E32" s="647">
        <f>'Salida de datos'!D11</f>
        <v>0</v>
      </c>
      <c r="F32" s="647"/>
      <c r="G32" s="500">
        <f>'Salida de datos'!E11</f>
        <v>0</v>
      </c>
      <c r="H32" s="500" t="str">
        <f>'Salida de datos'!F11</f>
        <v>g</v>
      </c>
      <c r="I32" s="648">
        <f>'Salida de datos'!G11</f>
        <v>0</v>
      </c>
      <c r="J32" s="648"/>
      <c r="K32" s="649" t="str">
        <f>'Salida de datos'!H11</f>
        <v>g</v>
      </c>
      <c r="L32" s="650"/>
      <c r="M32" s="500" t="e">
        <f>'Salida de datos'!I11</f>
        <v>#N/A</v>
      </c>
      <c r="N32" s="651" t="e">
        <f>'Salida de datos'!J11</f>
        <v>#N/A</v>
      </c>
      <c r="O32" s="651"/>
      <c r="P32" s="651"/>
      <c r="Q32" s="651" t="str">
        <f>'Salida de datos'!K11</f>
        <v>mg</v>
      </c>
      <c r="R32" s="651"/>
      <c r="S32" s="651">
        <v>336.3</v>
      </c>
      <c r="T32" s="651"/>
      <c r="U32" s="650" t="str">
        <f>'Salida de datos'!M11</f>
        <v>mg</v>
      </c>
      <c r="V32" s="650"/>
    </row>
    <row r="33" spans="1:22" x14ac:dyDescent="0.3">
      <c r="A33" s="215"/>
      <c r="B33" s="498"/>
      <c r="C33" s="498"/>
      <c r="D33" s="499">
        <f>'Salida de datos'!C12</f>
        <v>5</v>
      </c>
      <c r="E33" s="647">
        <f>'Salida de datos'!D12</f>
        <v>0</v>
      </c>
      <c r="F33" s="647"/>
      <c r="G33" s="500">
        <f>'Salida de datos'!E12</f>
        <v>0</v>
      </c>
      <c r="H33" s="500" t="str">
        <f>'Salida de datos'!F12</f>
        <v>g</v>
      </c>
      <c r="I33" s="648">
        <f>'Salida de datos'!G12</f>
        <v>0</v>
      </c>
      <c r="J33" s="648"/>
      <c r="K33" s="649" t="str">
        <f>'Salida de datos'!H12</f>
        <v>g</v>
      </c>
      <c r="L33" s="650"/>
      <c r="M33" s="500" t="e">
        <f>'Salida de datos'!I12</f>
        <v>#N/A</v>
      </c>
      <c r="N33" s="651" t="e">
        <f>'Salida de datos'!J12</f>
        <v>#N/A</v>
      </c>
      <c r="O33" s="651"/>
      <c r="P33" s="651"/>
      <c r="Q33" s="651" t="str">
        <f>'Salida de datos'!K12</f>
        <v>mg</v>
      </c>
      <c r="R33" s="651"/>
      <c r="S33" s="651">
        <v>337.3</v>
      </c>
      <c r="T33" s="651"/>
      <c r="U33" s="650" t="str">
        <f>'Salida de datos'!M12</f>
        <v>mg</v>
      </c>
      <c r="V33" s="650"/>
    </row>
    <row r="34" spans="1:22" x14ac:dyDescent="0.3">
      <c r="A34" s="215"/>
      <c r="B34" s="498"/>
      <c r="C34" s="498"/>
      <c r="D34" s="499">
        <f>'Salida de datos'!C13</f>
        <v>6</v>
      </c>
      <c r="E34" s="647">
        <f>'Salida de datos'!D13</f>
        <v>0</v>
      </c>
      <c r="F34" s="647"/>
      <c r="G34" s="500">
        <f>'Salida de datos'!E13</f>
        <v>0</v>
      </c>
      <c r="H34" s="500" t="str">
        <f>'Salida de datos'!F13</f>
        <v>g</v>
      </c>
      <c r="I34" s="648">
        <f>'Salida de datos'!G13</f>
        <v>0</v>
      </c>
      <c r="J34" s="648"/>
      <c r="K34" s="649" t="str">
        <f>'Salida de datos'!H13</f>
        <v>g</v>
      </c>
      <c r="L34" s="650"/>
      <c r="M34" s="500" t="e">
        <f>'Salida de datos'!I13</f>
        <v>#N/A</v>
      </c>
      <c r="N34" s="651" t="e">
        <f>'Salida de datos'!J13</f>
        <v>#N/A</v>
      </c>
      <c r="O34" s="651"/>
      <c r="P34" s="651"/>
      <c r="Q34" s="651" t="str">
        <f>'Salida de datos'!K13</f>
        <v>mg</v>
      </c>
      <c r="R34" s="651"/>
      <c r="S34" s="651">
        <v>338.3</v>
      </c>
      <c r="T34" s="651"/>
      <c r="U34" s="650" t="str">
        <f>'Salida de datos'!M13</f>
        <v>mg</v>
      </c>
      <c r="V34" s="650"/>
    </row>
    <row r="35" spans="1:22" x14ac:dyDescent="0.3">
      <c r="A35" s="215"/>
      <c r="B35" s="498"/>
      <c r="C35" s="498"/>
      <c r="D35" s="499">
        <f>'Salida de datos'!C14</f>
        <v>7</v>
      </c>
      <c r="E35" s="647">
        <f>'Salida de datos'!D14</f>
        <v>0</v>
      </c>
      <c r="F35" s="647"/>
      <c r="G35" s="500">
        <f>'Salida de datos'!E14</f>
        <v>0</v>
      </c>
      <c r="H35" s="500" t="str">
        <f>'Salida de datos'!F14</f>
        <v>g</v>
      </c>
      <c r="I35" s="648">
        <f>'Salida de datos'!G14</f>
        <v>0</v>
      </c>
      <c r="J35" s="648"/>
      <c r="K35" s="649" t="str">
        <f>'Salida de datos'!H14</f>
        <v>g</v>
      </c>
      <c r="L35" s="650"/>
      <c r="M35" s="500" t="e">
        <f>'Salida de datos'!I14</f>
        <v>#N/A</v>
      </c>
      <c r="N35" s="651" t="e">
        <f>'Salida de datos'!J14</f>
        <v>#N/A</v>
      </c>
      <c r="O35" s="651"/>
      <c r="P35" s="651"/>
      <c r="Q35" s="651" t="str">
        <f>'Salida de datos'!K14</f>
        <v>mg</v>
      </c>
      <c r="R35" s="651"/>
      <c r="S35" s="651">
        <v>339.3</v>
      </c>
      <c r="T35" s="651"/>
      <c r="U35" s="650" t="str">
        <f>'Salida de datos'!M14</f>
        <v>mg</v>
      </c>
      <c r="V35" s="650"/>
    </row>
    <row r="36" spans="1:22" x14ac:dyDescent="0.3">
      <c r="A36" s="215"/>
      <c r="B36" s="498"/>
      <c r="C36" s="498"/>
      <c r="D36" s="499">
        <f>'Salida de datos'!C15</f>
        <v>8</v>
      </c>
      <c r="E36" s="647">
        <f>'Salida de datos'!D15</f>
        <v>0</v>
      </c>
      <c r="F36" s="647"/>
      <c r="G36" s="500">
        <f>'Salida de datos'!E15</f>
        <v>0</v>
      </c>
      <c r="H36" s="500" t="str">
        <f>'Salida de datos'!F15</f>
        <v>g</v>
      </c>
      <c r="I36" s="648">
        <f>'Salida de datos'!G15</f>
        <v>0</v>
      </c>
      <c r="J36" s="648"/>
      <c r="K36" s="649" t="str">
        <f>'Salida de datos'!H15</f>
        <v>g</v>
      </c>
      <c r="L36" s="650"/>
      <c r="M36" s="500" t="e">
        <f>'Salida de datos'!I15</f>
        <v>#N/A</v>
      </c>
      <c r="N36" s="651" t="e">
        <f>'Salida de datos'!J15</f>
        <v>#N/A</v>
      </c>
      <c r="O36" s="651"/>
      <c r="P36" s="651"/>
      <c r="Q36" s="651" t="str">
        <f>'Salida de datos'!K15</f>
        <v>mg</v>
      </c>
      <c r="R36" s="651"/>
      <c r="S36" s="651">
        <v>340.3</v>
      </c>
      <c r="T36" s="651"/>
      <c r="U36" s="650" t="str">
        <f>'Salida de datos'!M15</f>
        <v>mg</v>
      </c>
      <c r="V36" s="650"/>
    </row>
    <row r="37" spans="1:22" x14ac:dyDescent="0.3">
      <c r="A37" s="215"/>
      <c r="B37" s="498"/>
      <c r="C37" s="498"/>
      <c r="D37" s="499">
        <f>'Salida de datos'!C16</f>
        <v>9</v>
      </c>
      <c r="E37" s="647">
        <f>'Salida de datos'!D16</f>
        <v>0</v>
      </c>
      <c r="F37" s="647"/>
      <c r="G37" s="500">
        <f>'Salida de datos'!E16</f>
        <v>0</v>
      </c>
      <c r="H37" s="500" t="str">
        <f>'Salida de datos'!F16</f>
        <v>g</v>
      </c>
      <c r="I37" s="648">
        <f>'Salida de datos'!G16</f>
        <v>0</v>
      </c>
      <c r="J37" s="648"/>
      <c r="K37" s="649" t="str">
        <f>'Salida de datos'!H16</f>
        <v>g</v>
      </c>
      <c r="L37" s="650"/>
      <c r="M37" s="500" t="e">
        <f>'Salida de datos'!I16</f>
        <v>#N/A</v>
      </c>
      <c r="N37" s="651" t="e">
        <f>'Salida de datos'!J16</f>
        <v>#N/A</v>
      </c>
      <c r="O37" s="651"/>
      <c r="P37" s="651"/>
      <c r="Q37" s="651" t="str">
        <f>'Salida de datos'!K16</f>
        <v>mg</v>
      </c>
      <c r="R37" s="651"/>
      <c r="S37" s="651">
        <v>341.3</v>
      </c>
      <c r="T37" s="651"/>
      <c r="U37" s="650" t="str">
        <f>'Salida de datos'!M16</f>
        <v>mg</v>
      </c>
      <c r="V37" s="650"/>
    </row>
    <row r="38" spans="1:22" x14ac:dyDescent="0.3">
      <c r="A38" s="215"/>
      <c r="B38" s="498"/>
      <c r="C38" s="498"/>
      <c r="D38" s="499">
        <f>'Salida de datos'!C17</f>
        <v>10</v>
      </c>
      <c r="E38" s="647">
        <f>'Salida de datos'!D17</f>
        <v>0</v>
      </c>
      <c r="F38" s="647"/>
      <c r="G38" s="500">
        <f>'Salida de datos'!E17</f>
        <v>0</v>
      </c>
      <c r="H38" s="500" t="str">
        <f>'Salida de datos'!F17</f>
        <v>kg</v>
      </c>
      <c r="I38" s="648">
        <f>'Salida de datos'!G17</f>
        <v>0</v>
      </c>
      <c r="J38" s="648"/>
      <c r="K38" s="649" t="str">
        <f>'Salida de datos'!H17</f>
        <v>kg</v>
      </c>
      <c r="L38" s="650"/>
      <c r="M38" s="500" t="e">
        <f>'Salida de datos'!I17</f>
        <v>#N/A</v>
      </c>
      <c r="N38" s="651" t="e">
        <f>'Salida de datos'!J17</f>
        <v>#N/A</v>
      </c>
      <c r="O38" s="651"/>
      <c r="P38" s="651"/>
      <c r="Q38" s="651" t="str">
        <f>'Salida de datos'!K17</f>
        <v>mg</v>
      </c>
      <c r="R38" s="651"/>
      <c r="S38" s="651">
        <v>342.3</v>
      </c>
      <c r="T38" s="651"/>
      <c r="U38" s="650" t="str">
        <f>'Salida de datos'!M17</f>
        <v>mg</v>
      </c>
      <c r="V38" s="650"/>
    </row>
    <row r="39" spans="1:22" x14ac:dyDescent="0.3">
      <c r="A39" s="215"/>
      <c r="B39" s="498"/>
      <c r="C39" s="498"/>
      <c r="D39" s="499">
        <f>'Salida de datos'!C18</f>
        <v>11</v>
      </c>
      <c r="E39" s="647">
        <f>'Salida de datos'!D18</f>
        <v>0</v>
      </c>
      <c r="F39" s="647"/>
      <c r="G39" s="500">
        <f>'Salida de datos'!E18</f>
        <v>0</v>
      </c>
      <c r="H39" s="500" t="str">
        <f>'Salida de datos'!F18</f>
        <v>kg</v>
      </c>
      <c r="I39" s="648">
        <f>'Salida de datos'!G18</f>
        <v>0</v>
      </c>
      <c r="J39" s="648"/>
      <c r="K39" s="649" t="str">
        <f>'Salida de datos'!H18</f>
        <v>kg</v>
      </c>
      <c r="L39" s="650"/>
      <c r="M39" s="500" t="e">
        <f>'Salida de datos'!I18</f>
        <v>#N/A</v>
      </c>
      <c r="N39" s="651" t="e">
        <f>'Salida de datos'!J18</f>
        <v>#N/A</v>
      </c>
      <c r="O39" s="651"/>
      <c r="P39" s="651"/>
      <c r="Q39" s="651" t="str">
        <f>'Salida de datos'!K18</f>
        <v>mg</v>
      </c>
      <c r="R39" s="651"/>
      <c r="S39" s="651">
        <v>343.3</v>
      </c>
      <c r="T39" s="651"/>
      <c r="U39" s="650" t="str">
        <f>'Salida de datos'!M18</f>
        <v>mg</v>
      </c>
      <c r="V39" s="650"/>
    </row>
    <row r="40" spans="1:22" x14ac:dyDescent="0.3">
      <c r="A40" s="215"/>
      <c r="B40" s="498"/>
      <c r="C40" s="498"/>
      <c r="D40" s="499">
        <f>'Salida de datos'!C19</f>
        <v>12</v>
      </c>
      <c r="E40" s="647">
        <f>'Salida de datos'!D19</f>
        <v>0</v>
      </c>
      <c r="F40" s="647"/>
      <c r="G40" s="500">
        <f>'Salida de datos'!E19</f>
        <v>0</v>
      </c>
      <c r="H40" s="500" t="str">
        <f>'Salida de datos'!F19</f>
        <v>kg</v>
      </c>
      <c r="I40" s="648">
        <f>'Salida de datos'!G19</f>
        <v>0</v>
      </c>
      <c r="J40" s="648"/>
      <c r="K40" s="649" t="str">
        <f>'Salida de datos'!H19</f>
        <v>kg</v>
      </c>
      <c r="L40" s="650"/>
      <c r="M40" s="500" t="e">
        <f>'Salida de datos'!I19</f>
        <v>#N/A</v>
      </c>
      <c r="N40" s="651" t="e">
        <f>'Salida de datos'!J19</f>
        <v>#N/A</v>
      </c>
      <c r="O40" s="651"/>
      <c r="P40" s="651"/>
      <c r="Q40" s="651" t="str">
        <f>'Salida de datos'!K19</f>
        <v>mg</v>
      </c>
      <c r="R40" s="651"/>
      <c r="S40" s="651">
        <v>344.3</v>
      </c>
      <c r="T40" s="651"/>
      <c r="U40" s="650" t="str">
        <f>'Salida de datos'!M19</f>
        <v>mg</v>
      </c>
      <c r="V40" s="650"/>
    </row>
    <row r="41" spans="1:22" x14ac:dyDescent="0.3">
      <c r="A41" s="215"/>
      <c r="B41" s="498"/>
      <c r="C41" s="498"/>
      <c r="D41" s="499">
        <f>'Salida de datos'!C20</f>
        <v>13</v>
      </c>
      <c r="E41" s="647">
        <f>'Salida de datos'!D20</f>
        <v>0</v>
      </c>
      <c r="F41" s="647"/>
      <c r="G41" s="500">
        <f>'Salida de datos'!E20</f>
        <v>0</v>
      </c>
      <c r="H41" s="500" t="str">
        <f>'Salida de datos'!F20</f>
        <v>g</v>
      </c>
      <c r="I41" s="648">
        <f>'Salida de datos'!G20</f>
        <v>0</v>
      </c>
      <c r="J41" s="648"/>
      <c r="K41" s="649" t="str">
        <f>'Salida de datos'!H20</f>
        <v>g</v>
      </c>
      <c r="L41" s="650"/>
      <c r="M41" s="500" t="e">
        <f>'Salida de datos'!I20</f>
        <v>#N/A</v>
      </c>
      <c r="N41" s="651" t="e">
        <f>'Salida de datos'!J20</f>
        <v>#N/A</v>
      </c>
      <c r="O41" s="651"/>
      <c r="P41" s="651"/>
      <c r="Q41" s="651" t="str">
        <f>'Salida de datos'!K20</f>
        <v>mg</v>
      </c>
      <c r="R41" s="651"/>
      <c r="S41" s="651">
        <v>345.3</v>
      </c>
      <c r="T41" s="651"/>
      <c r="U41" s="650" t="str">
        <f>'Salida de datos'!M20</f>
        <v>mg</v>
      </c>
      <c r="V41" s="650"/>
    </row>
    <row r="42" spans="1:22" x14ac:dyDescent="0.3">
      <c r="A42" s="215"/>
      <c r="B42" s="498"/>
      <c r="C42" s="498"/>
      <c r="D42" s="499">
        <f>'Salida de datos'!C21</f>
        <v>14</v>
      </c>
      <c r="E42" s="647">
        <f>'Salida de datos'!D21</f>
        <v>0</v>
      </c>
      <c r="F42" s="647"/>
      <c r="G42" s="500">
        <f>'Salida de datos'!E21</f>
        <v>0</v>
      </c>
      <c r="H42" s="500" t="str">
        <f>'Salida de datos'!F21</f>
        <v>kg</v>
      </c>
      <c r="I42" s="648">
        <f>'Salida de datos'!G21</f>
        <v>0</v>
      </c>
      <c r="J42" s="648"/>
      <c r="K42" s="649" t="str">
        <f>'Salida de datos'!H21</f>
        <v>kg</v>
      </c>
      <c r="L42" s="650"/>
      <c r="M42" s="500" t="e">
        <f>'Salida de datos'!I21</f>
        <v>#N/A</v>
      </c>
      <c r="N42" s="651" t="e">
        <f>'Salida de datos'!J21</f>
        <v>#N/A</v>
      </c>
      <c r="O42" s="651"/>
      <c r="P42" s="651"/>
      <c r="Q42" s="651" t="str">
        <f>'Salida de datos'!K21</f>
        <v>mg</v>
      </c>
      <c r="R42" s="651"/>
      <c r="S42" s="651">
        <v>346.3</v>
      </c>
      <c r="T42" s="651"/>
      <c r="U42" s="650" t="str">
        <f>'Salida de datos'!M21</f>
        <v>mg</v>
      </c>
      <c r="V42" s="650"/>
    </row>
    <row r="43" spans="1:22" x14ac:dyDescent="0.3">
      <c r="A43" s="215"/>
      <c r="B43" s="498"/>
      <c r="C43" s="498"/>
      <c r="D43" s="499">
        <f>'Salida de datos'!C22</f>
        <v>15</v>
      </c>
      <c r="E43" s="647">
        <f>'Salida de datos'!D22</f>
        <v>0</v>
      </c>
      <c r="F43" s="647"/>
      <c r="G43" s="500">
        <f>'Salida de datos'!E22</f>
        <v>0</v>
      </c>
      <c r="H43" s="500" t="str">
        <f>'Salida de datos'!F22</f>
        <v>kg</v>
      </c>
      <c r="I43" s="648">
        <f>'Salida de datos'!G22</f>
        <v>0</v>
      </c>
      <c r="J43" s="648"/>
      <c r="K43" s="649" t="str">
        <f>'Salida de datos'!H22</f>
        <v>kg</v>
      </c>
      <c r="L43" s="650"/>
      <c r="M43" s="500" t="e">
        <f>'Salida de datos'!I22</f>
        <v>#N/A</v>
      </c>
      <c r="N43" s="651" t="e">
        <f>'Salida de datos'!J22</f>
        <v>#N/A</v>
      </c>
      <c r="O43" s="651"/>
      <c r="P43" s="651"/>
      <c r="Q43" s="651" t="str">
        <f>'Salida de datos'!K22</f>
        <v>mg</v>
      </c>
      <c r="R43" s="651"/>
      <c r="S43" s="651">
        <v>347.3</v>
      </c>
      <c r="T43" s="651"/>
      <c r="U43" s="650" t="str">
        <f>'Salida de datos'!M22</f>
        <v>mg</v>
      </c>
      <c r="V43" s="650"/>
    </row>
    <row r="44" spans="1:22" x14ac:dyDescent="0.3">
      <c r="A44" s="215"/>
      <c r="B44" s="498"/>
      <c r="C44" s="498"/>
      <c r="D44" s="499">
        <f>'Salida de datos'!C23</f>
        <v>16</v>
      </c>
      <c r="E44" s="647">
        <f>'Salida de datos'!D23</f>
        <v>0</v>
      </c>
      <c r="F44" s="647"/>
      <c r="G44" s="500">
        <f>'Salida de datos'!E23</f>
        <v>0</v>
      </c>
      <c r="H44" s="500" t="str">
        <f>'Salida de datos'!F23</f>
        <v>kg</v>
      </c>
      <c r="I44" s="648">
        <f>'Salida de datos'!G23</f>
        <v>0</v>
      </c>
      <c r="J44" s="648"/>
      <c r="K44" s="649" t="str">
        <f>'Salida de datos'!H23</f>
        <v>kg</v>
      </c>
      <c r="L44" s="650"/>
      <c r="M44" s="500" t="e">
        <f>'Salida de datos'!I23</f>
        <v>#N/A</v>
      </c>
      <c r="N44" s="651" t="e">
        <f>'Salida de datos'!J23</f>
        <v>#N/A</v>
      </c>
      <c r="O44" s="651"/>
      <c r="P44" s="651"/>
      <c r="Q44" s="651" t="str">
        <f>'Salida de datos'!K23</f>
        <v>mg</v>
      </c>
      <c r="R44" s="651"/>
      <c r="S44" s="651">
        <v>348.3</v>
      </c>
      <c r="T44" s="651"/>
      <c r="U44" s="650" t="str">
        <f>'Salida de datos'!M23</f>
        <v>mg</v>
      </c>
      <c r="V44" s="650"/>
    </row>
    <row r="45" spans="1:22" x14ac:dyDescent="0.3">
      <c r="A45" s="215"/>
      <c r="B45" s="498"/>
      <c r="C45" s="498"/>
      <c r="D45" s="499">
        <f>'Salida de datos'!C24</f>
        <v>17</v>
      </c>
      <c r="E45" s="647">
        <f>'Salida de datos'!D24</f>
        <v>0</v>
      </c>
      <c r="F45" s="647"/>
      <c r="G45" s="500">
        <f>'Salida de datos'!E24</f>
        <v>0</v>
      </c>
      <c r="H45" s="500" t="str">
        <f>'Salida de datos'!F24</f>
        <v>g</v>
      </c>
      <c r="I45" s="648">
        <f>'Salida de datos'!G24</f>
        <v>0</v>
      </c>
      <c r="J45" s="648"/>
      <c r="K45" s="649" t="str">
        <f>'Salida de datos'!H24</f>
        <v>g</v>
      </c>
      <c r="L45" s="650"/>
      <c r="M45" s="500" t="e">
        <f>'Salida de datos'!I24</f>
        <v>#N/A</v>
      </c>
      <c r="N45" s="651" t="e">
        <f>'Salida de datos'!J24</f>
        <v>#N/A</v>
      </c>
      <c r="O45" s="651"/>
      <c r="P45" s="651"/>
      <c r="Q45" s="651" t="str">
        <f>'Salida de datos'!K24</f>
        <v>mg</v>
      </c>
      <c r="R45" s="651"/>
      <c r="S45" s="651">
        <v>349.3</v>
      </c>
      <c r="T45" s="651"/>
      <c r="U45" s="650" t="str">
        <f>'Salida de datos'!M24</f>
        <v>mg</v>
      </c>
      <c r="V45" s="650"/>
    </row>
    <row r="46" spans="1:22" x14ac:dyDescent="0.3">
      <c r="A46" s="215"/>
      <c r="B46" s="498"/>
      <c r="C46" s="498"/>
      <c r="D46" s="499">
        <f>'Salida de datos'!C25</f>
        <v>18</v>
      </c>
      <c r="E46" s="647">
        <f>'Salida de datos'!D25</f>
        <v>0</v>
      </c>
      <c r="F46" s="647"/>
      <c r="G46" s="500">
        <f>'Salida de datos'!E25</f>
        <v>0</v>
      </c>
      <c r="H46" s="500" t="str">
        <f>'Salida de datos'!F25</f>
        <v>g</v>
      </c>
      <c r="I46" s="648">
        <f>'Salida de datos'!G25</f>
        <v>0</v>
      </c>
      <c r="J46" s="648"/>
      <c r="K46" s="649" t="str">
        <f>'Salida de datos'!H25</f>
        <v>g</v>
      </c>
      <c r="L46" s="650"/>
      <c r="M46" s="500" t="e">
        <f>'Salida de datos'!I25</f>
        <v>#N/A</v>
      </c>
      <c r="N46" s="651" t="e">
        <f>'Salida de datos'!J25</f>
        <v>#N/A</v>
      </c>
      <c r="O46" s="651"/>
      <c r="P46" s="651"/>
      <c r="Q46" s="651" t="str">
        <f>'Salida de datos'!K25</f>
        <v>mg</v>
      </c>
      <c r="R46" s="651"/>
      <c r="S46" s="651">
        <v>350.3</v>
      </c>
      <c r="T46" s="651"/>
      <c r="U46" s="650" t="str">
        <f>'Salida de datos'!M25</f>
        <v>mg</v>
      </c>
      <c r="V46" s="650"/>
    </row>
    <row r="47" spans="1:22" x14ac:dyDescent="0.3">
      <c r="A47" s="215"/>
      <c r="B47" s="498"/>
      <c r="C47" s="498"/>
      <c r="D47" s="499">
        <f>'Salida de datos'!C26</f>
        <v>19</v>
      </c>
      <c r="E47" s="647">
        <f>'Salida de datos'!D26</f>
        <v>0</v>
      </c>
      <c r="F47" s="647"/>
      <c r="G47" s="500">
        <f>'Salida de datos'!E26</f>
        <v>0</v>
      </c>
      <c r="H47" s="500" t="str">
        <f>'Salida de datos'!F26</f>
        <v>kg</v>
      </c>
      <c r="I47" s="648">
        <f>'Salida de datos'!G26</f>
        <v>0</v>
      </c>
      <c r="J47" s="648"/>
      <c r="K47" s="649" t="str">
        <f>'Salida de datos'!H26</f>
        <v>kg</v>
      </c>
      <c r="L47" s="650"/>
      <c r="M47" s="500" t="e">
        <f>'Salida de datos'!I26</f>
        <v>#N/A</v>
      </c>
      <c r="N47" s="651" t="e">
        <f>'Salida de datos'!J26</f>
        <v>#N/A</v>
      </c>
      <c r="O47" s="651"/>
      <c r="P47" s="651"/>
      <c r="Q47" s="651" t="str">
        <f>'Salida de datos'!K26</f>
        <v>mg</v>
      </c>
      <c r="R47" s="651"/>
      <c r="S47" s="651">
        <v>351.3</v>
      </c>
      <c r="T47" s="651"/>
      <c r="U47" s="650" t="str">
        <f>'Salida de datos'!M26</f>
        <v>mg</v>
      </c>
      <c r="V47" s="650"/>
    </row>
    <row r="48" spans="1:22" x14ac:dyDescent="0.3">
      <c r="A48" s="215"/>
      <c r="B48" s="498"/>
      <c r="C48" s="498"/>
      <c r="D48" s="499">
        <f>'Salida de datos'!C27</f>
        <v>20</v>
      </c>
      <c r="E48" s="647">
        <f>'Salida de datos'!D27</f>
        <v>0</v>
      </c>
      <c r="F48" s="647"/>
      <c r="G48" s="500">
        <f>'Salida de datos'!E27</f>
        <v>0</v>
      </c>
      <c r="H48" s="500" t="str">
        <f>'Salida de datos'!F27</f>
        <v>kg</v>
      </c>
      <c r="I48" s="648">
        <f>'Salida de datos'!G27</f>
        <v>0</v>
      </c>
      <c r="J48" s="648"/>
      <c r="K48" s="649" t="str">
        <f>'Salida de datos'!H27</f>
        <v>kg</v>
      </c>
      <c r="L48" s="650"/>
      <c r="M48" s="500" t="e">
        <f>'Salida de datos'!I27</f>
        <v>#N/A</v>
      </c>
      <c r="N48" s="651" t="e">
        <f>'Salida de datos'!J27</f>
        <v>#N/A</v>
      </c>
      <c r="O48" s="651"/>
      <c r="P48" s="651"/>
      <c r="Q48" s="651" t="str">
        <f>'Salida de datos'!K27</f>
        <v>mg</v>
      </c>
      <c r="R48" s="651"/>
      <c r="S48" s="651">
        <v>352.3</v>
      </c>
      <c r="T48" s="651"/>
      <c r="U48" s="650" t="str">
        <f>'Salida de datos'!M27</f>
        <v>mg</v>
      </c>
      <c r="V48" s="650"/>
    </row>
    <row r="49" spans="1:23" x14ac:dyDescent="0.3">
      <c r="A49" s="215"/>
      <c r="B49" s="498"/>
      <c r="C49" s="498"/>
      <c r="D49" s="604"/>
      <c r="E49" s="657"/>
      <c r="F49" s="657"/>
      <c r="G49" s="605"/>
      <c r="H49" s="605"/>
      <c r="I49" s="606"/>
      <c r="J49" s="606"/>
      <c r="K49" s="606"/>
      <c r="L49" s="607"/>
      <c r="M49" s="605"/>
      <c r="N49" s="608"/>
      <c r="O49" s="608"/>
      <c r="P49" s="608"/>
      <c r="Q49" s="609"/>
      <c r="R49" s="609"/>
      <c r="S49" s="609"/>
      <c r="T49" s="609"/>
      <c r="U49" s="607"/>
      <c r="V49" s="607"/>
    </row>
    <row r="50" spans="1:23" x14ac:dyDescent="0.3">
      <c r="A50" s="215"/>
      <c r="B50" s="498"/>
      <c r="C50" s="498"/>
      <c r="D50" s="604"/>
      <c r="E50" s="657"/>
      <c r="F50" s="657"/>
      <c r="G50" s="605"/>
      <c r="H50" s="605"/>
      <c r="I50" s="606"/>
      <c r="J50" s="606"/>
      <c r="K50" s="606"/>
      <c r="L50" s="607"/>
      <c r="M50" s="605"/>
      <c r="N50" s="608"/>
      <c r="O50" s="608"/>
      <c r="P50" s="608"/>
      <c r="Q50" s="609"/>
      <c r="R50" s="609"/>
      <c r="S50" s="609"/>
      <c r="T50" s="609"/>
      <c r="U50" s="607"/>
      <c r="V50" s="607"/>
    </row>
    <row r="51" spans="1:23" x14ac:dyDescent="0.3">
      <c r="A51" s="215"/>
      <c r="B51" s="498"/>
      <c r="C51" s="498"/>
      <c r="D51" s="604"/>
      <c r="E51" s="604"/>
      <c r="F51" s="604"/>
      <c r="G51" s="605"/>
      <c r="H51" s="605"/>
      <c r="I51" s="606"/>
      <c r="J51" s="606"/>
      <c r="K51" s="606"/>
      <c r="L51" s="607"/>
      <c r="M51" s="605"/>
      <c r="N51" s="608"/>
      <c r="O51" s="608"/>
      <c r="P51" s="608"/>
      <c r="Q51" s="609"/>
      <c r="R51" s="609"/>
      <c r="S51" s="609"/>
      <c r="T51" s="609"/>
      <c r="U51" s="607"/>
      <c r="V51" s="607"/>
    </row>
    <row r="52" spans="1:23" x14ac:dyDescent="0.3">
      <c r="A52" s="215"/>
      <c r="B52" s="498"/>
      <c r="C52" s="498"/>
      <c r="D52" s="604"/>
      <c r="E52" s="604"/>
      <c r="F52" s="604"/>
      <c r="G52" s="605"/>
      <c r="H52" s="605"/>
      <c r="I52" s="606"/>
      <c r="J52" s="606"/>
      <c r="K52" s="606"/>
      <c r="L52" s="607"/>
      <c r="M52" s="605"/>
      <c r="N52" s="608"/>
      <c r="O52" s="608"/>
      <c r="P52" s="608"/>
      <c r="Q52" s="609"/>
      <c r="R52" s="609"/>
      <c r="S52" s="609"/>
      <c r="T52" s="609"/>
      <c r="U52" s="607"/>
      <c r="V52" s="607"/>
    </row>
    <row r="53" spans="1:23" x14ac:dyDescent="0.3">
      <c r="A53" s="215"/>
      <c r="B53" s="498"/>
      <c r="C53" s="498"/>
      <c r="D53" s="604"/>
      <c r="E53" s="604"/>
      <c r="F53" s="604"/>
      <c r="G53" s="605"/>
      <c r="H53" s="605"/>
      <c r="I53" s="606"/>
      <c r="J53" s="606"/>
      <c r="K53" s="606"/>
      <c r="L53" s="607"/>
      <c r="M53" s="605"/>
      <c r="N53" s="608"/>
      <c r="O53" s="608"/>
      <c r="P53" s="608"/>
      <c r="Q53" s="609"/>
      <c r="R53" s="609"/>
      <c r="S53" s="609"/>
      <c r="T53" s="609"/>
      <c r="U53" s="607"/>
      <c r="V53" s="607"/>
    </row>
    <row r="54" spans="1:23" x14ac:dyDescent="0.3">
      <c r="A54" s="215"/>
      <c r="B54" s="498"/>
      <c r="C54" s="498"/>
      <c r="D54" s="604"/>
      <c r="E54" s="604"/>
      <c r="F54" s="604"/>
      <c r="G54" s="605"/>
      <c r="H54" s="605"/>
      <c r="I54" s="606"/>
      <c r="J54" s="606"/>
      <c r="K54" s="606"/>
      <c r="L54" s="607"/>
      <c r="M54" s="605"/>
      <c r="N54" s="608"/>
      <c r="O54" s="608"/>
      <c r="P54" s="608"/>
      <c r="Q54" s="609"/>
      <c r="R54" s="609"/>
      <c r="S54" s="609"/>
      <c r="T54" s="609"/>
      <c r="U54" s="607"/>
      <c r="V54" s="607"/>
    </row>
    <row r="55" spans="1:23" x14ac:dyDescent="0.3">
      <c r="A55" s="215"/>
      <c r="B55" s="498"/>
      <c r="C55" s="498"/>
      <c r="D55" s="604"/>
      <c r="E55" s="604"/>
      <c r="F55" s="604"/>
      <c r="G55" s="605"/>
      <c r="H55" s="605"/>
      <c r="I55" s="606"/>
      <c r="J55" s="606"/>
      <c r="K55" s="606"/>
      <c r="L55" s="607"/>
      <c r="M55" s="605"/>
      <c r="N55" s="608"/>
      <c r="O55" s="608"/>
      <c r="P55" s="608"/>
      <c r="Q55" s="609"/>
      <c r="R55" s="609"/>
      <c r="S55" s="609"/>
      <c r="T55" s="609"/>
      <c r="U55" s="607"/>
      <c r="V55" s="607"/>
    </row>
    <row r="56" spans="1:23" x14ac:dyDescent="0.3">
      <c r="A56" s="215"/>
      <c r="B56" s="498"/>
      <c r="C56" s="498"/>
      <c r="D56" s="604"/>
      <c r="E56" s="604"/>
      <c r="F56" s="604"/>
      <c r="G56" s="605"/>
      <c r="H56" s="605"/>
      <c r="I56" s="606"/>
      <c r="J56" s="606"/>
      <c r="K56" s="606"/>
      <c r="L56" s="607"/>
      <c r="M56" s="605"/>
      <c r="N56" s="608"/>
      <c r="O56" s="608"/>
      <c r="P56" s="608"/>
      <c r="Q56" s="609"/>
      <c r="R56" s="609"/>
      <c r="S56" s="609"/>
      <c r="T56" s="609"/>
      <c r="U56" s="607"/>
      <c r="V56" s="607"/>
    </row>
    <row r="57" spans="1:23" x14ac:dyDescent="0.3">
      <c r="A57" s="215"/>
      <c r="B57" s="498"/>
      <c r="C57" s="498"/>
      <c r="D57" s="604"/>
      <c r="E57" s="604"/>
      <c r="F57" s="604"/>
      <c r="G57" s="605"/>
      <c r="H57" s="605"/>
      <c r="I57" s="606"/>
      <c r="J57" s="606"/>
      <c r="K57" s="606"/>
      <c r="L57" s="607"/>
      <c r="M57" s="605"/>
      <c r="N57" s="608"/>
      <c r="O57" s="608"/>
      <c r="P57" s="608"/>
      <c r="Q57" s="609"/>
      <c r="R57" s="609"/>
      <c r="S57" s="609"/>
      <c r="T57" s="609"/>
      <c r="U57" s="607"/>
      <c r="V57" s="607"/>
    </row>
    <row r="58" spans="1:23" x14ac:dyDescent="0.3">
      <c r="A58" s="215"/>
      <c r="B58" s="498"/>
      <c r="C58" s="498"/>
      <c r="D58" s="604"/>
      <c r="E58" s="604"/>
      <c r="F58" s="604"/>
      <c r="G58" s="605"/>
      <c r="H58" s="605"/>
      <c r="I58" s="606"/>
      <c r="J58" s="606"/>
      <c r="K58" s="606"/>
      <c r="L58" s="607"/>
      <c r="M58" s="605"/>
      <c r="N58" s="608"/>
      <c r="O58" s="608"/>
      <c r="P58" s="608"/>
      <c r="Q58" s="609"/>
      <c r="R58" s="609"/>
      <c r="S58" s="609"/>
      <c r="T58" s="609"/>
      <c r="U58" s="607"/>
      <c r="V58" s="607"/>
    </row>
    <row r="59" spans="1:23" x14ac:dyDescent="0.3">
      <c r="A59" s="215"/>
      <c r="B59" s="498"/>
      <c r="C59" s="498"/>
      <c r="D59" s="604"/>
      <c r="E59" s="604"/>
      <c r="F59" s="604"/>
      <c r="G59" s="605"/>
      <c r="H59" s="605"/>
      <c r="I59" s="606"/>
      <c r="J59" s="606"/>
      <c r="K59" s="606"/>
      <c r="L59" s="607"/>
      <c r="M59" s="605"/>
      <c r="N59" s="608"/>
      <c r="O59" s="608"/>
      <c r="P59" s="608"/>
      <c r="Q59" s="609"/>
      <c r="R59" s="609"/>
      <c r="S59" s="609"/>
      <c r="T59" s="609"/>
      <c r="U59" s="607"/>
      <c r="V59" s="607"/>
    </row>
    <row r="60" spans="1:23" x14ac:dyDescent="0.3">
      <c r="A60" s="215"/>
      <c r="B60" s="215"/>
      <c r="C60" s="215"/>
      <c r="D60" s="490"/>
      <c r="U60" s="490"/>
      <c r="V60" s="490"/>
    </row>
    <row r="61" spans="1:23" x14ac:dyDescent="0.3">
      <c r="A61" s="472" t="s">
        <v>713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472" t="s">
        <v>714</v>
      </c>
      <c r="P61" s="215"/>
      <c r="Q61" s="215"/>
      <c r="R61" s="215"/>
      <c r="S61" s="215"/>
      <c r="T61" s="215"/>
      <c r="U61" s="215"/>
      <c r="V61" s="215"/>
      <c r="W61" s="215"/>
    </row>
    <row r="62" spans="1:23" x14ac:dyDescent="0.3">
      <c r="A62" s="475"/>
      <c r="B62" s="641" t="s">
        <v>715</v>
      </c>
      <c r="C62" s="641"/>
      <c r="D62" s="641"/>
      <c r="E62" s="491" t="e">
        <f>AVERAGE(datos!H26:I26)</f>
        <v>#DIV/0!</v>
      </c>
      <c r="F62" s="480" t="s">
        <v>716</v>
      </c>
      <c r="G62" s="492">
        <v>0.5</v>
      </c>
      <c r="H62" s="475" t="s">
        <v>7</v>
      </c>
      <c r="I62" s="215"/>
      <c r="J62" s="215"/>
      <c r="K62" s="630"/>
      <c r="L62" s="630"/>
      <c r="M62" s="215"/>
      <c r="N62" s="215"/>
      <c r="O62" s="641" t="s">
        <v>717</v>
      </c>
      <c r="P62" s="641"/>
      <c r="Q62" s="641"/>
      <c r="R62" s="215" t="e">
        <f>AVERAGE(datos!H28:I28)</f>
        <v>#DIV/0!</v>
      </c>
      <c r="S62" s="480" t="s">
        <v>718</v>
      </c>
      <c r="T62" s="480" t="s">
        <v>120</v>
      </c>
      <c r="U62" s="491">
        <v>1.5</v>
      </c>
      <c r="V62" s="215" t="s">
        <v>718</v>
      </c>
      <c r="W62" s="215"/>
    </row>
    <row r="63" spans="1:23" x14ac:dyDescent="0.3">
      <c r="A63" s="641" t="s">
        <v>719</v>
      </c>
      <c r="B63" s="641"/>
      <c r="C63" s="641"/>
      <c r="D63" s="641"/>
      <c r="E63" s="491" t="e">
        <f>AVERAGE(datos!H27:I27)</f>
        <v>#DIV/0!</v>
      </c>
      <c r="F63" s="480" t="s">
        <v>720</v>
      </c>
      <c r="G63" s="492">
        <v>3.6</v>
      </c>
      <c r="H63" s="643" t="s">
        <v>721</v>
      </c>
      <c r="I63" s="64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</row>
    <row r="64" spans="1:23" x14ac:dyDescent="0.3">
      <c r="A64" s="475"/>
      <c r="B64" s="475"/>
      <c r="C64" s="475"/>
      <c r="D64" s="475"/>
      <c r="E64" s="491"/>
      <c r="F64" s="480"/>
      <c r="G64" s="492"/>
      <c r="H64" s="480"/>
      <c r="I64" s="215"/>
      <c r="J64" s="215"/>
      <c r="K64" s="215"/>
      <c r="Q64" s="215"/>
      <c r="R64" s="215"/>
      <c r="U64" s="215"/>
      <c r="V64" s="215"/>
      <c r="W64" s="215"/>
    </row>
    <row r="65" spans="1:24" x14ac:dyDescent="0.3">
      <c r="A65" s="472" t="s">
        <v>704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V65" s="215"/>
    </row>
    <row r="66" spans="1:24" ht="15" customHeight="1" x14ac:dyDescent="0.3">
      <c r="A66" s="493" t="s">
        <v>722</v>
      </c>
      <c r="B66" s="473"/>
      <c r="C66" s="473"/>
      <c r="D66" s="493"/>
      <c r="E66" s="473"/>
      <c r="F66" s="473"/>
      <c r="G66" s="473"/>
      <c r="H66" s="473"/>
      <c r="I66" s="473"/>
      <c r="J66" s="473"/>
      <c r="K66" s="473"/>
      <c r="L66" s="473"/>
      <c r="M66" s="473"/>
      <c r="N66" s="473"/>
      <c r="O66" s="473"/>
      <c r="P66" s="473"/>
      <c r="Q66" s="473"/>
      <c r="R66" s="473"/>
      <c r="S66" s="473"/>
      <c r="T66" s="473"/>
      <c r="U66" s="473"/>
      <c r="V66" s="473"/>
      <c r="W66" s="473"/>
    </row>
    <row r="67" spans="1:24" ht="15" customHeight="1" x14ac:dyDescent="0.3">
      <c r="A67" s="493"/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3">
      <c r="A68" s="472" t="s">
        <v>705</v>
      </c>
      <c r="B68" s="473"/>
      <c r="C68" s="473"/>
      <c r="D68" s="47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3">
      <c r="A69" s="644" t="s">
        <v>723</v>
      </c>
      <c r="B69" s="644"/>
      <c r="C69" s="644"/>
      <c r="D69" s="644"/>
      <c r="E69" s="644"/>
      <c r="F69" s="644"/>
      <c r="G69" s="644"/>
      <c r="H69" s="644"/>
      <c r="I69" s="644"/>
      <c r="J69" s="644"/>
      <c r="K69" s="644"/>
      <c r="L69" s="644"/>
      <c r="M69" s="644"/>
      <c r="N69" s="644"/>
      <c r="O69" s="644"/>
      <c r="P69" s="644"/>
      <c r="Q69" s="644"/>
      <c r="R69" s="644"/>
      <c r="S69" s="644"/>
      <c r="T69" s="644"/>
      <c r="U69" s="644"/>
      <c r="V69" s="644"/>
      <c r="W69" s="644"/>
    </row>
    <row r="70" spans="1:24" ht="15" customHeight="1" x14ac:dyDescent="0.3">
      <c r="A70" s="644"/>
      <c r="B70" s="644"/>
      <c r="C70" s="644"/>
      <c r="D70" s="644"/>
      <c r="E70" s="644"/>
      <c r="F70" s="644"/>
      <c r="G70" s="644"/>
      <c r="H70" s="644"/>
      <c r="I70" s="644"/>
      <c r="J70" s="644"/>
      <c r="K70" s="644"/>
      <c r="L70" s="644"/>
      <c r="M70" s="644"/>
      <c r="N70" s="644"/>
      <c r="O70" s="644"/>
      <c r="P70" s="644"/>
      <c r="Q70" s="644"/>
      <c r="R70" s="644"/>
      <c r="S70" s="644"/>
      <c r="T70" s="644"/>
      <c r="U70" s="644"/>
      <c r="V70" s="644"/>
      <c r="W70" s="644"/>
    </row>
    <row r="71" spans="1:24" x14ac:dyDescent="0.3">
      <c r="A71" s="644"/>
      <c r="B71" s="644"/>
      <c r="C71" s="644"/>
      <c r="D71" s="644"/>
      <c r="E71" s="644"/>
      <c r="F71" s="644"/>
      <c r="G71" s="644"/>
      <c r="H71" s="644"/>
      <c r="I71" s="644"/>
      <c r="J71" s="644"/>
      <c r="K71" s="644"/>
      <c r="L71" s="644"/>
      <c r="M71" s="644"/>
      <c r="N71" s="644"/>
      <c r="O71" s="644"/>
      <c r="P71" s="644"/>
      <c r="Q71" s="644"/>
      <c r="R71" s="644"/>
      <c r="S71" s="644"/>
      <c r="T71" s="644"/>
      <c r="U71" s="644"/>
      <c r="V71" s="644"/>
      <c r="W71" s="644"/>
    </row>
    <row r="72" spans="1:24" x14ac:dyDescent="0.3">
      <c r="A72" s="644"/>
      <c r="B72" s="644"/>
      <c r="C72" s="644"/>
      <c r="D72" s="644"/>
      <c r="E72" s="644"/>
      <c r="F72" s="644"/>
      <c r="G72" s="644"/>
      <c r="H72" s="644"/>
      <c r="I72" s="644"/>
      <c r="J72" s="644"/>
      <c r="K72" s="644"/>
      <c r="L72" s="644"/>
      <c r="M72" s="644"/>
      <c r="N72" s="644"/>
      <c r="O72" s="644"/>
      <c r="P72" s="644"/>
      <c r="Q72" s="644"/>
      <c r="R72" s="644"/>
      <c r="S72" s="644"/>
      <c r="T72" s="644"/>
      <c r="U72" s="644"/>
      <c r="V72" s="644"/>
      <c r="W72" s="644"/>
    </row>
    <row r="73" spans="1:24" x14ac:dyDescent="0.3">
      <c r="A73" s="644"/>
      <c r="B73" s="644"/>
      <c r="C73" s="644"/>
      <c r="D73" s="644"/>
      <c r="E73" s="644"/>
      <c r="F73" s="644"/>
      <c r="G73" s="644"/>
      <c r="H73" s="644"/>
      <c r="I73" s="644"/>
      <c r="J73" s="644"/>
      <c r="K73" s="644"/>
      <c r="L73" s="644"/>
      <c r="M73" s="644"/>
      <c r="N73" s="644"/>
      <c r="O73" s="644"/>
      <c r="P73" s="644"/>
      <c r="Q73" s="644"/>
      <c r="R73" s="644"/>
      <c r="S73" s="644"/>
      <c r="T73" s="644"/>
      <c r="U73" s="644"/>
      <c r="V73" s="644"/>
      <c r="W73" s="644"/>
    </row>
    <row r="74" spans="1:24" x14ac:dyDescent="0.3">
      <c r="A74" s="472" t="s">
        <v>706</v>
      </c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</row>
    <row r="75" spans="1:24" x14ac:dyDescent="0.3">
      <c r="A75" s="473"/>
      <c r="B75" s="473"/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</row>
    <row r="76" spans="1:24" x14ac:dyDescent="0.3">
      <c r="A76" s="645" t="s">
        <v>724</v>
      </c>
      <c r="B76" s="645"/>
      <c r="C76" s="645"/>
      <c r="D76" s="645"/>
      <c r="E76" s="645" t="s">
        <v>1</v>
      </c>
      <c r="F76" s="645"/>
      <c r="G76" s="645"/>
      <c r="H76" s="645"/>
      <c r="I76" s="645"/>
      <c r="J76" s="645"/>
      <c r="K76" s="646" t="s">
        <v>15</v>
      </c>
      <c r="L76" s="646"/>
      <c r="M76" s="646"/>
      <c r="N76" s="646"/>
      <c r="O76" s="646"/>
      <c r="P76" s="646"/>
      <c r="Q76" s="645" t="s">
        <v>725</v>
      </c>
      <c r="R76" s="645"/>
      <c r="S76" s="645"/>
      <c r="T76" s="645"/>
      <c r="U76" s="646" t="s">
        <v>726</v>
      </c>
      <c r="V76" s="646"/>
      <c r="W76" s="646"/>
      <c r="X76" s="646"/>
    </row>
    <row r="77" spans="1:24" x14ac:dyDescent="0.3">
      <c r="A77" s="642" t="s">
        <v>793</v>
      </c>
      <c r="B77" s="642"/>
      <c r="C77" s="642"/>
      <c r="D77" s="642"/>
      <c r="E77" s="642" t="s">
        <v>794</v>
      </c>
      <c r="F77" s="642"/>
      <c r="G77" s="642"/>
      <c r="H77" s="642"/>
      <c r="I77" s="642"/>
      <c r="J77" s="642"/>
      <c r="K77" s="642" t="s">
        <v>802</v>
      </c>
      <c r="L77" s="642"/>
      <c r="M77" s="642"/>
      <c r="N77" s="642"/>
      <c r="O77" s="642"/>
      <c r="P77" s="642"/>
      <c r="Q77" s="642" t="s">
        <v>801</v>
      </c>
      <c r="R77" s="642"/>
      <c r="S77" s="642"/>
      <c r="T77" s="642"/>
      <c r="U77" s="656">
        <v>44696</v>
      </c>
      <c r="V77" s="656"/>
      <c r="W77" s="656"/>
      <c r="X77" s="656"/>
    </row>
    <row r="78" spans="1:24" x14ac:dyDescent="0.3">
      <c r="A78" s="642" t="s">
        <v>788</v>
      </c>
      <c r="B78" s="642"/>
      <c r="C78" s="642"/>
      <c r="D78" s="642"/>
      <c r="E78" s="642" t="s">
        <v>735</v>
      </c>
      <c r="F78" s="642"/>
      <c r="G78" s="642"/>
      <c r="H78" s="642"/>
      <c r="I78" s="642"/>
      <c r="J78" s="642"/>
      <c r="K78" s="642" t="s">
        <v>792</v>
      </c>
      <c r="L78" s="642"/>
      <c r="M78" s="642"/>
      <c r="N78" s="642"/>
      <c r="O78" s="642"/>
      <c r="P78" s="642"/>
      <c r="Q78" s="642" t="s">
        <v>790</v>
      </c>
      <c r="R78" s="642"/>
      <c r="S78" s="642"/>
      <c r="T78" s="642"/>
      <c r="U78" s="656">
        <v>44696</v>
      </c>
      <c r="V78" s="656"/>
      <c r="W78" s="656"/>
      <c r="X78" s="656"/>
    </row>
    <row r="79" spans="1:24" x14ac:dyDescent="0.3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</row>
    <row r="80" spans="1:24" x14ac:dyDescent="0.3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3">
      <c r="A81" s="475"/>
      <c r="B81" s="475"/>
      <c r="C81" s="475"/>
      <c r="D81" s="475"/>
      <c r="E81" s="491"/>
      <c r="F81" s="480"/>
      <c r="G81" s="492"/>
      <c r="H81" s="48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</row>
    <row r="82" spans="1:23" x14ac:dyDescent="0.3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3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3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3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3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3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3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3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655" t="str">
        <f>M10</f>
        <v>NI-MC-M-2056-2024</v>
      </c>
      <c r="O89" s="655"/>
      <c r="P89" s="655"/>
      <c r="Q89" s="655"/>
      <c r="R89" s="655"/>
      <c r="S89" s="655"/>
      <c r="T89" s="655"/>
      <c r="U89" s="655"/>
      <c r="V89" s="655"/>
      <c r="W89" s="655"/>
    </row>
    <row r="90" spans="1:23" x14ac:dyDescent="0.3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ht="15" customHeight="1" x14ac:dyDescent="0.3">
      <c r="A91" s="472" t="s">
        <v>707</v>
      </c>
      <c r="B91" s="215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</row>
    <row r="92" spans="1:23" x14ac:dyDescent="0.3">
      <c r="A92" s="495" t="s">
        <v>708</v>
      </c>
      <c r="B92" s="215"/>
      <c r="C92" s="473"/>
      <c r="D92" s="473"/>
      <c r="E92" s="473"/>
      <c r="F92" s="473"/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  <c r="S92" s="473"/>
      <c r="T92" s="473"/>
      <c r="U92" s="473"/>
      <c r="V92" s="473"/>
      <c r="W92" s="215"/>
    </row>
    <row r="93" spans="1:23" x14ac:dyDescent="0.3">
      <c r="A93" s="495" t="s">
        <v>727</v>
      </c>
      <c r="B93" s="215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</row>
    <row r="94" spans="1:23" ht="15" customHeight="1" x14ac:dyDescent="0.3">
      <c r="A94" s="495" t="s">
        <v>728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x14ac:dyDescent="0.3">
      <c r="A95" s="215" t="s">
        <v>729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473"/>
      <c r="S95" s="473"/>
      <c r="T95" s="215"/>
      <c r="U95" s="215"/>
      <c r="V95" s="215"/>
      <c r="W95" s="215"/>
    </row>
    <row r="96" spans="1:23" x14ac:dyDescent="0.3">
      <c r="A96" s="215" t="s">
        <v>730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96"/>
      <c r="S96" s="496"/>
      <c r="T96" s="496"/>
      <c r="U96" s="496"/>
      <c r="V96" s="496"/>
    </row>
    <row r="97" spans="1:24" x14ac:dyDescent="0.3">
      <c r="A97" s="215"/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3">
      <c r="A98" s="215"/>
      <c r="B98" s="215"/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496"/>
      <c r="S98" s="496"/>
      <c r="T98" s="496"/>
      <c r="U98" s="496"/>
      <c r="V98" s="496"/>
    </row>
    <row r="99" spans="1:24" x14ac:dyDescent="0.3">
      <c r="A99" s="215"/>
      <c r="B99" s="215"/>
      <c r="C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  <c r="Q99" s="215"/>
      <c r="R99" s="496"/>
      <c r="S99" s="496"/>
      <c r="T99" s="496"/>
      <c r="U99" s="496"/>
      <c r="V99" s="496"/>
    </row>
    <row r="100" spans="1:24" x14ac:dyDescent="0.3">
      <c r="A100" s="215"/>
      <c r="B100" s="215"/>
      <c r="C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215"/>
      <c r="R100" s="496"/>
      <c r="S100" s="496"/>
      <c r="T100" s="496"/>
      <c r="U100" s="496"/>
      <c r="V100" s="496"/>
    </row>
    <row r="101" spans="1:24" x14ac:dyDescent="0.3">
      <c r="A101" s="215"/>
      <c r="B101" s="215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  <c r="Q101" s="215"/>
      <c r="R101" s="496"/>
      <c r="S101" s="496"/>
      <c r="T101" s="496"/>
      <c r="U101" s="496"/>
      <c r="V101" s="496"/>
    </row>
    <row r="102" spans="1:24" x14ac:dyDescent="0.3">
      <c r="A102" s="215"/>
      <c r="B102" s="215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  <c r="Q102" s="215"/>
      <c r="R102" s="496"/>
      <c r="S102" s="496"/>
      <c r="T102" s="496"/>
      <c r="U102" s="496"/>
      <c r="V102" s="496"/>
    </row>
    <row r="103" spans="1:24" x14ac:dyDescent="0.3">
      <c r="X103" s="215"/>
    </row>
    <row r="104" spans="1:24" x14ac:dyDescent="0.3">
      <c r="X104" s="215"/>
    </row>
    <row r="107" spans="1:24" x14ac:dyDescent="0.3">
      <c r="I107" s="654" t="s">
        <v>542</v>
      </c>
      <c r="J107" s="654"/>
      <c r="K107" s="654"/>
      <c r="L107" s="654"/>
      <c r="M107" s="654"/>
      <c r="N107" s="654"/>
      <c r="O107" s="654"/>
      <c r="P107" s="654"/>
    </row>
    <row r="108" spans="1:24" x14ac:dyDescent="0.3">
      <c r="I108" s="652" t="str">
        <f>IF($I$107=[3]Generales!F1,[3]Generales!F6,[3]Generales!F5)</f>
        <v>Director Técnico</v>
      </c>
      <c r="J108" s="652"/>
      <c r="K108" s="652"/>
      <c r="L108" s="652"/>
      <c r="M108" s="652"/>
      <c r="N108" s="652"/>
      <c r="O108" s="652"/>
      <c r="P108" s="652"/>
    </row>
    <row r="109" spans="1:24" x14ac:dyDescent="0.3">
      <c r="I109" s="653" t="s">
        <v>709</v>
      </c>
      <c r="J109" s="653"/>
      <c r="K109" s="653"/>
      <c r="L109" s="653"/>
      <c r="M109" s="653"/>
      <c r="N109" s="653"/>
      <c r="O109" s="653"/>
      <c r="P109" s="653"/>
    </row>
    <row r="111" spans="1:24" x14ac:dyDescent="0.3">
      <c r="I111" s="643" t="s">
        <v>731</v>
      </c>
      <c r="J111" s="643"/>
      <c r="K111" s="643"/>
      <c r="L111" s="643"/>
      <c r="M111" s="643"/>
      <c r="N111" s="643"/>
      <c r="O111" s="643"/>
      <c r="P111" s="643"/>
    </row>
  </sheetData>
  <mergeCells count="187">
    <mergeCell ref="U44:V44"/>
    <mergeCell ref="U45:V45"/>
    <mergeCell ref="U46:V46"/>
    <mergeCell ref="U47:V47"/>
    <mergeCell ref="U48:V48"/>
    <mergeCell ref="S46:T46"/>
    <mergeCell ref="S47:T47"/>
    <mergeCell ref="S48:T48"/>
    <mergeCell ref="U31:V31"/>
    <mergeCell ref="U32:V32"/>
    <mergeCell ref="U33:V33"/>
    <mergeCell ref="U34:V34"/>
    <mergeCell ref="U35:V35"/>
    <mergeCell ref="U36:V36"/>
    <mergeCell ref="U37:V37"/>
    <mergeCell ref="U38:V38"/>
    <mergeCell ref="U39:V39"/>
    <mergeCell ref="U40:V40"/>
    <mergeCell ref="U41:V41"/>
    <mergeCell ref="U42:V42"/>
    <mergeCell ref="U43:V43"/>
    <mergeCell ref="S41:T41"/>
    <mergeCell ref="S42:T42"/>
    <mergeCell ref="S43:T43"/>
    <mergeCell ref="S44:T44"/>
    <mergeCell ref="S45:T45"/>
    <mergeCell ref="S36:T36"/>
    <mergeCell ref="S37:T37"/>
    <mergeCell ref="S38:T38"/>
    <mergeCell ref="S39:T39"/>
    <mergeCell ref="S40:T40"/>
    <mergeCell ref="S31:T31"/>
    <mergeCell ref="S32:T32"/>
    <mergeCell ref="S33:T33"/>
    <mergeCell ref="S34:T34"/>
    <mergeCell ref="S35:T35"/>
    <mergeCell ref="Q44:R44"/>
    <mergeCell ref="Q45:R45"/>
    <mergeCell ref="Q46:R46"/>
    <mergeCell ref="Q47:R47"/>
    <mergeCell ref="Q48:R48"/>
    <mergeCell ref="N46:P46"/>
    <mergeCell ref="N47:P47"/>
    <mergeCell ref="N48:P48"/>
    <mergeCell ref="Q31:R31"/>
    <mergeCell ref="Q32:R32"/>
    <mergeCell ref="Q33:R33"/>
    <mergeCell ref="Q34:R34"/>
    <mergeCell ref="Q35:R35"/>
    <mergeCell ref="Q36:R36"/>
    <mergeCell ref="Q37:R37"/>
    <mergeCell ref="Q38:R38"/>
    <mergeCell ref="Q39:R39"/>
    <mergeCell ref="Q40:R40"/>
    <mergeCell ref="Q41:R41"/>
    <mergeCell ref="Q42:R42"/>
    <mergeCell ref="Q43:R43"/>
    <mergeCell ref="N41:P41"/>
    <mergeCell ref="N42:P42"/>
    <mergeCell ref="N43:P43"/>
    <mergeCell ref="N44:P44"/>
    <mergeCell ref="N45:P45"/>
    <mergeCell ref="N36:P36"/>
    <mergeCell ref="N37:P37"/>
    <mergeCell ref="N38:P38"/>
    <mergeCell ref="N39:P39"/>
    <mergeCell ref="N40:P40"/>
    <mergeCell ref="N31:P31"/>
    <mergeCell ref="N32:P32"/>
    <mergeCell ref="N33:P33"/>
    <mergeCell ref="N34:P34"/>
    <mergeCell ref="N35:P35"/>
    <mergeCell ref="K44:L44"/>
    <mergeCell ref="K45:L45"/>
    <mergeCell ref="K46:L46"/>
    <mergeCell ref="K47:L47"/>
    <mergeCell ref="K48:L48"/>
    <mergeCell ref="I46:J46"/>
    <mergeCell ref="I47:J47"/>
    <mergeCell ref="I48:J48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I41:J41"/>
    <mergeCell ref="I42:J42"/>
    <mergeCell ref="I43:J43"/>
    <mergeCell ref="I45:J45"/>
    <mergeCell ref="I36:J36"/>
    <mergeCell ref="I37:J37"/>
    <mergeCell ref="I38:J38"/>
    <mergeCell ref="I39:J39"/>
    <mergeCell ref="I40:J40"/>
    <mergeCell ref="I31:J31"/>
    <mergeCell ref="I32:J32"/>
    <mergeCell ref="I33:J33"/>
    <mergeCell ref="I34:J34"/>
    <mergeCell ref="I35:J35"/>
    <mergeCell ref="I111:P111"/>
    <mergeCell ref="E27:F28"/>
    <mergeCell ref="G27:H28"/>
    <mergeCell ref="E29:F29"/>
    <mergeCell ref="I108:P108"/>
    <mergeCell ref="I109:P109"/>
    <mergeCell ref="I107:P107"/>
    <mergeCell ref="N89:W89"/>
    <mergeCell ref="U76:X76"/>
    <mergeCell ref="U78:X78"/>
    <mergeCell ref="U77:X77"/>
    <mergeCell ref="U29:V29"/>
    <mergeCell ref="U30:V30"/>
    <mergeCell ref="S29:T29"/>
    <mergeCell ref="S30:T30"/>
    <mergeCell ref="E31:F31"/>
    <mergeCell ref="E46:F46"/>
    <mergeCell ref="E47:F47"/>
    <mergeCell ref="E48:F48"/>
    <mergeCell ref="E49:F49"/>
    <mergeCell ref="E50:F50"/>
    <mergeCell ref="E41:F41"/>
    <mergeCell ref="E42:F42"/>
    <mergeCell ref="E43:F43"/>
    <mergeCell ref="B62:D62"/>
    <mergeCell ref="K62:L62"/>
    <mergeCell ref="E30:F30"/>
    <mergeCell ref="O62:Q62"/>
    <mergeCell ref="I29:J29"/>
    <mergeCell ref="I30:J30"/>
    <mergeCell ref="K29:L29"/>
    <mergeCell ref="K30:L30"/>
    <mergeCell ref="Q29:R29"/>
    <mergeCell ref="Q30:R30"/>
    <mergeCell ref="N30:P30"/>
    <mergeCell ref="N29:P29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4:F44"/>
    <mergeCell ref="E45:F45"/>
    <mergeCell ref="I44:J44"/>
    <mergeCell ref="A63:D63"/>
    <mergeCell ref="Q77:T77"/>
    <mergeCell ref="A78:D78"/>
    <mergeCell ref="E78:J78"/>
    <mergeCell ref="K78:P78"/>
    <mergeCell ref="Q78:T78"/>
    <mergeCell ref="A77:D77"/>
    <mergeCell ref="E77:J77"/>
    <mergeCell ref="K77:P77"/>
    <mergeCell ref="H63:I63"/>
    <mergeCell ref="A69:W73"/>
    <mergeCell ref="A76:D76"/>
    <mergeCell ref="E76:J76"/>
    <mergeCell ref="K76:P76"/>
    <mergeCell ref="Q76:T76"/>
    <mergeCell ref="M10:U10"/>
    <mergeCell ref="M11:U11"/>
    <mergeCell ref="M12:U12"/>
    <mergeCell ref="M13:U13"/>
    <mergeCell ref="M14:U14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</mergeCells>
  <conditionalFormatting sqref="A95">
    <cfRule type="cellIs" priority="1" operator="equal">
      <formula>$D$25</formula>
    </cfRule>
  </conditionalFormatting>
  <conditionalFormatting sqref="A96:A102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I107:P107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AAB0-E7CF-434C-BBB0-D3E15AC77AA9}">
  <dimension ref="B2:Q38"/>
  <sheetViews>
    <sheetView topLeftCell="A15" workbookViewId="0">
      <selection activeCell="P30" sqref="P30"/>
    </sheetView>
  </sheetViews>
  <sheetFormatPr baseColWidth="10" defaultColWidth="8.88671875" defaultRowHeight="14.4" x14ac:dyDescent="0.3"/>
  <cols>
    <col min="10" max="10" width="17.6640625" bestFit="1" customWidth="1"/>
  </cols>
  <sheetData>
    <row r="2" spans="2:17" x14ac:dyDescent="0.3">
      <c r="B2" s="578"/>
      <c r="C2" s="578"/>
      <c r="D2" s="578"/>
      <c r="I2" s="579"/>
    </row>
    <row r="3" spans="2:17" x14ac:dyDescent="0.3">
      <c r="B3" s="658" t="s">
        <v>1457</v>
      </c>
      <c r="C3" s="658"/>
      <c r="D3" s="658"/>
    </row>
    <row r="4" spans="2:17" ht="15" thickBot="1" x14ac:dyDescent="0.35">
      <c r="B4" s="580"/>
      <c r="C4" s="580"/>
      <c r="D4" s="580"/>
      <c r="I4" s="659" t="s">
        <v>1434</v>
      </c>
      <c r="J4" s="659"/>
      <c r="K4" s="659" t="s">
        <v>177</v>
      </c>
      <c r="L4" s="659"/>
      <c r="N4" s="602" t="s">
        <v>1459</v>
      </c>
      <c r="O4" s="581"/>
    </row>
    <row r="5" spans="2:17" ht="16.2" thickBot="1" x14ac:dyDescent="0.35">
      <c r="B5" s="660" t="s">
        <v>466</v>
      </c>
      <c r="C5" s="661"/>
      <c r="D5" s="601" t="s">
        <v>1458</v>
      </c>
      <c r="I5" s="582" t="s">
        <v>1435</v>
      </c>
      <c r="J5" s="582" t="s">
        <v>1436</v>
      </c>
      <c r="K5" s="582" t="s">
        <v>1435</v>
      </c>
      <c r="L5" s="582" t="s">
        <v>1436</v>
      </c>
      <c r="M5" s="582" t="s">
        <v>1450</v>
      </c>
      <c r="N5" s="582" t="s">
        <v>1451</v>
      </c>
      <c r="O5" s="582" t="s">
        <v>1452</v>
      </c>
      <c r="P5" s="582" t="s">
        <v>1453</v>
      </c>
      <c r="Q5" s="582" t="s">
        <v>1454</v>
      </c>
    </row>
    <row r="6" spans="2:17" x14ac:dyDescent="0.3">
      <c r="B6" s="594">
        <v>2</v>
      </c>
      <c r="C6" s="595" t="s">
        <v>32</v>
      </c>
      <c r="D6" s="590">
        <v>0.13</v>
      </c>
      <c r="I6" s="562">
        <f>$B$6</f>
        <v>2</v>
      </c>
      <c r="J6" s="562">
        <f>$B$6</f>
        <v>2</v>
      </c>
      <c r="K6" s="562">
        <f>$D$6</f>
        <v>0.13</v>
      </c>
      <c r="L6" s="562">
        <f>$D$6</f>
        <v>0.13</v>
      </c>
      <c r="M6" s="583">
        <v>0</v>
      </c>
      <c r="N6" s="583">
        <v>5.8816999999999995E-4</v>
      </c>
      <c r="O6" s="562"/>
      <c r="P6" s="562"/>
      <c r="Q6" s="584"/>
    </row>
    <row r="7" spans="2:17" x14ac:dyDescent="0.3">
      <c r="B7" s="596">
        <v>5</v>
      </c>
      <c r="C7" s="597" t="s">
        <v>32</v>
      </c>
      <c r="D7" s="600">
        <v>0.17</v>
      </c>
      <c r="I7" s="562">
        <f>$B$7</f>
        <v>5</v>
      </c>
      <c r="J7" s="562">
        <f>$B$7</f>
        <v>5</v>
      </c>
      <c r="K7" s="562">
        <f>$D$7</f>
        <v>0.17</v>
      </c>
      <c r="L7" s="562">
        <f>$D$7</f>
        <v>0.17</v>
      </c>
      <c r="M7" s="583">
        <v>0</v>
      </c>
      <c r="N7" s="583">
        <v>5.8816999999999995E-4</v>
      </c>
      <c r="O7" s="562"/>
      <c r="P7" s="562"/>
      <c r="Q7" s="562"/>
    </row>
    <row r="8" spans="2:17" x14ac:dyDescent="0.3">
      <c r="B8" s="596">
        <v>10</v>
      </c>
      <c r="C8" s="597" t="s">
        <v>32</v>
      </c>
      <c r="D8" s="600">
        <v>0.2</v>
      </c>
      <c r="I8" s="562">
        <f>$B$8</f>
        <v>10</v>
      </c>
      <c r="J8" s="562">
        <f>$B$8</f>
        <v>10</v>
      </c>
      <c r="K8" s="562">
        <f>$D$8</f>
        <v>0.2</v>
      </c>
      <c r="L8" s="562">
        <f>$D$8</f>
        <v>0.2</v>
      </c>
      <c r="M8" s="583">
        <v>0</v>
      </c>
      <c r="N8" s="583">
        <v>5.8816999999999995E-4</v>
      </c>
      <c r="O8" s="562"/>
      <c r="P8" s="562"/>
      <c r="Q8" s="562"/>
    </row>
    <row r="9" spans="2:17" x14ac:dyDescent="0.3">
      <c r="B9" s="596">
        <v>50</v>
      </c>
      <c r="C9" s="597" t="s">
        <v>32</v>
      </c>
      <c r="D9" s="600">
        <v>0.33</v>
      </c>
      <c r="I9" s="562">
        <f>$B$9</f>
        <v>50</v>
      </c>
      <c r="J9" s="562">
        <f>$B$9</f>
        <v>50</v>
      </c>
      <c r="K9" s="562">
        <f>$D$9</f>
        <v>0.33</v>
      </c>
      <c r="L9" s="562">
        <f>$D$9</f>
        <v>0.33</v>
      </c>
      <c r="M9" s="583">
        <v>0</v>
      </c>
      <c r="N9" s="583">
        <v>5.8816999999999995E-4</v>
      </c>
    </row>
    <row r="10" spans="2:17" x14ac:dyDescent="0.3">
      <c r="B10" s="596">
        <v>100</v>
      </c>
      <c r="C10" s="597" t="s">
        <v>32</v>
      </c>
      <c r="D10" s="600">
        <v>0.53</v>
      </c>
      <c r="I10" s="562">
        <f>$B$10</f>
        <v>100</v>
      </c>
      <c r="J10" s="562">
        <f>$B$10</f>
        <v>100</v>
      </c>
      <c r="K10" s="562">
        <f>$D$10</f>
        <v>0.53</v>
      </c>
      <c r="L10" s="562">
        <f>$D$10</f>
        <v>0.53</v>
      </c>
      <c r="M10" s="583">
        <v>0</v>
      </c>
      <c r="N10" s="583">
        <v>5.8816999999999995E-4</v>
      </c>
    </row>
    <row r="11" spans="2:17" x14ac:dyDescent="0.3">
      <c r="B11" s="596">
        <v>200</v>
      </c>
      <c r="C11" s="597" t="s">
        <v>32</v>
      </c>
      <c r="D11" s="600">
        <v>1</v>
      </c>
      <c r="I11" s="562">
        <f>$B$11</f>
        <v>200</v>
      </c>
      <c r="J11" s="562">
        <f>$B$11</f>
        <v>200</v>
      </c>
      <c r="K11" s="562">
        <f>$D$11</f>
        <v>1</v>
      </c>
      <c r="L11" s="562">
        <f>$D$11</f>
        <v>1</v>
      </c>
      <c r="M11" s="583">
        <v>0</v>
      </c>
      <c r="N11" s="583">
        <v>5.8816999999999995E-4</v>
      </c>
    </row>
    <row r="12" spans="2:17" x14ac:dyDescent="0.3">
      <c r="B12" s="596">
        <v>500</v>
      </c>
      <c r="C12" s="597" t="s">
        <v>32</v>
      </c>
      <c r="D12" s="600">
        <v>2.7</v>
      </c>
      <c r="I12" s="562">
        <f>$B$12</f>
        <v>500</v>
      </c>
      <c r="J12" s="562">
        <f>$B$12</f>
        <v>500</v>
      </c>
      <c r="K12" s="562">
        <f>$D$12</f>
        <v>2.7</v>
      </c>
      <c r="L12" s="562">
        <f>$D$12</f>
        <v>2.7</v>
      </c>
      <c r="M12" s="583">
        <v>0</v>
      </c>
      <c r="N12" s="583">
        <v>5.8816999999999995E-4</v>
      </c>
    </row>
    <row r="13" spans="2:17" x14ac:dyDescent="0.3">
      <c r="B13" s="596">
        <v>10</v>
      </c>
      <c r="C13" s="597" t="s">
        <v>779</v>
      </c>
      <c r="D13" s="600">
        <v>166.7</v>
      </c>
      <c r="I13" s="562">
        <v>10000</v>
      </c>
      <c r="J13" s="562">
        <v>10000</v>
      </c>
      <c r="K13" s="562">
        <f>$D$13</f>
        <v>166.7</v>
      </c>
      <c r="L13" s="562">
        <f>$D$13</f>
        <v>166.7</v>
      </c>
      <c r="M13" s="583">
        <v>0</v>
      </c>
      <c r="N13" s="583">
        <v>5.8816999999999995E-4</v>
      </c>
    </row>
    <row r="14" spans="2:17" ht="15" thickBot="1" x14ac:dyDescent="0.35">
      <c r="B14" s="598">
        <v>20</v>
      </c>
      <c r="C14" s="599" t="s">
        <v>779</v>
      </c>
      <c r="D14" s="591">
        <v>333.3</v>
      </c>
      <c r="I14" s="562">
        <v>20000</v>
      </c>
      <c r="J14" s="562">
        <v>20000</v>
      </c>
      <c r="K14" s="562">
        <f>$D$14</f>
        <v>333.3</v>
      </c>
      <c r="L14" s="562">
        <f>$D$14</f>
        <v>333.3</v>
      </c>
      <c r="M14" s="583">
        <v>0</v>
      </c>
      <c r="N14" s="583">
        <v>5.8816999999999995E-4</v>
      </c>
    </row>
    <row r="15" spans="2:17" x14ac:dyDescent="0.3">
      <c r="B15" s="593"/>
      <c r="C15" s="593"/>
      <c r="D15" s="593"/>
    </row>
    <row r="16" spans="2:17" x14ac:dyDescent="0.3">
      <c r="B16" s="592"/>
      <c r="C16" s="592"/>
      <c r="D16" s="592"/>
    </row>
    <row r="17" spans="2:13" x14ac:dyDescent="0.3">
      <c r="B17" s="592"/>
      <c r="C17" s="592"/>
      <c r="D17" s="592"/>
      <c r="I17" s="602" t="s">
        <v>1459</v>
      </c>
      <c r="J17" s="581"/>
    </row>
    <row r="18" spans="2:13" ht="15.6" x14ac:dyDescent="0.3">
      <c r="B18" s="592"/>
      <c r="C18" s="592"/>
      <c r="D18" s="592"/>
      <c r="I18" s="585" t="s">
        <v>1437</v>
      </c>
      <c r="J18" s="586" t="s">
        <v>1455</v>
      </c>
      <c r="K18" s="586" t="s">
        <v>1456</v>
      </c>
      <c r="L18" s="585" t="s">
        <v>1438</v>
      </c>
      <c r="M18" s="585" t="s">
        <v>1439</v>
      </c>
    </row>
    <row r="19" spans="2:13" x14ac:dyDescent="0.3">
      <c r="B19" s="592"/>
      <c r="C19" s="592"/>
      <c r="D19" s="592"/>
      <c r="E19" s="592"/>
      <c r="I19" s="587" t="s">
        <v>1440</v>
      </c>
      <c r="J19" s="603">
        <f>IFERROR(IF('Salida de datos'!F8="g",'Salida de datos'!E8,IF('Salida de datos'!F8="kg",('Salida de datos'!E8)*1000)),"")</f>
        <v>0</v>
      </c>
      <c r="K19" s="588" t="str">
        <f>IFERROR(IF('Salida de datos'!F8="g",'Salida de datos'!L8,IF('Salida de datos'!F8="kg",('Salida de datos'!L8))),"")</f>
        <v/>
      </c>
      <c r="L19" s="589">
        <f>IF(J19=0,0,IF(J19=$J$6,$L$6,IF(J19=$J$7,$L$7,IF(J19=$J$8,$L$8,IF(J19=$J$9,$L$9,IF(J19=$J$10,$L$10,IF(J19=$J$11,$L$11,IF(J19=$J$12,$L$12,IF(J19=$J$13,$L$13,IF(J19=$J$14,$L$14,))))))))))</f>
        <v>0</v>
      </c>
      <c r="M19" s="589" t="b">
        <f>IF(K19=0,0,IF(K19&lt;=L19,L19))</f>
        <v>0</v>
      </c>
    </row>
    <row r="20" spans="2:13" x14ac:dyDescent="0.3">
      <c r="B20" s="592"/>
      <c r="C20" s="592"/>
      <c r="D20" s="592"/>
      <c r="E20" s="592"/>
      <c r="I20" s="587" t="s">
        <v>1441</v>
      </c>
      <c r="J20" s="603">
        <f>IFERROR(IF('Salida de datos'!F9="g",'Salida de datos'!E9,IF('Salida de datos'!F9="kg",('Salida de datos'!E9)*1000)),"")</f>
        <v>0</v>
      </c>
      <c r="K20" s="588" t="str">
        <f>IFERROR(IF('Salida de datos'!F9="g",'Salida de datos'!L9,IF('Salida de datos'!F9="kg",('Salida de datos'!L9))),"")</f>
        <v/>
      </c>
      <c r="L20" s="589">
        <f t="shared" ref="L20:L38" si="0">IF(J20=0,0,IF(J20=$J$6,$L$6,IF(J20=$J$7,$L$7,IF(J20=$J$8,$L$8,IF(J20=$J$9,$L$9,IF(J20=$J$10,$L$10,IF(J20=$J$11,$L$11,IF(J20=$J$12,$L$12,IF(J20=$J$13,$L$13,IF(J20=$J$14,$L$14,))))))))))</f>
        <v>0</v>
      </c>
      <c r="M20" s="589" t="b">
        <f t="shared" ref="M20:M38" si="1">IF(K20=0,0,IF(K20&lt;=L20,L20))</f>
        <v>0</v>
      </c>
    </row>
    <row r="21" spans="2:13" x14ac:dyDescent="0.3">
      <c r="B21" s="592"/>
      <c r="C21" s="592"/>
      <c r="D21" s="592"/>
      <c r="E21" s="592"/>
      <c r="I21" s="587" t="s">
        <v>1442</v>
      </c>
      <c r="J21" s="603">
        <f>IFERROR(IF('Salida de datos'!F10="g",'Salida de datos'!E10,IF('Salida de datos'!F10="kg",('Salida de datos'!E10)*1000)),"")</f>
        <v>0</v>
      </c>
      <c r="K21" s="588" t="str">
        <f>IFERROR(IF('Salida de datos'!F10="g",'Salida de datos'!L10,IF('Salida de datos'!F10="kg",('Salida de datos'!L10))),"")</f>
        <v/>
      </c>
      <c r="L21" s="589">
        <f t="shared" si="0"/>
        <v>0</v>
      </c>
      <c r="M21" s="589" t="b">
        <f t="shared" si="1"/>
        <v>0</v>
      </c>
    </row>
    <row r="22" spans="2:13" x14ac:dyDescent="0.3">
      <c r="B22" s="592"/>
      <c r="C22" s="592"/>
      <c r="D22" s="592"/>
      <c r="E22" s="592"/>
      <c r="I22" s="587" t="s">
        <v>1443</v>
      </c>
      <c r="J22" s="603">
        <f>IFERROR(IF('Salida de datos'!F11="g",'Salida de datos'!E11,IF('Salida de datos'!F11="kg",('Salida de datos'!E11)*1000)),"")</f>
        <v>0</v>
      </c>
      <c r="K22" s="588" t="str">
        <f>IFERROR(IF('Salida de datos'!F11="g",'Salida de datos'!L11,IF('Salida de datos'!F11="kg",('Salida de datos'!L11))),"")</f>
        <v/>
      </c>
      <c r="L22" s="589">
        <f t="shared" si="0"/>
        <v>0</v>
      </c>
      <c r="M22" s="589" t="b">
        <f t="shared" si="1"/>
        <v>0</v>
      </c>
    </row>
    <row r="23" spans="2:13" x14ac:dyDescent="0.3">
      <c r="B23" s="592"/>
      <c r="C23" s="592"/>
      <c r="D23" s="592"/>
      <c r="E23" s="592"/>
      <c r="I23" s="587" t="s">
        <v>1444</v>
      </c>
      <c r="J23" s="603">
        <f>IFERROR(IF('Salida de datos'!F12="g",'Salida de datos'!E12,IF('Salida de datos'!F12="kg",('Salida de datos'!E12)*1000)),"")</f>
        <v>0</v>
      </c>
      <c r="K23" s="588" t="str">
        <f>IFERROR(IF('Salida de datos'!F12="g",'Salida de datos'!L12,IF('Salida de datos'!F12="kg",('Salida de datos'!L12))),"")</f>
        <v/>
      </c>
      <c r="L23" s="589">
        <f t="shared" si="0"/>
        <v>0</v>
      </c>
      <c r="M23" s="589" t="b">
        <f t="shared" si="1"/>
        <v>0</v>
      </c>
    </row>
    <row r="24" spans="2:13" x14ac:dyDescent="0.3">
      <c r="B24" s="592"/>
      <c r="C24" s="592"/>
      <c r="D24" s="592"/>
      <c r="E24" s="592"/>
      <c r="I24" s="587" t="s">
        <v>1445</v>
      </c>
      <c r="J24" s="603">
        <f>IFERROR(IF('Salida de datos'!F13="g",'Salida de datos'!E13,IF('Salida de datos'!F13="kg",('Salida de datos'!E13)*1000)),"")</f>
        <v>0</v>
      </c>
      <c r="K24" s="588" t="str">
        <f>IFERROR(IF('Salida de datos'!F13="g",'Salida de datos'!L13,IF('Salida de datos'!F13="kg",('Salida de datos'!L13))),"")</f>
        <v/>
      </c>
      <c r="L24" s="589">
        <f t="shared" si="0"/>
        <v>0</v>
      </c>
      <c r="M24" s="589" t="b">
        <f t="shared" si="1"/>
        <v>0</v>
      </c>
    </row>
    <row r="25" spans="2:13" x14ac:dyDescent="0.3">
      <c r="B25" s="592"/>
      <c r="C25" s="592"/>
      <c r="D25" s="592"/>
      <c r="E25" s="592"/>
      <c r="I25" s="587" t="s">
        <v>1446</v>
      </c>
      <c r="J25" s="603">
        <f>IFERROR(IF('Salida de datos'!F14="g",'Salida de datos'!E14,IF('Salida de datos'!F14="kg",('Salida de datos'!E14)*1000)),"")</f>
        <v>0</v>
      </c>
      <c r="K25" s="588" t="str">
        <f>IFERROR(IF('Salida de datos'!F14="g",'Salida de datos'!L14,IF('Salida de datos'!F14="kg",('Salida de datos'!L14))),"")</f>
        <v/>
      </c>
      <c r="L25" s="589">
        <f t="shared" si="0"/>
        <v>0</v>
      </c>
      <c r="M25" s="589" t="b">
        <f t="shared" si="1"/>
        <v>0</v>
      </c>
    </row>
    <row r="26" spans="2:13" x14ac:dyDescent="0.3">
      <c r="B26" s="592"/>
      <c r="C26" s="592"/>
      <c r="D26" s="592"/>
      <c r="E26" s="592"/>
      <c r="I26" s="587" t="s">
        <v>1447</v>
      </c>
      <c r="J26" s="603">
        <f>IFERROR(IF('Salida de datos'!F15="g",'Salida de datos'!E15,IF('Salida de datos'!F15="kg",('Salida de datos'!E15)*1000)),"")</f>
        <v>0</v>
      </c>
      <c r="K26" s="588" t="str">
        <f>IFERROR(IF('Salida de datos'!F15="g",'Salida de datos'!L15,IF('Salida de datos'!F15="kg",('Salida de datos'!L15))),"")</f>
        <v/>
      </c>
      <c r="L26" s="589">
        <f t="shared" si="0"/>
        <v>0</v>
      </c>
      <c r="M26" s="589" t="b">
        <f t="shared" si="1"/>
        <v>0</v>
      </c>
    </row>
    <row r="27" spans="2:13" x14ac:dyDescent="0.3">
      <c r="B27" s="592"/>
      <c r="C27" s="592"/>
      <c r="D27" s="592"/>
      <c r="E27" s="592"/>
      <c r="I27" s="587" t="s">
        <v>1448</v>
      </c>
      <c r="J27" s="603">
        <f>IFERROR(IF('Salida de datos'!F16="g",'Salida de datos'!E16,IF('Salida de datos'!F16="kg",('Salida de datos'!E16)*1000)),"")</f>
        <v>0</v>
      </c>
      <c r="K27" s="588" t="str">
        <f>IFERROR(IF('Salida de datos'!F16="g",'Salida de datos'!L16,IF('Salida de datos'!F16="kg",('Salida de datos'!L16))),"")</f>
        <v/>
      </c>
      <c r="L27" s="589">
        <f t="shared" si="0"/>
        <v>0</v>
      </c>
      <c r="M27" s="589" t="b">
        <f t="shared" si="1"/>
        <v>0</v>
      </c>
    </row>
    <row r="28" spans="2:13" x14ac:dyDescent="0.3">
      <c r="B28" s="592"/>
      <c r="C28" s="592"/>
      <c r="D28" s="592"/>
      <c r="E28" s="592"/>
      <c r="I28" s="587" t="s">
        <v>1449</v>
      </c>
      <c r="J28" s="603">
        <f>IFERROR(IF('Salida de datos'!F17="g",'Salida de datos'!E17,IF('Salida de datos'!F17="kg",('Salida de datos'!E17)*1000)),"")</f>
        <v>0</v>
      </c>
      <c r="K28" s="588" t="str">
        <f>IFERROR(IF('Salida de datos'!F17="g",'Salida de datos'!L17,IF('Salida de datos'!F17="kg",('Salida de datos'!L17))),"")</f>
        <v/>
      </c>
      <c r="L28" s="589">
        <f t="shared" si="0"/>
        <v>0</v>
      </c>
      <c r="M28" s="589" t="b">
        <f t="shared" si="1"/>
        <v>0</v>
      </c>
    </row>
    <row r="29" spans="2:13" x14ac:dyDescent="0.3">
      <c r="I29" s="587" t="s">
        <v>1460</v>
      </c>
      <c r="J29" s="603">
        <f>IFERROR(IF('Salida de datos'!F18="g",'Salida de datos'!E18,IF('Salida de datos'!F18="kg",('Salida de datos'!E18)*1000)),"")</f>
        <v>0</v>
      </c>
      <c r="K29" s="588" t="str">
        <f>IFERROR(IF('Salida de datos'!F18="g",'Salida de datos'!L18,IF('Salida de datos'!F18="kg",('Salida de datos'!L18))),"")</f>
        <v/>
      </c>
      <c r="L29" s="589">
        <f t="shared" si="0"/>
        <v>0</v>
      </c>
      <c r="M29" s="589" t="b">
        <f t="shared" si="1"/>
        <v>0</v>
      </c>
    </row>
    <row r="30" spans="2:13" x14ac:dyDescent="0.3">
      <c r="I30" s="587" t="s">
        <v>1461</v>
      </c>
      <c r="J30" s="603">
        <f>IFERROR(IF('Salida de datos'!F19="g",'Salida de datos'!E19,IF('Salida de datos'!F19="kg",('Salida de datos'!E19)*1000)),"")</f>
        <v>0</v>
      </c>
      <c r="K30" s="588" t="str">
        <f>IFERROR(IF('Salida de datos'!F19="g",'Salida de datos'!L19,IF('Salida de datos'!F19="kg",('Salida de datos'!L19))),"")</f>
        <v/>
      </c>
      <c r="L30" s="589">
        <f t="shared" si="0"/>
        <v>0</v>
      </c>
      <c r="M30" s="589" t="b">
        <f t="shared" si="1"/>
        <v>0</v>
      </c>
    </row>
    <row r="31" spans="2:13" x14ac:dyDescent="0.3">
      <c r="I31" s="587" t="s">
        <v>1462</v>
      </c>
      <c r="J31" s="603">
        <f>IFERROR(IF('Salida de datos'!F20="g",'Salida de datos'!E20,IF('Salida de datos'!F20="kg",('Salida de datos'!E20)*1000)),"")</f>
        <v>0</v>
      </c>
      <c r="K31" s="588" t="str">
        <f>IFERROR(IF('Salida de datos'!F20="g",'Salida de datos'!L20,IF('Salida de datos'!F20="kg",('Salida de datos'!L20))),"")</f>
        <v/>
      </c>
      <c r="L31" s="589">
        <f t="shared" si="0"/>
        <v>0</v>
      </c>
      <c r="M31" s="589" t="b">
        <f t="shared" si="1"/>
        <v>0</v>
      </c>
    </row>
    <row r="32" spans="2:13" x14ac:dyDescent="0.3">
      <c r="I32" s="587" t="s">
        <v>1463</v>
      </c>
      <c r="J32" s="603">
        <f>IFERROR(IF('Salida de datos'!F21="g",'Salida de datos'!E21,IF('Salida de datos'!F21="kg",('Salida de datos'!E21)*1000)),"")</f>
        <v>0</v>
      </c>
      <c r="K32" s="588" t="str">
        <f>IFERROR(IF('Salida de datos'!F21="g",'Salida de datos'!L21,IF('Salida de datos'!F21="kg",('Salida de datos'!L21))),"")</f>
        <v/>
      </c>
      <c r="L32" s="589">
        <f t="shared" si="0"/>
        <v>0</v>
      </c>
      <c r="M32" s="589" t="b">
        <f t="shared" si="1"/>
        <v>0</v>
      </c>
    </row>
    <row r="33" spans="9:13" x14ac:dyDescent="0.3">
      <c r="I33" s="587" t="s">
        <v>1464</v>
      </c>
      <c r="J33" s="603">
        <f>IFERROR(IF('Salida de datos'!F22="g",'Salida de datos'!E22,IF('Salida de datos'!F22="kg",('Salida de datos'!E22)*1000)),"")</f>
        <v>0</v>
      </c>
      <c r="K33" s="588" t="str">
        <f>IFERROR(IF('Salida de datos'!F22="g",'Salida de datos'!L22,IF('Salida de datos'!F22="kg",('Salida de datos'!L22))),"")</f>
        <v/>
      </c>
      <c r="L33" s="589">
        <f t="shared" si="0"/>
        <v>0</v>
      </c>
      <c r="M33" s="589" t="b">
        <f t="shared" si="1"/>
        <v>0</v>
      </c>
    </row>
    <row r="34" spans="9:13" x14ac:dyDescent="0.3">
      <c r="I34" s="587" t="s">
        <v>1465</v>
      </c>
      <c r="J34" s="603">
        <f>IFERROR(IF('Salida de datos'!F23="g",'Salida de datos'!E23,IF('Salida de datos'!F23="kg",('Salida de datos'!E23)*1000)),"")</f>
        <v>0</v>
      </c>
      <c r="K34" s="588" t="str">
        <f>IFERROR(IF('Salida de datos'!F23="g",'Salida de datos'!L23,IF('Salida de datos'!F23="kg",('Salida de datos'!L23))),"")</f>
        <v/>
      </c>
      <c r="L34" s="589">
        <f t="shared" si="0"/>
        <v>0</v>
      </c>
      <c r="M34" s="589" t="b">
        <f t="shared" si="1"/>
        <v>0</v>
      </c>
    </row>
    <row r="35" spans="9:13" x14ac:dyDescent="0.3">
      <c r="I35" s="587" t="s">
        <v>1466</v>
      </c>
      <c r="J35" s="603">
        <f>IFERROR(IF('Salida de datos'!F24="g",'Salida de datos'!E24,IF('Salida de datos'!F24="kg",('Salida de datos'!E24)*1000)),"")</f>
        <v>0</v>
      </c>
      <c r="K35" s="588" t="str">
        <f>IFERROR(IF('Salida de datos'!F24="g",'Salida de datos'!L24,IF('Salida de datos'!F24="kg",('Salida de datos'!L24))),"")</f>
        <v/>
      </c>
      <c r="L35" s="589">
        <f t="shared" si="0"/>
        <v>0</v>
      </c>
      <c r="M35" s="589" t="b">
        <f t="shared" si="1"/>
        <v>0</v>
      </c>
    </row>
    <row r="36" spans="9:13" x14ac:dyDescent="0.3">
      <c r="I36" s="587" t="s">
        <v>1467</v>
      </c>
      <c r="J36" s="603">
        <f>IFERROR(IF('Salida de datos'!F25="g",'Salida de datos'!E25,IF('Salida de datos'!F25="kg",('Salida de datos'!E25)*1000)),"")</f>
        <v>0</v>
      </c>
      <c r="K36" s="588" t="str">
        <f>IFERROR(IF('Salida de datos'!F25="g",'Salida de datos'!L25,IF('Salida de datos'!F25="kg",('Salida de datos'!L25))),"")</f>
        <v/>
      </c>
      <c r="L36" s="589">
        <f t="shared" si="0"/>
        <v>0</v>
      </c>
      <c r="M36" s="589" t="b">
        <f t="shared" si="1"/>
        <v>0</v>
      </c>
    </row>
    <row r="37" spans="9:13" x14ac:dyDescent="0.3">
      <c r="I37" s="587" t="s">
        <v>1468</v>
      </c>
      <c r="J37" s="603">
        <f>IFERROR(IF('Salida de datos'!F26="g",'Salida de datos'!E26,IF('Salida de datos'!F26="kg",('Salida de datos'!E26)*1000)),"")</f>
        <v>0</v>
      </c>
      <c r="K37" s="588" t="str">
        <f>IFERROR(IF('Salida de datos'!F26="g",'Salida de datos'!L26,IF('Salida de datos'!F26="kg",('Salida de datos'!L26))),"")</f>
        <v/>
      </c>
      <c r="L37" s="589">
        <f t="shared" si="0"/>
        <v>0</v>
      </c>
      <c r="M37" s="589" t="b">
        <f t="shared" si="1"/>
        <v>0</v>
      </c>
    </row>
    <row r="38" spans="9:13" x14ac:dyDescent="0.3">
      <c r="I38" s="587" t="s">
        <v>1469</v>
      </c>
      <c r="J38" s="603">
        <f>IFERROR(IF('Salida de datos'!F27="g",'Salida de datos'!E27,IF('Salida de datos'!F27="kg",('Salida de datos'!E27)*1000)),"")</f>
        <v>0</v>
      </c>
      <c r="K38" s="588" t="str">
        <f>IFERROR(IF('Salida de datos'!F27="g",'Salida de datos'!L27,IF('Salida de datos'!F27="kg",('Salida de datos'!L27))),"")</f>
        <v/>
      </c>
      <c r="L38" s="589">
        <f t="shared" si="0"/>
        <v>0</v>
      </c>
      <c r="M38" s="589" t="b">
        <f t="shared" si="1"/>
        <v>0</v>
      </c>
    </row>
  </sheetData>
  <mergeCells count="4">
    <mergeCell ref="B3:D3"/>
    <mergeCell ref="I4:J4"/>
    <mergeCell ref="K4:L4"/>
    <mergeCell ref="B5:C5"/>
  </mergeCells>
  <phoneticPr fontId="13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workbookViewId="0">
      <selection activeCell="I18" sqref="I18"/>
    </sheetView>
  </sheetViews>
  <sheetFormatPr baseColWidth="10" defaultColWidth="11.5546875" defaultRowHeight="14.4" x14ac:dyDescent="0.3"/>
  <cols>
    <col min="1" max="2" width="11.5546875" style="456"/>
    <col min="3" max="3" width="11.6640625" style="456" bestFit="1" customWidth="1"/>
    <col min="4" max="4" width="18.109375" style="456" customWidth="1"/>
    <col min="5" max="5" width="7.88671875" style="456" customWidth="1"/>
    <col min="6" max="6" width="6" style="456" customWidth="1"/>
    <col min="7" max="7" width="6.5546875" style="456" customWidth="1"/>
    <col min="8" max="8" width="4.33203125" style="456" customWidth="1"/>
    <col min="9" max="9" width="8.44140625" style="456" bestFit="1" customWidth="1"/>
    <col min="10" max="10" width="14" style="456" customWidth="1"/>
    <col min="11" max="11" width="3.44140625" style="456" bestFit="1" customWidth="1"/>
    <col min="12" max="12" width="10.6640625" style="456" bestFit="1" customWidth="1"/>
    <col min="13" max="13" width="8" style="456" customWidth="1"/>
    <col min="14" max="14" width="8.44140625" style="456" bestFit="1" customWidth="1"/>
    <col min="15" max="16384" width="11.5546875" style="456"/>
  </cols>
  <sheetData>
    <row r="4" spans="3:26" x14ac:dyDescent="0.3">
      <c r="C4" s="60"/>
      <c r="D4" s="60"/>
      <c r="E4" s="60"/>
      <c r="F4" s="60"/>
      <c r="G4" s="60"/>
      <c r="H4" s="60"/>
      <c r="I4" s="60"/>
      <c r="J4" s="60"/>
    </row>
    <row r="5" spans="3:26" x14ac:dyDescent="0.3">
      <c r="C5" s="680" t="s">
        <v>464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456" t="s">
        <v>781</v>
      </c>
    </row>
    <row r="6" spans="3:26" ht="15" customHeight="1" x14ac:dyDescent="0.3">
      <c r="C6" s="682" t="s">
        <v>465</v>
      </c>
      <c r="D6" s="682" t="s">
        <v>468</v>
      </c>
      <c r="E6" s="679" t="s">
        <v>466</v>
      </c>
      <c r="F6" s="679"/>
      <c r="G6" s="679" t="s">
        <v>467</v>
      </c>
      <c r="H6" s="679"/>
      <c r="I6" s="679"/>
      <c r="J6" s="679"/>
      <c r="K6" s="679"/>
      <c r="L6" s="679" t="s">
        <v>177</v>
      </c>
      <c r="M6" s="679"/>
      <c r="N6" s="684" t="s">
        <v>16</v>
      </c>
      <c r="O6" s="675" t="s">
        <v>19</v>
      </c>
      <c r="P6" s="677" t="s">
        <v>780</v>
      </c>
      <c r="Q6" s="677" t="s">
        <v>785</v>
      </c>
      <c r="R6" s="674" t="s">
        <v>784</v>
      </c>
      <c r="S6" s="674"/>
      <c r="T6" s="666" t="s">
        <v>782</v>
      </c>
      <c r="U6" s="667"/>
      <c r="V6" s="667"/>
      <c r="W6" s="667"/>
      <c r="X6" s="667"/>
      <c r="Y6" s="668"/>
      <c r="Z6" s="664" t="s">
        <v>783</v>
      </c>
    </row>
    <row r="7" spans="3:26" ht="27.75" customHeight="1" x14ac:dyDescent="0.3">
      <c r="C7" s="683"/>
      <c r="D7" s="683"/>
      <c r="E7" s="679"/>
      <c r="F7" s="679"/>
      <c r="G7" s="679"/>
      <c r="H7" s="679"/>
      <c r="I7" s="679"/>
      <c r="J7" s="679"/>
      <c r="K7" s="679"/>
      <c r="L7" s="679"/>
      <c r="M7" s="679"/>
      <c r="N7" s="685"/>
      <c r="O7" s="676"/>
      <c r="P7" s="678"/>
      <c r="Q7" s="678"/>
      <c r="R7" s="674"/>
      <c r="S7" s="674"/>
      <c r="T7" s="669"/>
      <c r="U7" s="670"/>
      <c r="V7" s="670"/>
      <c r="W7" s="670"/>
      <c r="X7" s="670"/>
      <c r="Y7" s="671"/>
      <c r="Z7" s="665"/>
    </row>
    <row r="8" spans="3:26" x14ac:dyDescent="0.3">
      <c r="C8" s="457">
        <f>datos!A13</f>
        <v>1</v>
      </c>
      <c r="D8" s="457">
        <f>datos!M15</f>
        <v>0</v>
      </c>
      <c r="E8" s="458">
        <f>datos!E22</f>
        <v>0</v>
      </c>
      <c r="F8" s="459" t="str">
        <f>datos!F22</f>
        <v>g</v>
      </c>
      <c r="G8" s="460">
        <f>E8</f>
        <v>0</v>
      </c>
      <c r="H8" s="459" t="str">
        <f>F8</f>
        <v>g</v>
      </c>
      <c r="I8" s="458" t="e">
        <f>IF('1 g'!$C$67&gt;0,"+",IF('1 g'!$C$67&lt;0,"-"," "))</f>
        <v>#N/A</v>
      </c>
      <c r="J8" s="463" t="e">
        <f>ABS('1 g'!$C$67)</f>
        <v>#N/A</v>
      </c>
      <c r="K8" s="461" t="s">
        <v>119</v>
      </c>
      <c r="L8" s="461" t="e">
        <f>'1 g'!$C$64</f>
        <v>#N/A</v>
      </c>
      <c r="M8" s="462" t="s">
        <v>119</v>
      </c>
      <c r="N8" s="463" t="e">
        <f>'1 g'!$AG$129</f>
        <v>#N/A</v>
      </c>
      <c r="O8" s="463" t="str">
        <f>datos!E22&amp;" "&amp;datos!F22</f>
        <v>0 g</v>
      </c>
      <c r="P8" s="463" t="e">
        <f>VLOOKUP(O8,'Salida de datos'!$C$63:$J$87,datos!D364+1,FALSE)</f>
        <v>#N/A</v>
      </c>
      <c r="Q8" s="540" t="e">
        <f>P8/3</f>
        <v>#N/A</v>
      </c>
      <c r="R8" s="672" t="e">
        <f>IF(L8&lt;=Q8, "Cumple","No cumple")</f>
        <v>#N/A</v>
      </c>
      <c r="S8" s="673"/>
      <c r="T8" s="542" t="str">
        <f>IF(C93&gt;$D$47,"*","**")</f>
        <v>**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</v>
      </c>
      <c r="X8" s="543" t="str">
        <f>IF(C93=$D$51,"**","*")</f>
        <v>*</v>
      </c>
      <c r="Y8" s="543" t="str">
        <f>IF(T8=$O$5,"**",IF(U8=$O$5,"**",IF(V8=$O$5,"**",IF(W8=$O$5,"**",IF(X8=$O$5,"**")))))</f>
        <v>**</v>
      </c>
      <c r="Z8" s="546" t="str">
        <f>IF(Y8=FALSE," ","**")</f>
        <v>**</v>
      </c>
    </row>
    <row r="9" spans="3:26" ht="14.4" customHeight="1" x14ac:dyDescent="0.3">
      <c r="C9" s="464">
        <f>datos!A30</f>
        <v>2</v>
      </c>
      <c r="D9" s="457">
        <f>datos!M32</f>
        <v>0</v>
      </c>
      <c r="E9" s="458">
        <f>datos!E39</f>
        <v>0</v>
      </c>
      <c r="F9" s="459" t="str">
        <f>datos!F39</f>
        <v>g</v>
      </c>
      <c r="G9" s="460">
        <f t="shared" ref="G9:G27" si="0">E9</f>
        <v>0</v>
      </c>
      <c r="H9" s="459" t="str">
        <f t="shared" ref="H9:H27" si="1">F9</f>
        <v>g</v>
      </c>
      <c r="I9" s="458" t="e">
        <f>IF('2 g'!$C$67&gt;0,"+",IF('2 g'!$C$67&lt;0,"-"," "))</f>
        <v>#N/A</v>
      </c>
      <c r="J9" s="540" t="e">
        <f>ABS('2 g'!$C$67)</f>
        <v>#N/A</v>
      </c>
      <c r="K9" s="461" t="s">
        <v>119</v>
      </c>
      <c r="L9" s="461" t="e">
        <f>'2 g'!$C$64</f>
        <v>#N/A</v>
      </c>
      <c r="M9" s="462" t="s">
        <v>119</v>
      </c>
      <c r="N9" s="463" t="e">
        <f>'2 g'!$AG$129</f>
        <v>#N/A</v>
      </c>
      <c r="O9" s="463" t="str">
        <f>datos!E39&amp;" "&amp;datos!F39</f>
        <v>0 g</v>
      </c>
      <c r="P9" s="463" t="e">
        <f>VLOOKUP(O9,'Salida de datos'!$C$63:$J$87,datos!E364+1,FALSE)</f>
        <v>#N/A</v>
      </c>
      <c r="Q9" s="540" t="e">
        <f t="shared" ref="Q9:Q27" si="2">P9/3</f>
        <v>#N/A</v>
      </c>
      <c r="R9" s="672" t="e">
        <f t="shared" ref="R9:R27" si="3">IF(L9&lt;=Q9, "Cumple","No cumple")</f>
        <v>#N/A</v>
      </c>
      <c r="S9" s="673"/>
      <c r="T9" s="543" t="str">
        <f t="shared" ref="T9:T27" si="4">IF(C94&gt;$D$47,"*","**")</f>
        <v>**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str">
        <f>IF(T9=$O$5,"**",IF(U9=$O$5,"**",IF(V9=$O$5,"**",IF(W9=$O$5,"**",IF(X9=$O$5,"**")))))</f>
        <v>**</v>
      </c>
      <c r="Z9" s="546" t="str">
        <f t="shared" ref="Z9:Z27" si="9">IF(Y9=FALSE," ","**")</f>
        <v>**</v>
      </c>
    </row>
    <row r="10" spans="3:26" ht="14.4" customHeight="1" x14ac:dyDescent="0.3">
      <c r="C10" s="457">
        <f>datos!A47</f>
        <v>3</v>
      </c>
      <c r="D10" s="457">
        <f>datos!M49</f>
        <v>0</v>
      </c>
      <c r="E10" s="458">
        <f>datos!E56</f>
        <v>0</v>
      </c>
      <c r="F10" s="459" t="str">
        <f>datos!F56</f>
        <v>g</v>
      </c>
      <c r="G10" s="460">
        <f t="shared" si="0"/>
        <v>0</v>
      </c>
      <c r="H10" s="459" t="str">
        <f t="shared" si="1"/>
        <v>g</v>
      </c>
      <c r="I10" s="458" t="e">
        <f>IF('2 g.'!$C$67&gt;0,"+",IF('2 g.'!$C$67&lt;0,"-"," "))</f>
        <v>#N/A</v>
      </c>
      <c r="J10" s="540" t="e">
        <f>ABS('2 g.'!$C$67)</f>
        <v>#N/A</v>
      </c>
      <c r="K10" s="461" t="s">
        <v>119</v>
      </c>
      <c r="L10" s="461" t="e">
        <f>'2 g.'!$C$64</f>
        <v>#N/A</v>
      </c>
      <c r="M10" s="462" t="s">
        <v>119</v>
      </c>
      <c r="N10" s="463" t="e">
        <f>'2 g.'!$AG$129</f>
        <v>#N/A</v>
      </c>
      <c r="O10" s="463" t="str">
        <f>datos!E56&amp;" "&amp;datos!F56</f>
        <v>0 g</v>
      </c>
      <c r="P10" s="463" t="e">
        <f>VLOOKUP(O10,'Salida de datos'!$C$63:$J$87,datos!E365+1,FALSE)</f>
        <v>#N/A</v>
      </c>
      <c r="Q10" s="540" t="e">
        <f t="shared" si="2"/>
        <v>#N/A</v>
      </c>
      <c r="R10" s="672" t="e">
        <f t="shared" si="3"/>
        <v>#N/A</v>
      </c>
      <c r="S10" s="673"/>
      <c r="T10" s="543" t="str">
        <f t="shared" si="4"/>
        <v>**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str">
        <f t="shared" ref="Y10:Y27" si="10">IF(T10=$O$5,"**",IF(U10=$O$5,"**",IF(V10=$O$5,"**",IF(W10=$O$5,"**",IF(X10=$O$5,"**")))))</f>
        <v>**</v>
      </c>
      <c r="Z10" s="546" t="str">
        <f t="shared" si="9"/>
        <v>**</v>
      </c>
    </row>
    <row r="11" spans="3:26" ht="14.4" customHeight="1" x14ac:dyDescent="0.3">
      <c r="C11" s="457">
        <f>datos!A64</f>
        <v>4</v>
      </c>
      <c r="D11" s="457">
        <f>datos!M66</f>
        <v>0</v>
      </c>
      <c r="E11" s="458">
        <f>datos!E73</f>
        <v>0</v>
      </c>
      <c r="F11" s="459" t="str">
        <f>datos!F73</f>
        <v>g</v>
      </c>
      <c r="G11" s="460">
        <f t="shared" si="0"/>
        <v>0</v>
      </c>
      <c r="H11" s="459" t="str">
        <f t="shared" si="1"/>
        <v>g</v>
      </c>
      <c r="I11" s="458" t="e">
        <f>IF('5 g'!$C$67&gt;0,"+",IF('5 g'!$C$67&lt;0,"-"," "))</f>
        <v>#N/A</v>
      </c>
      <c r="J11" s="540" t="e">
        <f>ABS('5 g'!$C$67)</f>
        <v>#N/A</v>
      </c>
      <c r="K11" s="461" t="s">
        <v>119</v>
      </c>
      <c r="L11" s="461" t="e">
        <f>'5 g'!$C$64</f>
        <v>#N/A</v>
      </c>
      <c r="M11" s="462" t="s">
        <v>119</v>
      </c>
      <c r="N11" s="463" t="e">
        <f>'5 g'!$AG$129</f>
        <v>#N/A</v>
      </c>
      <c r="O11" s="463" t="str">
        <f>datos!E73&amp;" "&amp;datos!F73</f>
        <v>0 g</v>
      </c>
      <c r="P11" s="463" t="e">
        <f>VLOOKUP(O11,'Salida de datos'!$C$63:$J$87,datos!E366+1,FALSE)</f>
        <v>#N/A</v>
      </c>
      <c r="Q11" s="540" t="e">
        <f t="shared" si="2"/>
        <v>#N/A</v>
      </c>
      <c r="R11" s="672" t="e">
        <f t="shared" si="3"/>
        <v>#N/A</v>
      </c>
      <c r="S11" s="673"/>
      <c r="T11" s="543" t="str">
        <f t="shared" si="4"/>
        <v>**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str">
        <f t="shared" si="10"/>
        <v>**</v>
      </c>
      <c r="Z11" s="546" t="str">
        <f t="shared" si="9"/>
        <v>**</v>
      </c>
    </row>
    <row r="12" spans="3:26" ht="14.4" customHeight="1" x14ac:dyDescent="0.3">
      <c r="C12" s="464">
        <f>datos!A81</f>
        <v>5</v>
      </c>
      <c r="D12" s="457">
        <f>datos!M83</f>
        <v>0</v>
      </c>
      <c r="E12" s="458">
        <f>datos!E90</f>
        <v>0</v>
      </c>
      <c r="F12" s="459" t="str">
        <f>datos!F90</f>
        <v>g</v>
      </c>
      <c r="G12" s="460">
        <f t="shared" si="0"/>
        <v>0</v>
      </c>
      <c r="H12" s="459" t="str">
        <f t="shared" si="1"/>
        <v>g</v>
      </c>
      <c r="I12" s="458" t="e">
        <f>IF('10 g'!$C$67&gt;0,"+",IF('10 g'!$C$67&lt;0,"-"," "))</f>
        <v>#N/A</v>
      </c>
      <c r="J12" s="540" t="e">
        <f>ABS('10 g'!$C$67)</f>
        <v>#N/A</v>
      </c>
      <c r="K12" s="461" t="s">
        <v>119</v>
      </c>
      <c r="L12" s="461" t="e">
        <f>'10 g'!$C$64</f>
        <v>#N/A</v>
      </c>
      <c r="M12" s="462" t="s">
        <v>119</v>
      </c>
      <c r="N12" s="463" t="e">
        <f>'10 g'!$AG$129</f>
        <v>#N/A</v>
      </c>
      <c r="O12" s="463" t="str">
        <f>datos!E90&amp;" "&amp;datos!F90</f>
        <v>0 g</v>
      </c>
      <c r="P12" s="463" t="e">
        <f>VLOOKUP(O12,'Salida de datos'!$C$63:$J$87,datos!E367+1,FALSE)</f>
        <v>#N/A</v>
      </c>
      <c r="Q12" s="540" t="e">
        <f t="shared" si="2"/>
        <v>#N/A</v>
      </c>
      <c r="R12" s="672" t="e">
        <f t="shared" si="3"/>
        <v>#N/A</v>
      </c>
      <c r="S12" s="673"/>
      <c r="T12" s="543" t="str">
        <f t="shared" si="4"/>
        <v>**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str">
        <f t="shared" si="10"/>
        <v>**</v>
      </c>
      <c r="Z12" s="546" t="str">
        <f t="shared" si="9"/>
        <v>**</v>
      </c>
    </row>
    <row r="13" spans="3:26" ht="14.4" customHeight="1" x14ac:dyDescent="0.3">
      <c r="C13" s="457">
        <f>datos!A98</f>
        <v>6</v>
      </c>
      <c r="D13" s="457">
        <f>datos!M100</f>
        <v>0</v>
      </c>
      <c r="E13" s="458">
        <f>datos!E107</f>
        <v>0</v>
      </c>
      <c r="F13" s="459" t="str">
        <f>datos!F107</f>
        <v>g</v>
      </c>
      <c r="G13" s="460">
        <f t="shared" si="0"/>
        <v>0</v>
      </c>
      <c r="H13" s="459" t="str">
        <f t="shared" si="1"/>
        <v>g</v>
      </c>
      <c r="I13" s="458" t="e">
        <f>IF('20 g'!$C$67&gt;0,"+",IF('20 g'!$C$67&lt;0,"-"," "))</f>
        <v>#N/A</v>
      </c>
      <c r="J13" s="540" t="e">
        <f>ABS('20 g'!$C$67)</f>
        <v>#N/A</v>
      </c>
      <c r="K13" s="461" t="s">
        <v>119</v>
      </c>
      <c r="L13" s="461" t="e">
        <f>'20 g'!$C$64</f>
        <v>#N/A</v>
      </c>
      <c r="M13" s="462" t="s">
        <v>119</v>
      </c>
      <c r="N13" s="463" t="e">
        <f>'20 g'!$AG$129</f>
        <v>#N/A</v>
      </c>
      <c r="O13" s="463" t="str">
        <f>datos!E107&amp;" "&amp;datos!F107</f>
        <v>0 g</v>
      </c>
      <c r="P13" s="463" t="e">
        <f>VLOOKUP(O13,'Salida de datos'!$C$63:$J$87,datos!E368+1,FALSE)</f>
        <v>#N/A</v>
      </c>
      <c r="Q13" s="540" t="e">
        <f t="shared" si="2"/>
        <v>#N/A</v>
      </c>
      <c r="R13" s="672" t="e">
        <f t="shared" si="3"/>
        <v>#N/A</v>
      </c>
      <c r="S13" s="673"/>
      <c r="T13" s="543" t="str">
        <f t="shared" si="4"/>
        <v>**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str">
        <f t="shared" si="10"/>
        <v>**</v>
      </c>
      <c r="Z13" s="546" t="str">
        <f t="shared" si="9"/>
        <v>**</v>
      </c>
    </row>
    <row r="14" spans="3:26" ht="14.4" customHeight="1" x14ac:dyDescent="0.3">
      <c r="C14" s="457">
        <f>datos!A115</f>
        <v>7</v>
      </c>
      <c r="D14" s="457">
        <f>datos!M117</f>
        <v>0</v>
      </c>
      <c r="E14" s="458">
        <f>datos!E124</f>
        <v>0</v>
      </c>
      <c r="F14" s="459" t="str">
        <f>datos!F124</f>
        <v>g</v>
      </c>
      <c r="G14" s="460">
        <f t="shared" si="0"/>
        <v>0</v>
      </c>
      <c r="H14" s="459" t="str">
        <f t="shared" si="1"/>
        <v>g</v>
      </c>
      <c r="I14" s="458" t="e">
        <f>IF('20 g,'!$C$67&gt;0,"+",IF('20 g,'!$C$67&lt;0,"-"," "))</f>
        <v>#N/A</v>
      </c>
      <c r="J14" s="540" t="e">
        <f>ABS('20 g,'!$C$67)</f>
        <v>#N/A</v>
      </c>
      <c r="K14" s="461" t="s">
        <v>119</v>
      </c>
      <c r="L14" s="461" t="e">
        <f>'20 g,'!$C$64</f>
        <v>#N/A</v>
      </c>
      <c r="M14" s="462" t="s">
        <v>119</v>
      </c>
      <c r="N14" s="463" t="e">
        <f>'20 g,'!$AG$129</f>
        <v>#N/A</v>
      </c>
      <c r="O14" s="463" t="str">
        <f>datos!E124&amp;" "&amp;datos!F124</f>
        <v>0 g</v>
      </c>
      <c r="P14" s="463" t="e">
        <f>VLOOKUP(O14,'Salida de datos'!$C$63:$J$87,datos!E369+1,FALSE)</f>
        <v>#N/A</v>
      </c>
      <c r="Q14" s="540" t="e">
        <f t="shared" si="2"/>
        <v>#N/A</v>
      </c>
      <c r="R14" s="672" t="e">
        <f t="shared" si="3"/>
        <v>#N/A</v>
      </c>
      <c r="S14" s="673"/>
      <c r="T14" s="543" t="str">
        <f t="shared" si="4"/>
        <v>**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str">
        <f t="shared" si="10"/>
        <v>**</v>
      </c>
      <c r="Z14" s="546" t="str">
        <f t="shared" si="9"/>
        <v>**</v>
      </c>
    </row>
    <row r="15" spans="3:26" ht="14.4" customHeight="1" x14ac:dyDescent="0.3">
      <c r="C15" s="457">
        <f>datos!A132</f>
        <v>8</v>
      </c>
      <c r="D15" s="457">
        <f>datos!M134</f>
        <v>0</v>
      </c>
      <c r="E15" s="458">
        <f>datos!E141</f>
        <v>0</v>
      </c>
      <c r="F15" s="459" t="str">
        <f>datos!F141</f>
        <v>g</v>
      </c>
      <c r="G15" s="460">
        <f t="shared" si="0"/>
        <v>0</v>
      </c>
      <c r="H15" s="459" t="str">
        <f t="shared" si="1"/>
        <v>g</v>
      </c>
      <c r="I15" s="458" t="e">
        <f>IF('50 g'!$C$67&gt;0,"+",IF('50 g'!$C$67&lt;0,"-"," "))</f>
        <v>#N/A</v>
      </c>
      <c r="J15" s="540" t="e">
        <f>ABS('50 g'!$C$67)</f>
        <v>#N/A</v>
      </c>
      <c r="K15" s="461" t="s">
        <v>119</v>
      </c>
      <c r="L15" s="461" t="e">
        <f>'50 g'!$C$64</f>
        <v>#N/A</v>
      </c>
      <c r="M15" s="462" t="s">
        <v>119</v>
      </c>
      <c r="N15" s="463" t="e">
        <f>'50 g'!$AG$129</f>
        <v>#N/A</v>
      </c>
      <c r="O15" s="463" t="str">
        <f>datos!E141&amp;" "&amp;datos!F141</f>
        <v>0 g</v>
      </c>
      <c r="P15" s="463" t="e">
        <f>VLOOKUP(O15,'Salida de datos'!$C$63:$J$87,datos!E370+1,FALSE)</f>
        <v>#N/A</v>
      </c>
      <c r="Q15" s="540" t="e">
        <f t="shared" si="2"/>
        <v>#N/A</v>
      </c>
      <c r="R15" s="672" t="e">
        <f t="shared" si="3"/>
        <v>#N/A</v>
      </c>
      <c r="S15" s="673"/>
      <c r="T15" s="543" t="str">
        <f t="shared" si="4"/>
        <v>**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str">
        <f t="shared" si="10"/>
        <v>**</v>
      </c>
      <c r="Z15" s="546" t="str">
        <f t="shared" si="9"/>
        <v>**</v>
      </c>
    </row>
    <row r="16" spans="3:26" ht="14.4" customHeight="1" x14ac:dyDescent="0.3">
      <c r="C16" s="457">
        <f>datos!A149</f>
        <v>9</v>
      </c>
      <c r="D16" s="457">
        <f>datos!M151</f>
        <v>0</v>
      </c>
      <c r="E16" s="458">
        <f>datos!E158</f>
        <v>0</v>
      </c>
      <c r="F16" s="459" t="str">
        <f>datos!F158</f>
        <v>g</v>
      </c>
      <c r="G16" s="460">
        <f t="shared" si="0"/>
        <v>0</v>
      </c>
      <c r="H16" s="459" t="str">
        <f t="shared" si="1"/>
        <v>g</v>
      </c>
      <c r="I16" s="458" t="e">
        <f>IF('100 g'!$C$67&gt;0,"+",IF('100 g'!$C$67&lt;0,"-"," "))</f>
        <v>#N/A</v>
      </c>
      <c r="J16" s="540" t="e">
        <f>ABS('100 g'!$C$67)</f>
        <v>#N/A</v>
      </c>
      <c r="K16" s="461" t="s">
        <v>119</v>
      </c>
      <c r="L16" s="461" t="e">
        <f>'100 g'!$C$64</f>
        <v>#N/A</v>
      </c>
      <c r="M16" s="462" t="s">
        <v>119</v>
      </c>
      <c r="N16" s="463" t="e">
        <f>'100 g'!$AG$129</f>
        <v>#N/A</v>
      </c>
      <c r="O16" s="463" t="str">
        <f>datos!E158&amp;" "&amp;datos!F158</f>
        <v>0 g</v>
      </c>
      <c r="P16" s="463" t="e">
        <f>VLOOKUP(O16,'Salida de datos'!$C$63:$J$87,datos!E371+1,FALSE)</f>
        <v>#N/A</v>
      </c>
      <c r="Q16" s="540" t="e">
        <f t="shared" si="2"/>
        <v>#N/A</v>
      </c>
      <c r="R16" s="672" t="e">
        <f t="shared" si="3"/>
        <v>#N/A</v>
      </c>
      <c r="S16" s="673"/>
      <c r="T16" s="543" t="str">
        <f t="shared" si="4"/>
        <v>**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str">
        <f t="shared" si="10"/>
        <v>**</v>
      </c>
      <c r="Z16" s="546" t="str">
        <f t="shared" si="9"/>
        <v>**</v>
      </c>
    </row>
    <row r="17" spans="3:26" ht="14.4" customHeight="1" x14ac:dyDescent="0.3">
      <c r="C17" s="457">
        <f>datos!A166</f>
        <v>10</v>
      </c>
      <c r="D17" s="457">
        <f>datos!M168</f>
        <v>0</v>
      </c>
      <c r="E17" s="458">
        <f>datos!E175</f>
        <v>0</v>
      </c>
      <c r="F17" s="459" t="str">
        <f>datos!F175</f>
        <v>kg</v>
      </c>
      <c r="G17" s="460">
        <f t="shared" si="0"/>
        <v>0</v>
      </c>
      <c r="H17" s="459" t="str">
        <f t="shared" si="1"/>
        <v>kg</v>
      </c>
      <c r="I17" s="458" t="e">
        <f>IF('200 g'!$C$67&gt;0,"+",IF('200 g'!$C$67&lt;0,"-"," "))</f>
        <v>#N/A</v>
      </c>
      <c r="J17" s="540" t="e">
        <f>ABS('200 g'!$C$67)</f>
        <v>#N/A</v>
      </c>
      <c r="K17" s="461" t="s">
        <v>119</v>
      </c>
      <c r="L17" s="461" t="e">
        <f>'200 g'!$C$64</f>
        <v>#N/A</v>
      </c>
      <c r="M17" s="462" t="s">
        <v>119</v>
      </c>
      <c r="N17" s="463" t="e">
        <f>'200 g'!$AG$129</f>
        <v>#N/A</v>
      </c>
      <c r="O17" s="463" t="str">
        <f>datos!E175&amp;" "&amp;datos!F175</f>
        <v>0 kg</v>
      </c>
      <c r="P17" s="463" t="e">
        <f>VLOOKUP(O17,'Salida de datos'!$C$63:$J$87,datos!E372+1,FALSE)</f>
        <v>#N/A</v>
      </c>
      <c r="Q17" s="540" t="e">
        <f t="shared" si="2"/>
        <v>#N/A</v>
      </c>
      <c r="R17" s="672" t="e">
        <f t="shared" si="3"/>
        <v>#N/A</v>
      </c>
      <c r="S17" s="673"/>
      <c r="T17" s="543" t="str">
        <f t="shared" si="4"/>
        <v>**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str">
        <f t="shared" si="10"/>
        <v>**</v>
      </c>
      <c r="Z17" s="546" t="str">
        <f t="shared" si="9"/>
        <v>**</v>
      </c>
    </row>
    <row r="18" spans="3:26" ht="14.4" customHeight="1" x14ac:dyDescent="0.3">
      <c r="C18" s="457">
        <f>datos!A183</f>
        <v>11</v>
      </c>
      <c r="D18" s="457">
        <f>datos!M185</f>
        <v>0</v>
      </c>
      <c r="E18" s="458">
        <f>datos!E192</f>
        <v>0</v>
      </c>
      <c r="F18" s="459" t="str">
        <f>datos!F192</f>
        <v>kg</v>
      </c>
      <c r="G18" s="460">
        <f t="shared" si="0"/>
        <v>0</v>
      </c>
      <c r="H18" s="459" t="str">
        <f t="shared" si="1"/>
        <v>kg</v>
      </c>
      <c r="I18" s="458" t="e">
        <f>IF('200 g.'!$C$67&gt;0,"+",IF('200 g.'!$C$67&lt;0,"-"," "))</f>
        <v>#N/A</v>
      </c>
      <c r="J18" s="540" t="e">
        <f>ABS('200 g.'!$C$67)</f>
        <v>#N/A</v>
      </c>
      <c r="K18" s="461" t="s">
        <v>119</v>
      </c>
      <c r="L18" s="461" t="e">
        <f>'200 g.'!$C$64</f>
        <v>#N/A</v>
      </c>
      <c r="M18" s="462" t="s">
        <v>119</v>
      </c>
      <c r="N18" s="463" t="e">
        <f>'200 g.'!$AG$129</f>
        <v>#N/A</v>
      </c>
      <c r="O18" s="463" t="str">
        <f>datos!E192&amp;" "&amp;datos!F192</f>
        <v>0 kg</v>
      </c>
      <c r="P18" s="463" t="e">
        <f>VLOOKUP(O18,'Salida de datos'!$C$63:$J$87,datos!F364+1,FALSE)</f>
        <v>#N/A</v>
      </c>
      <c r="Q18" s="540" t="e">
        <f t="shared" si="2"/>
        <v>#N/A</v>
      </c>
      <c r="R18" s="672" t="e">
        <f t="shared" si="3"/>
        <v>#N/A</v>
      </c>
      <c r="S18" s="673"/>
      <c r="T18" s="543" t="str">
        <f t="shared" si="4"/>
        <v>**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str">
        <f t="shared" si="10"/>
        <v>**</v>
      </c>
      <c r="Z18" s="546" t="str">
        <f t="shared" si="9"/>
        <v>**</v>
      </c>
    </row>
    <row r="19" spans="3:26" ht="14.4" customHeight="1" x14ac:dyDescent="0.3">
      <c r="C19" s="457">
        <f>datos!A200</f>
        <v>12</v>
      </c>
      <c r="D19" s="457">
        <f>datos!M202</f>
        <v>0</v>
      </c>
      <c r="E19" s="458">
        <f>datos!E209</f>
        <v>0</v>
      </c>
      <c r="F19" s="459" t="str">
        <f>datos!F209</f>
        <v>kg</v>
      </c>
      <c r="G19" s="460">
        <f t="shared" si="0"/>
        <v>0</v>
      </c>
      <c r="H19" s="459" t="str">
        <f t="shared" si="1"/>
        <v>kg</v>
      </c>
      <c r="I19" s="458" t="e">
        <f>IF('500 g'!$C$67&gt;0,"+",IF('500 g'!$C$67&lt;0,"-"," "))</f>
        <v>#N/A</v>
      </c>
      <c r="J19" s="540" t="e">
        <f>ABS('500 g'!$C$67)</f>
        <v>#N/A</v>
      </c>
      <c r="K19" s="461" t="s">
        <v>119</v>
      </c>
      <c r="L19" s="461" t="e">
        <f>'500 g'!$C$64</f>
        <v>#N/A</v>
      </c>
      <c r="M19" s="462" t="s">
        <v>119</v>
      </c>
      <c r="N19" s="463" t="e">
        <f>'500 g'!$AG$129</f>
        <v>#N/A</v>
      </c>
      <c r="O19" s="463" t="str">
        <f>datos!E209&amp;" "&amp;datos!F209</f>
        <v>0 kg</v>
      </c>
      <c r="P19" s="463" t="e">
        <f>VLOOKUP(O19,'Salida de datos'!$C$63:$J$87,datos!F365+1,FALSE)</f>
        <v>#N/A</v>
      </c>
      <c r="Q19" s="540" t="e">
        <f t="shared" si="2"/>
        <v>#N/A</v>
      </c>
      <c r="R19" s="672" t="e">
        <f t="shared" si="3"/>
        <v>#N/A</v>
      </c>
      <c r="S19" s="673"/>
      <c r="T19" s="543" t="str">
        <f t="shared" si="4"/>
        <v>**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str">
        <f t="shared" si="10"/>
        <v>**</v>
      </c>
      <c r="Z19" s="546" t="str">
        <f t="shared" si="9"/>
        <v>**</v>
      </c>
    </row>
    <row r="20" spans="3:26" ht="14.4" customHeight="1" x14ac:dyDescent="0.3">
      <c r="C20" s="457">
        <f>datos!A217</f>
        <v>13</v>
      </c>
      <c r="D20" s="457">
        <f>datos!M219</f>
        <v>0</v>
      </c>
      <c r="E20" s="458">
        <f>datos!E226</f>
        <v>0</v>
      </c>
      <c r="F20" s="459" t="str">
        <f>datos!F226</f>
        <v>g</v>
      </c>
      <c r="G20" s="460">
        <f t="shared" si="0"/>
        <v>0</v>
      </c>
      <c r="H20" s="459" t="str">
        <f t="shared" si="1"/>
        <v>g</v>
      </c>
      <c r="I20" s="458" t="e">
        <f>IF('1 kg'!$C$67&gt;0,"+",IF('1 kg'!$C$67&lt;0,"-"," "))</f>
        <v>#N/A</v>
      </c>
      <c r="J20" s="540" t="e">
        <f>ABS('1 kg'!$C$67)</f>
        <v>#N/A</v>
      </c>
      <c r="K20" s="461" t="s">
        <v>119</v>
      </c>
      <c r="L20" s="461" t="e">
        <f>'1 kg'!$C$64</f>
        <v>#N/A</v>
      </c>
      <c r="M20" s="462" t="s">
        <v>119</v>
      </c>
      <c r="N20" s="463" t="e">
        <f>'1 kg'!$AG$129</f>
        <v>#N/A</v>
      </c>
      <c r="O20" s="463" t="str">
        <f>datos!E226&amp;" "&amp;datos!F226</f>
        <v>0 g</v>
      </c>
      <c r="P20" s="463" t="e">
        <f>VLOOKUP(O20,'Salida de datos'!$C$63:$J$87,datos!F366+1,FALSE)</f>
        <v>#N/A</v>
      </c>
      <c r="Q20" s="540" t="e">
        <f t="shared" si="2"/>
        <v>#N/A</v>
      </c>
      <c r="R20" s="672" t="e">
        <f t="shared" si="3"/>
        <v>#N/A</v>
      </c>
      <c r="S20" s="673"/>
      <c r="T20" s="543" t="str">
        <f t="shared" si="4"/>
        <v>**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str">
        <f t="shared" si="10"/>
        <v>**</v>
      </c>
      <c r="Z20" s="546" t="str">
        <f t="shared" si="9"/>
        <v>**</v>
      </c>
    </row>
    <row r="21" spans="3:26" ht="14.4" customHeight="1" x14ac:dyDescent="0.3">
      <c r="C21" s="457">
        <f>datos!A234</f>
        <v>14</v>
      </c>
      <c r="D21" s="457">
        <f>datos!M236</f>
        <v>0</v>
      </c>
      <c r="E21" s="458">
        <f>datos!E243</f>
        <v>0</v>
      </c>
      <c r="F21" s="459" t="str">
        <f>datos!F243</f>
        <v>kg</v>
      </c>
      <c r="G21" s="460">
        <f t="shared" si="0"/>
        <v>0</v>
      </c>
      <c r="H21" s="459" t="str">
        <f t="shared" si="1"/>
        <v>kg</v>
      </c>
      <c r="I21" s="458" t="e">
        <f>IF('2 kg'!$C$67&gt;0,"+",IF('2 kg'!$C$67&lt;0,"-"," "))</f>
        <v>#N/A</v>
      </c>
      <c r="J21" s="540" t="e">
        <f>ABS('2 kg'!$C$67)</f>
        <v>#N/A</v>
      </c>
      <c r="K21" s="461" t="s">
        <v>119</v>
      </c>
      <c r="L21" s="461" t="e">
        <f>'2 kg'!$C$64</f>
        <v>#N/A</v>
      </c>
      <c r="M21" s="462" t="s">
        <v>119</v>
      </c>
      <c r="N21" s="463" t="e">
        <f>'2 kg'!$AG$129</f>
        <v>#N/A</v>
      </c>
      <c r="O21" s="463" t="str">
        <f>datos!E243&amp;" "&amp;datos!F243</f>
        <v>0 kg</v>
      </c>
      <c r="P21" s="463" t="e">
        <f>VLOOKUP(O21,'Salida de datos'!$C$63:$J$87,datos!F367+1,FALSE)</f>
        <v>#N/A</v>
      </c>
      <c r="Q21" s="540" t="e">
        <f t="shared" si="2"/>
        <v>#N/A</v>
      </c>
      <c r="R21" s="672" t="e">
        <f t="shared" si="3"/>
        <v>#N/A</v>
      </c>
      <c r="S21" s="673"/>
      <c r="T21" s="543" t="str">
        <f t="shared" si="4"/>
        <v>**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str">
        <f t="shared" si="10"/>
        <v>**</v>
      </c>
      <c r="Z21" s="546" t="str">
        <f t="shared" si="9"/>
        <v>**</v>
      </c>
    </row>
    <row r="22" spans="3:26" ht="14.4" customHeight="1" x14ac:dyDescent="0.3">
      <c r="C22" s="457">
        <f>datos!A251</f>
        <v>15</v>
      </c>
      <c r="D22" s="457">
        <f>datos!M253</f>
        <v>0</v>
      </c>
      <c r="E22" s="458">
        <f>datos!E260</f>
        <v>0</v>
      </c>
      <c r="F22" s="459" t="str">
        <f>datos!F260</f>
        <v>kg</v>
      </c>
      <c r="G22" s="460">
        <f t="shared" si="0"/>
        <v>0</v>
      </c>
      <c r="H22" s="459" t="str">
        <f t="shared" si="1"/>
        <v>kg</v>
      </c>
      <c r="I22" s="458" t="e">
        <f>IF('2 kg.'!$C$67&gt;0,"+",IF('2 kg.'!$C$67&lt;0,"-"," "))</f>
        <v>#N/A</v>
      </c>
      <c r="J22" s="540" t="e">
        <f>ABS('2 kg.'!$C$67)</f>
        <v>#N/A</v>
      </c>
      <c r="K22" s="461" t="s">
        <v>119</v>
      </c>
      <c r="L22" s="461" t="e">
        <f>'2 kg.'!$C$64</f>
        <v>#N/A</v>
      </c>
      <c r="M22" s="462" t="s">
        <v>119</v>
      </c>
      <c r="N22" s="463" t="e">
        <f>'2 kg.'!$AG$129</f>
        <v>#N/A</v>
      </c>
      <c r="O22" s="463" t="str">
        <f>datos!E260&amp;" "&amp;datos!F260</f>
        <v>0 kg</v>
      </c>
      <c r="P22" s="463" t="e">
        <f>VLOOKUP(O22,'Salida de datos'!$C$63:$J$87,datos!F368+1,FALSE)</f>
        <v>#N/A</v>
      </c>
      <c r="Q22" s="540" t="e">
        <f t="shared" si="2"/>
        <v>#N/A</v>
      </c>
      <c r="R22" s="672" t="e">
        <f t="shared" si="3"/>
        <v>#N/A</v>
      </c>
      <c r="S22" s="673"/>
      <c r="T22" s="543" t="str">
        <f t="shared" si="4"/>
        <v>**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str">
        <f t="shared" si="10"/>
        <v>**</v>
      </c>
      <c r="Z22" s="546" t="str">
        <f t="shared" si="9"/>
        <v>**</v>
      </c>
    </row>
    <row r="23" spans="3:26" ht="14.4" customHeight="1" x14ac:dyDescent="0.3">
      <c r="C23" s="457">
        <f>datos!A268</f>
        <v>16</v>
      </c>
      <c r="D23" s="457">
        <f>datos!M270</f>
        <v>0</v>
      </c>
      <c r="E23" s="458">
        <f>datos!E277</f>
        <v>0</v>
      </c>
      <c r="F23" s="459" t="str">
        <f>datos!F277</f>
        <v>kg</v>
      </c>
      <c r="G23" s="460">
        <f t="shared" si="0"/>
        <v>0</v>
      </c>
      <c r="H23" s="459" t="str">
        <f t="shared" si="1"/>
        <v>kg</v>
      </c>
      <c r="I23" s="458" t="e">
        <f>IF('5 kg'!$C$67&gt;0,"+",IF('5 kg'!$C$67&lt;0,"-"," "))</f>
        <v>#N/A</v>
      </c>
      <c r="J23" s="540" t="e">
        <f>ABS('5 kg'!$C$67)</f>
        <v>#N/A</v>
      </c>
      <c r="K23" s="461" t="s">
        <v>119</v>
      </c>
      <c r="L23" s="461" t="e">
        <f>'5 kg'!$C$64</f>
        <v>#N/A</v>
      </c>
      <c r="M23" s="462" t="s">
        <v>119</v>
      </c>
      <c r="N23" s="463" t="e">
        <f>'5 kg'!$AG$129</f>
        <v>#N/A</v>
      </c>
      <c r="O23" s="463" t="str">
        <f>datos!E277&amp;" "&amp;datos!F277</f>
        <v>0 kg</v>
      </c>
      <c r="P23" s="463" t="e">
        <f>VLOOKUP(O23,'Salida de datos'!$C$63:$J$87,datos!F369+1,FALSE)</f>
        <v>#N/A</v>
      </c>
      <c r="Q23" s="540" t="e">
        <f t="shared" si="2"/>
        <v>#N/A</v>
      </c>
      <c r="R23" s="672" t="e">
        <f t="shared" si="3"/>
        <v>#N/A</v>
      </c>
      <c r="S23" s="673"/>
      <c r="T23" s="543" t="str">
        <f t="shared" si="4"/>
        <v>**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str">
        <f t="shared" si="10"/>
        <v>**</v>
      </c>
      <c r="Z23" s="546" t="str">
        <f t="shared" si="9"/>
        <v>**</v>
      </c>
    </row>
    <row r="24" spans="3:26" ht="14.4" customHeight="1" x14ac:dyDescent="0.3">
      <c r="C24" s="457">
        <f>datos!A285</f>
        <v>17</v>
      </c>
      <c r="D24" s="457">
        <f>datos!M287</f>
        <v>0</v>
      </c>
      <c r="E24" s="458">
        <f>datos!E294</f>
        <v>0</v>
      </c>
      <c r="F24" s="459" t="str">
        <f>datos!F294</f>
        <v>g</v>
      </c>
      <c r="G24" s="460">
        <f t="shared" si="0"/>
        <v>0</v>
      </c>
      <c r="H24" s="459" t="str">
        <f t="shared" si="1"/>
        <v>g</v>
      </c>
      <c r="I24" s="458" t="e">
        <f>IF('10 kg'!$C$67&gt;0,"+",IF('10 kg'!$C$67&lt;0,"-"," "))</f>
        <v>#N/A</v>
      </c>
      <c r="J24" s="540" t="e">
        <f>ABS('10 kg'!$C$67)</f>
        <v>#N/A</v>
      </c>
      <c r="K24" s="461" t="s">
        <v>119</v>
      </c>
      <c r="L24" s="461" t="e">
        <f>'10 kg'!$C$64</f>
        <v>#N/A</v>
      </c>
      <c r="M24" s="462" t="s">
        <v>119</v>
      </c>
      <c r="N24" s="463" t="e">
        <f>'10 kg'!$AG$129</f>
        <v>#N/A</v>
      </c>
      <c r="O24" s="463" t="str">
        <f>datos!E294&amp;" "&amp;datos!F294</f>
        <v>0 g</v>
      </c>
      <c r="P24" s="463" t="e">
        <f>VLOOKUP(O24,'Salida de datos'!$C$63:$J$87,datos!F370+1,FALSE)</f>
        <v>#N/A</v>
      </c>
      <c r="Q24" s="540" t="e">
        <f t="shared" si="2"/>
        <v>#N/A</v>
      </c>
      <c r="R24" s="672" t="e">
        <f t="shared" si="3"/>
        <v>#N/A</v>
      </c>
      <c r="S24" s="673"/>
      <c r="T24" s="543" t="str">
        <f t="shared" si="4"/>
        <v>**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str">
        <f t="shared" si="10"/>
        <v>**</v>
      </c>
      <c r="Z24" s="546" t="str">
        <f t="shared" si="9"/>
        <v>**</v>
      </c>
    </row>
    <row r="25" spans="3:26" ht="14.4" customHeight="1" x14ac:dyDescent="0.3">
      <c r="C25" s="457">
        <f>datos!A302</f>
        <v>18</v>
      </c>
      <c r="D25" s="457">
        <f>datos!M304</f>
        <v>0</v>
      </c>
      <c r="E25" s="458">
        <f>datos!E311</f>
        <v>0</v>
      </c>
      <c r="F25" s="459" t="str">
        <f>datos!F311</f>
        <v>g</v>
      </c>
      <c r="G25" s="460">
        <f t="shared" si="0"/>
        <v>0</v>
      </c>
      <c r="H25" s="459" t="str">
        <f t="shared" si="1"/>
        <v>g</v>
      </c>
      <c r="I25" s="458" t="e">
        <f>IF('20 kg'!$C$67&gt;0,"+",IF('20 kg'!$C$67&lt;0,"-"," "))</f>
        <v>#N/A</v>
      </c>
      <c r="J25" s="540" t="e">
        <f>ABS('20 kg'!$C$67)</f>
        <v>#N/A</v>
      </c>
      <c r="K25" s="461" t="s">
        <v>119</v>
      </c>
      <c r="L25" s="461" t="e">
        <f>'20 kg'!$C$64</f>
        <v>#N/A</v>
      </c>
      <c r="M25" s="462" t="s">
        <v>119</v>
      </c>
      <c r="N25" s="463" t="e">
        <f>'20 kg'!$AG$129</f>
        <v>#N/A</v>
      </c>
      <c r="O25" s="463" t="str">
        <f>datos!E311&amp;" "&amp;datos!F311</f>
        <v>0 g</v>
      </c>
      <c r="P25" s="463" t="e">
        <f>VLOOKUP(O25,'Salida de datos'!$C$63:$J$87,datos!F371+1,FALSE)</f>
        <v>#N/A</v>
      </c>
      <c r="Q25" s="540" t="e">
        <f t="shared" si="2"/>
        <v>#N/A</v>
      </c>
      <c r="R25" s="672" t="e">
        <f t="shared" si="3"/>
        <v>#N/A</v>
      </c>
      <c r="S25" s="673"/>
      <c r="T25" s="543" t="str">
        <f t="shared" si="4"/>
        <v>**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str">
        <f t="shared" si="10"/>
        <v>**</v>
      </c>
      <c r="Z25" s="546" t="str">
        <f t="shared" si="9"/>
        <v>**</v>
      </c>
    </row>
    <row r="26" spans="3:26" ht="14.4" customHeight="1" x14ac:dyDescent="0.3">
      <c r="C26" s="457">
        <f>datos!A319</f>
        <v>19</v>
      </c>
      <c r="D26" s="457">
        <f>datos!M321</f>
        <v>0</v>
      </c>
      <c r="E26" s="458">
        <f>datos!E328</f>
        <v>0</v>
      </c>
      <c r="F26" s="459" t="str">
        <f>datos!F328</f>
        <v>kg</v>
      </c>
      <c r="G26" s="460">
        <f t="shared" si="0"/>
        <v>0</v>
      </c>
      <c r="H26" s="459" t="str">
        <f t="shared" si="1"/>
        <v>kg</v>
      </c>
      <c r="I26" s="458" t="e">
        <f>IF('20 kg.'!$C$67&gt;0,"+",IF('20 kg.'!$C$67&lt;0,"-"," "))</f>
        <v>#N/A</v>
      </c>
      <c r="J26" s="540" t="e">
        <f>ABS('20 kg.'!$C$67)</f>
        <v>#N/A</v>
      </c>
      <c r="K26" s="461" t="s">
        <v>119</v>
      </c>
      <c r="L26" s="461" t="e">
        <f>'20 kg.'!$C$64</f>
        <v>#N/A</v>
      </c>
      <c r="M26" s="462" t="s">
        <v>119</v>
      </c>
      <c r="N26" s="463" t="e">
        <f>'20 kg.'!$AG$129</f>
        <v>#N/A</v>
      </c>
      <c r="O26" s="463" t="str">
        <f>datos!E328&amp;" "&amp;datos!F328</f>
        <v>0 kg</v>
      </c>
      <c r="P26" s="463" t="e">
        <f>VLOOKUP(O26,'Salida de datos'!$C$63:$J$87,datos!F372+1,FALSE)</f>
        <v>#N/A</v>
      </c>
      <c r="Q26" s="540" t="e">
        <f t="shared" si="2"/>
        <v>#N/A</v>
      </c>
      <c r="R26" s="672" t="e">
        <f t="shared" si="3"/>
        <v>#N/A</v>
      </c>
      <c r="S26" s="673"/>
      <c r="T26" s="543" t="str">
        <f t="shared" si="4"/>
        <v>**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str">
        <f t="shared" si="10"/>
        <v>**</v>
      </c>
      <c r="Z26" s="546" t="str">
        <f t="shared" si="9"/>
        <v>**</v>
      </c>
    </row>
    <row r="27" spans="3:26" ht="14.4" customHeight="1" x14ac:dyDescent="0.3">
      <c r="C27" s="457">
        <f>datos!A336</f>
        <v>20</v>
      </c>
      <c r="D27" s="457">
        <f>datos!M338</f>
        <v>0</v>
      </c>
      <c r="E27" s="458">
        <f>datos!E345</f>
        <v>0</v>
      </c>
      <c r="F27" s="459" t="str">
        <f>datos!F345</f>
        <v>kg</v>
      </c>
      <c r="G27" s="460">
        <f t="shared" si="0"/>
        <v>0</v>
      </c>
      <c r="H27" s="459" t="str">
        <f t="shared" si="1"/>
        <v>kg</v>
      </c>
      <c r="I27" s="458" t="e">
        <f>IF('50 kg'!$C$67&gt;0,"+",IF('50 kg'!$C$67&lt;0,"-"," "))</f>
        <v>#N/A</v>
      </c>
      <c r="J27" s="540" t="e">
        <f>ABS('50 kg'!$C$67)</f>
        <v>#N/A</v>
      </c>
      <c r="K27" s="461" t="s">
        <v>119</v>
      </c>
      <c r="L27" s="461" t="e">
        <f>'50 kg'!$C$64</f>
        <v>#N/A</v>
      </c>
      <c r="M27" s="462" t="s">
        <v>119</v>
      </c>
      <c r="N27" s="463" t="e">
        <f>'50 kg'!$AG$129</f>
        <v>#N/A</v>
      </c>
      <c r="O27" s="463" t="str">
        <f>datos!E345&amp;" "&amp;datos!F345</f>
        <v>0 kg</v>
      </c>
      <c r="P27" s="463" t="e">
        <f>VLOOKUP(O27,'Salida de datos'!$C$63:$J$87,datos!G364+1,FALSE)</f>
        <v>#N/A</v>
      </c>
      <c r="Q27" s="540" t="e">
        <f t="shared" si="2"/>
        <v>#N/A</v>
      </c>
      <c r="R27" s="672" t="e">
        <f t="shared" si="3"/>
        <v>#N/A</v>
      </c>
      <c r="S27" s="673"/>
      <c r="T27" s="543" t="str">
        <f t="shared" si="4"/>
        <v>**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str">
        <f t="shared" si="10"/>
        <v>**</v>
      </c>
      <c r="Z27" s="546" t="str">
        <f t="shared" si="9"/>
        <v>**</v>
      </c>
    </row>
    <row r="28" spans="3:26" ht="14.4" customHeight="1" x14ac:dyDescent="0.3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662"/>
      <c r="S28" s="663"/>
      <c r="T28" s="543"/>
      <c r="U28" s="543"/>
      <c r="V28" s="543"/>
      <c r="W28" s="543"/>
      <c r="X28" s="543"/>
      <c r="Y28" s="544"/>
      <c r="Z28" s="545"/>
    </row>
    <row r="29" spans="3:26" ht="14.4" customHeight="1" x14ac:dyDescent="0.3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662"/>
      <c r="S29" s="663"/>
      <c r="T29" s="543"/>
      <c r="U29" s="543"/>
      <c r="V29" s="543"/>
      <c r="W29" s="543"/>
      <c r="X29" s="543"/>
      <c r="Y29" s="544"/>
      <c r="Z29" s="539"/>
    </row>
    <row r="30" spans="3:26" ht="14.4" customHeight="1" x14ac:dyDescent="0.3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662"/>
      <c r="S30" s="663"/>
      <c r="T30" s="543"/>
      <c r="U30" s="543"/>
      <c r="V30" s="543"/>
      <c r="W30" s="543"/>
      <c r="X30" s="543"/>
      <c r="Y30" s="544"/>
      <c r="Z30" s="539"/>
    </row>
    <row r="31" spans="3:26" ht="14.4" customHeight="1" x14ac:dyDescent="0.3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662"/>
      <c r="S31" s="663"/>
      <c r="T31" s="543"/>
      <c r="U31" s="543"/>
      <c r="V31" s="543"/>
      <c r="W31" s="543"/>
      <c r="X31" s="543"/>
      <c r="Y31" s="544"/>
      <c r="Z31" s="539"/>
    </row>
    <row r="32" spans="3:26" ht="14.4" customHeight="1" x14ac:dyDescent="0.3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662"/>
      <c r="S32" s="663"/>
      <c r="T32" s="543"/>
      <c r="U32" s="543"/>
      <c r="V32" s="543"/>
      <c r="W32" s="543"/>
      <c r="X32" s="543"/>
      <c r="Y32" s="544"/>
      <c r="Z32" s="539"/>
    </row>
    <row r="33" spans="3:26" x14ac:dyDescent="0.3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662"/>
      <c r="S33" s="663"/>
      <c r="T33" s="543"/>
      <c r="U33" s="543"/>
      <c r="V33" s="543"/>
      <c r="W33" s="543"/>
      <c r="X33" s="543"/>
      <c r="Y33" s="544"/>
      <c r="Z33" s="539"/>
    </row>
    <row r="34" spans="3:26" x14ac:dyDescent="0.3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662"/>
      <c r="S34" s="663"/>
      <c r="T34" s="543"/>
      <c r="U34" s="543"/>
      <c r="V34" s="543"/>
      <c r="W34" s="543"/>
      <c r="X34" s="543"/>
      <c r="Y34" s="544"/>
      <c r="Z34" s="539"/>
    </row>
    <row r="35" spans="3:26" x14ac:dyDescent="0.3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662"/>
      <c r="S35" s="663"/>
      <c r="T35" s="543"/>
      <c r="U35" s="543"/>
      <c r="V35" s="543"/>
      <c r="W35" s="543"/>
      <c r="X35" s="543"/>
      <c r="Y35" s="544"/>
      <c r="Z35" s="539"/>
    </row>
    <row r="36" spans="3:26" x14ac:dyDescent="0.3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662"/>
      <c r="S36" s="663"/>
      <c r="T36" s="543"/>
      <c r="U36" s="543"/>
      <c r="V36" s="543"/>
      <c r="W36" s="543"/>
      <c r="X36" s="543"/>
      <c r="Y36" s="544"/>
      <c r="Z36" s="539"/>
    </row>
    <row r="37" spans="3:26" x14ac:dyDescent="0.3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662"/>
      <c r="S37" s="663"/>
      <c r="T37" s="543"/>
      <c r="U37" s="543"/>
      <c r="V37" s="543"/>
      <c r="W37" s="543"/>
      <c r="X37" s="543"/>
      <c r="Y37" s="544"/>
      <c r="Z37" s="539"/>
    </row>
    <row r="38" spans="3:26" x14ac:dyDescent="0.3">
      <c r="C38" s="60"/>
      <c r="D38" s="60"/>
      <c r="E38" s="60"/>
      <c r="F38" s="60"/>
      <c r="G38" s="60"/>
      <c r="H38" s="60"/>
      <c r="I38" s="60"/>
      <c r="J38" s="60"/>
    </row>
    <row r="39" spans="3:26" x14ac:dyDescent="0.3">
      <c r="C39" s="60"/>
      <c r="D39" s="60"/>
      <c r="E39" s="60"/>
      <c r="F39" s="60"/>
      <c r="G39" s="60"/>
      <c r="H39" s="60"/>
      <c r="I39" s="60"/>
      <c r="J39" s="60"/>
    </row>
    <row r="47" spans="3:26" x14ac:dyDescent="0.3">
      <c r="D47" s="541">
        <v>2</v>
      </c>
    </row>
    <row r="48" spans="3:26" x14ac:dyDescent="0.3">
      <c r="D48" s="541">
        <v>20</v>
      </c>
    </row>
    <row r="49" spans="3:10" x14ac:dyDescent="0.3">
      <c r="D49" s="541">
        <v>1000</v>
      </c>
    </row>
    <row r="50" spans="3:10" x14ac:dyDescent="0.3">
      <c r="D50" s="541">
        <v>2000</v>
      </c>
    </row>
    <row r="51" spans="3:10" x14ac:dyDescent="0.3">
      <c r="D51" s="541">
        <v>5000</v>
      </c>
    </row>
    <row r="61" spans="3:10" ht="15" x14ac:dyDescent="0.3">
      <c r="C61" s="615" t="s">
        <v>18</v>
      </c>
      <c r="D61" s="616"/>
      <c r="E61" s="616"/>
      <c r="F61" s="616"/>
      <c r="G61" s="616"/>
      <c r="H61" s="616"/>
      <c r="I61" s="616"/>
      <c r="J61" s="617"/>
    </row>
    <row r="62" spans="3:10" x14ac:dyDescent="0.3">
      <c r="C62" s="9" t="s">
        <v>19</v>
      </c>
      <c r="D62" s="615" t="s">
        <v>20</v>
      </c>
      <c r="E62" s="616"/>
      <c r="F62" s="616"/>
      <c r="G62" s="616"/>
      <c r="H62" s="616"/>
      <c r="I62" s="616"/>
      <c r="J62" s="617"/>
    </row>
    <row r="63" spans="3:10" x14ac:dyDescent="0.3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3">
      <c r="C64" s="2" t="s">
        <v>755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756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757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758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759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760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761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762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763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764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765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766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767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768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769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770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771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772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773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774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775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776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777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778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56">
        <f>IF(H8="g",E8,IF(H8="mg",G8/1000,IF(H8="kg",G8*1000)))</f>
        <v>0</v>
      </c>
    </row>
    <row r="94" spans="3:10" x14ac:dyDescent="0.3">
      <c r="C94" s="456">
        <f t="shared" ref="C94:C112" si="11">IF(H9="g",E9,IF(H9="mg",G9/1000,IF(H9="kg",G9*1000)))</f>
        <v>0</v>
      </c>
    </row>
    <row r="95" spans="3:10" x14ac:dyDescent="0.3">
      <c r="C95" s="456">
        <f t="shared" si="11"/>
        <v>0</v>
      </c>
    </row>
    <row r="96" spans="3:10" x14ac:dyDescent="0.3">
      <c r="C96" s="456">
        <f t="shared" si="11"/>
        <v>0</v>
      </c>
    </row>
    <row r="97" spans="3:3" x14ac:dyDescent="0.3">
      <c r="C97" s="456">
        <f t="shared" si="11"/>
        <v>0</v>
      </c>
    </row>
    <row r="98" spans="3:3" x14ac:dyDescent="0.3">
      <c r="C98" s="456">
        <f t="shared" si="11"/>
        <v>0</v>
      </c>
    </row>
    <row r="99" spans="3:3" x14ac:dyDescent="0.3">
      <c r="C99" s="456">
        <f t="shared" si="11"/>
        <v>0</v>
      </c>
    </row>
    <row r="100" spans="3:3" x14ac:dyDescent="0.3">
      <c r="C100" s="456">
        <f t="shared" si="11"/>
        <v>0</v>
      </c>
    </row>
    <row r="101" spans="3:3" x14ac:dyDescent="0.3">
      <c r="C101" s="456">
        <f t="shared" si="11"/>
        <v>0</v>
      </c>
    </row>
    <row r="102" spans="3:3" x14ac:dyDescent="0.3">
      <c r="C102" s="456">
        <f t="shared" si="11"/>
        <v>0</v>
      </c>
    </row>
    <row r="103" spans="3:3" x14ac:dyDescent="0.3">
      <c r="C103" s="456">
        <f t="shared" si="11"/>
        <v>0</v>
      </c>
    </row>
    <row r="104" spans="3:3" x14ac:dyDescent="0.3">
      <c r="C104" s="456">
        <f t="shared" si="11"/>
        <v>0</v>
      </c>
    </row>
    <row r="105" spans="3:3" x14ac:dyDescent="0.3">
      <c r="C105" s="456">
        <f t="shared" si="11"/>
        <v>0</v>
      </c>
    </row>
    <row r="106" spans="3:3" x14ac:dyDescent="0.3">
      <c r="C106" s="456">
        <f t="shared" si="11"/>
        <v>0</v>
      </c>
    </row>
    <row r="107" spans="3:3" x14ac:dyDescent="0.3">
      <c r="C107" s="456">
        <f t="shared" si="11"/>
        <v>0</v>
      </c>
    </row>
    <row r="108" spans="3:3" x14ac:dyDescent="0.3">
      <c r="C108" s="456">
        <f t="shared" si="11"/>
        <v>0</v>
      </c>
    </row>
    <row r="109" spans="3:3" x14ac:dyDescent="0.3">
      <c r="C109" s="456">
        <f t="shared" si="11"/>
        <v>0</v>
      </c>
    </row>
    <row r="110" spans="3:3" x14ac:dyDescent="0.3">
      <c r="C110" s="456">
        <f t="shared" si="11"/>
        <v>0</v>
      </c>
    </row>
    <row r="111" spans="3:3" x14ac:dyDescent="0.3">
      <c r="C111" s="456">
        <f t="shared" si="11"/>
        <v>0</v>
      </c>
    </row>
    <row r="112" spans="3:3" x14ac:dyDescent="0.3">
      <c r="C112" s="456">
        <f t="shared" si="11"/>
        <v>0</v>
      </c>
    </row>
  </sheetData>
  <mergeCells count="45">
    <mergeCell ref="C5:N5"/>
    <mergeCell ref="C6:C7"/>
    <mergeCell ref="D6:D7"/>
    <mergeCell ref="E6:F7"/>
    <mergeCell ref="G6:K7"/>
    <mergeCell ref="N6:N7"/>
    <mergeCell ref="D62:J62"/>
    <mergeCell ref="O6:O7"/>
    <mergeCell ref="P6:P7"/>
    <mergeCell ref="Q6:Q7"/>
    <mergeCell ref="L6:M7"/>
    <mergeCell ref="C61:J61"/>
    <mergeCell ref="R11:S11"/>
    <mergeCell ref="R12:S12"/>
    <mergeCell ref="R13:S13"/>
    <mergeCell ref="R14:S14"/>
    <mergeCell ref="R15:S15"/>
    <mergeCell ref="R25:S25"/>
    <mergeCell ref="R16:S16"/>
    <mergeCell ref="R17:S17"/>
    <mergeCell ref="R18:S18"/>
    <mergeCell ref="R19:S19"/>
    <mergeCell ref="R20:S20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37:S37"/>
    <mergeCell ref="R31:S31"/>
    <mergeCell ref="R32:S32"/>
    <mergeCell ref="R33:S33"/>
    <mergeCell ref="R34:S34"/>
    <mergeCell ref="R35:S35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abSelected="1" topLeftCell="A11" zoomScale="70" zoomScaleNormal="70" workbookViewId="0">
      <selection activeCell="I26" sqref="I26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31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54.10937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datos!G22</f>
        <v>Hierro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 t="s">
        <v>25</v>
      </c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5">
      <c r="B5" s="11" t="s">
        <v>116</v>
      </c>
      <c r="C5" s="791">
        <v>45233</v>
      </c>
      <c r="D5" s="792"/>
      <c r="E5" s="793"/>
      <c r="G5" s="176">
        <v>16</v>
      </c>
      <c r="H5" s="140" t="s">
        <v>151</v>
      </c>
      <c r="I5" s="569" t="str">
        <f>datos!C14</f>
        <v>N/A</v>
      </c>
      <c r="J5" s="569" t="str">
        <f>datos!C15</f>
        <v>N/A</v>
      </c>
      <c r="K5" s="569" t="str">
        <f>datos!C16</f>
        <v>N/A</v>
      </c>
      <c r="L5" s="569" t="str">
        <f>datos!C17</f>
        <v>N/A</v>
      </c>
      <c r="M5" s="569" t="str">
        <f>datos!C18</f>
        <v>N/A</v>
      </c>
      <c r="N5" s="569" t="str">
        <f>datos!C19</f>
        <v>N/A</v>
      </c>
      <c r="O5" s="569" t="str">
        <f>datos!C20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482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 t="s">
        <v>479</v>
      </c>
      <c r="D6" s="772"/>
      <c r="E6" s="773"/>
      <c r="G6" s="141"/>
      <c r="H6" s="180"/>
      <c r="I6" s="569" t="str">
        <f>datos!C14</f>
        <v>N/A</v>
      </c>
      <c r="J6" s="569" t="str">
        <f>datos!C15</f>
        <v>N/A</v>
      </c>
      <c r="K6" s="569" t="str">
        <f>datos!C16</f>
        <v>N/A</v>
      </c>
      <c r="L6" s="569" t="str">
        <f>datos!C17</f>
        <v>N/A</v>
      </c>
      <c r="M6" s="569" t="str">
        <f>datos!C18</f>
        <v>N/A</v>
      </c>
      <c r="N6" s="569" t="str">
        <f>datos!C19</f>
        <v>N/A</v>
      </c>
      <c r="O6" s="569" t="str">
        <f>datos!C20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</f>
        <v>0</v>
      </c>
      <c r="D7" s="118" t="str">
        <f>datos!F22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566">
        <f>IF(I6="N/A",0,VLOOKUP(I6,$I$93:$Z$396,4,FALSE))*1000</f>
        <v>0</v>
      </c>
      <c r="J7" s="566">
        <f t="shared" ref="J7:O7" si="0">IF(J6="N/A",0,VLOOKUP(J6,$I$93:$Z$396,4,FALSE))*1000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7800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IF(I6="N/A",0,VLOOKUP(I6,$I$93:$Z$396,5,FALSE))</f>
        <v>0</v>
      </c>
      <c r="J8" s="567">
        <f t="shared" ref="J8:O8" si="1">IF(J6="N/A",0,VLOOKUP(J6,$I$93:$Z$396,5,FALSE))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192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567">
        <f>IF(I6="N/A",0,VLOOKUP(I6,$I$93:$Z$396,7,FALSE))</f>
        <v>0</v>
      </c>
      <c r="J9" s="567">
        <f t="shared" ref="J9:O9" si="2">IF(J6="N/A",0,VLOOKUP(J6,$I$93:$Z$396,7,FALSE))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566">
        <f>IF(I6="N/A",0,VLOOKUP(I6,$I$93:$Z$396,15,FALSE))</f>
        <v>0</v>
      </c>
      <c r="J10" s="566">
        <f t="shared" ref="J10:O10" si="3">IF(J6="N/A",0,VLOOKUP(J6,$I$93:$Z$396,15,FALSE))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483</v>
      </c>
      <c r="BU10" s="289"/>
    </row>
    <row r="11" spans="2:73" ht="14.4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IF(I6="N/A",0,VLOOKUP(I6,$I$93:$Z$396,16,FALSE))</f>
        <v>0</v>
      </c>
      <c r="J11" s="566">
        <f t="shared" ref="J11:O11" si="4">IF(J6="N/A",0,VLOOKUP(J6,$I$93:$Z$396,16,FALSE))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484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568">
        <f>IF(I6="N/A",0,VLOOKUP(I6,$I$93:$Z$396,9,FALSE))</f>
        <v>0</v>
      </c>
      <c r="J12" s="568">
        <f t="shared" ref="J12:O12" si="5">IF(J6="N/A",0,VLOOKUP(J6,$I$93:$Z$396,9,FALSE))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568">
        <f>IF(I6="N/A",0,VLOOKUP(I6,$I$93:$Z$396,17,FALSE))</f>
        <v>0</v>
      </c>
      <c r="J13" s="568">
        <f t="shared" ref="J13:O13" si="6">IF(J6="N/A",0,VLOOKUP(J6,$I$93:$Z$396,17,FALSE))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568">
        <f>IF(I6="N/A",0,VLOOKUP(I6,$I$93:$Z$396,18,FALSE))</f>
        <v>0</v>
      </c>
      <c r="J14" s="568">
        <f t="shared" ref="J14:O14" si="7">IF(J6="N/A",0,VLOOKUP(J6,$I$93:$Z$396,18,FALSE))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6" thickTop="1" x14ac:dyDescent="0.25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568">
        <f>IF(I6="N/A",0,VLOOKUP(I6,$I$93:$Z$396,3,FALSE))</f>
        <v>0</v>
      </c>
      <c r="J15" s="568">
        <f t="shared" ref="J15:O15" si="8">IF(J6="N/A",0,VLOOKUP(J6,$I$93:$Z$396,3,FALSE))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 t="e">
        <f>AC8</f>
        <v>#N/A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5">
      <c r="B16" s="10" t="s">
        <v>124</v>
      </c>
      <c r="C16" s="788" t="str">
        <f>datos!H22</f>
        <v>NI-MCBAL-02</v>
      </c>
      <c r="D16" s="789"/>
      <c r="E16" s="790"/>
      <c r="G16" s="144">
        <v>16</v>
      </c>
      <c r="H16" s="148" t="s">
        <v>36</v>
      </c>
      <c r="I16" s="568">
        <f>IF(I6="N/A",0,VLOOKUP(I6,$I$93:$Z$396,14,FALSE))</f>
        <v>0</v>
      </c>
      <c r="J16" s="568">
        <f t="shared" ref="J16:O16" si="9">IF(J6="N/A",0,VLOOKUP(J6,$I$93:$Z$396,14,FALSE))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 t="e">
        <f>Y15^2</f>
        <v>#N/A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491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492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493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480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" x14ac:dyDescent="0.25">
      <c r="B20" s="16" t="s">
        <v>481</v>
      </c>
      <c r="C20" s="128">
        <v>0</v>
      </c>
      <c r="D20" s="131"/>
      <c r="E20" s="132"/>
      <c r="W20" s="289"/>
      <c r="X20" s="366" t="s">
        <v>494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495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496</v>
      </c>
      <c r="Y21" s="369">
        <v>1.58123E-6</v>
      </c>
      <c r="Z21" s="368" t="s">
        <v>497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25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498</v>
      </c>
      <c r="N22" s="164" t="s">
        <v>299</v>
      </c>
      <c r="P22" s="779" t="s">
        <v>300</v>
      </c>
      <c r="Q22" s="780"/>
      <c r="R22" s="260" t="str">
        <f>(VLOOKUP(R23,$I$93:$Z$396,4,FALSE))</f>
        <v>N/A</v>
      </c>
      <c r="W22" s="289"/>
      <c r="X22" s="366" t="s">
        <v>499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" x14ac:dyDescent="0.25">
      <c r="B23" s="10" t="s">
        <v>125</v>
      </c>
      <c r="C23" s="760" t="str">
        <f>datos!I22</f>
        <v>NI-MCPPT-06</v>
      </c>
      <c r="D23" s="761"/>
      <c r="E23" s="762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 t="str">
        <f>datos!D21</f>
        <v>N/A</v>
      </c>
      <c r="W23" s="289"/>
      <c r="X23" s="366" t="s">
        <v>500</v>
      </c>
      <c r="Y23" s="370">
        <v>1.1043E-10</v>
      </c>
      <c r="Z23" s="368" t="s">
        <v>501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141</v>
      </c>
      <c r="C24" s="120">
        <f>VLOOKUP(I332,I336:U343,4,FALSE)</f>
        <v>0.1</v>
      </c>
      <c r="D24" s="127"/>
      <c r="E24" s="123"/>
      <c r="I24" s="162" t="str">
        <f>datos!C24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 t="e">
        <f>(VLOOKUP(R23,$I$93:$Z$396,4,FALSE))*1000</f>
        <v>#VALUE!</v>
      </c>
      <c r="W24" s="289"/>
      <c r="X24" s="366" t="s">
        <v>502</v>
      </c>
      <c r="Y24" s="371">
        <v>5.7069999999999997E-6</v>
      </c>
      <c r="Z24" s="368" t="s">
        <v>497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25">
      <c r="B25" s="11" t="s">
        <v>142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datos!C25</f>
        <v>0</v>
      </c>
      <c r="J25" s="78">
        <f>datos!D25</f>
        <v>0</v>
      </c>
      <c r="K25" s="78">
        <f>datos!E25</f>
        <v>0</v>
      </c>
      <c r="L25" s="78">
        <f>datos!F25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#VALUE!</v>
      </c>
      <c r="P25" s="253">
        <v>5</v>
      </c>
      <c r="Q25" s="254" t="s">
        <v>168</v>
      </c>
      <c r="R25" s="263" t="str">
        <f>(VLOOKUP(R23,$I$93:$Z$396,5,FALSE))</f>
        <v>N/A</v>
      </c>
      <c r="W25" s="289"/>
      <c r="X25" s="366" t="s">
        <v>503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504</v>
      </c>
      <c r="BU25" s="408"/>
    </row>
    <row r="26" spans="2:73" ht="14.4" customHeight="1" thickBot="1" x14ac:dyDescent="0.3">
      <c r="B26" s="11" t="s">
        <v>143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 t="e">
        <f>AVERAGE(C25:C26)</f>
        <v>#N/A</v>
      </c>
      <c r="I26" s="78">
        <f>datos!C26</f>
        <v>0</v>
      </c>
      <c r="J26" s="78">
        <f>datos!D26</f>
        <v>0</v>
      </c>
      <c r="K26" s="78">
        <f>datos!E26</f>
        <v>0</v>
      </c>
      <c r="L26" s="78">
        <f>datos!F26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#VALUE!</v>
      </c>
      <c r="P26" s="253">
        <v>6</v>
      </c>
      <c r="Q26" s="255" t="s">
        <v>134</v>
      </c>
      <c r="R26" s="574" t="str">
        <f>(VLOOKUP(R23,$I$93:$Z$396,7,FALSE))</f>
        <v>N/A</v>
      </c>
      <c r="W26" s="289"/>
      <c r="X26" s="366" t="s">
        <v>505</v>
      </c>
      <c r="Y26" s="370">
        <v>1.9898E-4</v>
      </c>
      <c r="Z26" s="368" t="s">
        <v>497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4.4" thickTop="1" x14ac:dyDescent="0.25">
      <c r="B27" s="757" t="s">
        <v>189</v>
      </c>
      <c r="C27" s="758"/>
      <c r="D27" s="758"/>
      <c r="E27" s="759"/>
      <c r="I27" s="78">
        <f>datos!C27</f>
        <v>0</v>
      </c>
      <c r="J27" s="78">
        <f>datos!D27</f>
        <v>0</v>
      </c>
      <c r="K27" s="78">
        <f>datos!E27</f>
        <v>0</v>
      </c>
      <c r="L27" s="78">
        <f>datos!F27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#VALUE!</v>
      </c>
      <c r="P27" s="253">
        <v>8</v>
      </c>
      <c r="Q27" s="254" t="s">
        <v>135</v>
      </c>
      <c r="R27" s="262" t="str">
        <f>(VLOOKUP(R23,$I$93:$Z$396,15,FALSE))</f>
        <v>N/A</v>
      </c>
      <c r="W27" s="289"/>
      <c r="X27" s="366" t="s">
        <v>506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25">
      <c r="B28" s="10" t="s">
        <v>126</v>
      </c>
      <c r="C28" s="760" t="str">
        <f>datos!I22</f>
        <v>NI-MCPPT-06</v>
      </c>
      <c r="D28" s="761"/>
      <c r="E28" s="762"/>
      <c r="I28" s="78">
        <f>datos!C28</f>
        <v>0</v>
      </c>
      <c r="J28" s="78">
        <f>datos!D28</f>
        <v>0</v>
      </c>
      <c r="K28" s="78">
        <f>datos!E28</f>
        <v>0</v>
      </c>
      <c r="L28" s="78">
        <f>datos!F28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#VALUE!</v>
      </c>
      <c r="P28" s="253">
        <v>9</v>
      </c>
      <c r="Q28" s="255" t="s">
        <v>156</v>
      </c>
      <c r="R28" s="262" t="str">
        <f>(VLOOKUP(R23,$I$93:$Z$396,16,FALSE))</f>
        <v>N/A</v>
      </c>
      <c r="W28" s="289"/>
      <c r="X28" s="366" t="s">
        <v>258</v>
      </c>
      <c r="Y28" s="372">
        <v>1.8300000000000001E-11</v>
      </c>
      <c r="Z28" s="368" t="s">
        <v>507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144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469</v>
      </c>
      <c r="N29" s="171" t="e">
        <f>STDEV(N25:N28)</f>
        <v>#VALUE!</v>
      </c>
      <c r="P29" s="256">
        <v>11</v>
      </c>
      <c r="Q29" s="257" t="s">
        <v>153</v>
      </c>
      <c r="R29" s="574" t="str">
        <f>(VLOOKUP(R23,$I$93:$Z$396,9,FALSE))</f>
        <v>N/A</v>
      </c>
      <c r="W29" s="289"/>
      <c r="X29" s="373" t="s">
        <v>260</v>
      </c>
      <c r="Y29" s="374">
        <v>-7.5599999999999995E-9</v>
      </c>
      <c r="Z29" s="368" t="s">
        <v>508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145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 t="e">
        <f>N29/SQRT(COUNT(N25:N28))</f>
        <v>#VALUE!</v>
      </c>
      <c r="P30" s="256">
        <v>13</v>
      </c>
      <c r="Q30" s="257" t="s">
        <v>154</v>
      </c>
      <c r="R30" s="572" t="str">
        <f>(VLOOKUP(R23,$I$93:$Z$396,17,FALSE))</f>
        <v>N/A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146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 t="e">
        <f>AVERAGE(C30:C31)</f>
        <v>#N/A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573" t="str">
        <f>(VLOOKUP(R23,$I$93:$Z$396,18,FALSE))</f>
        <v>N/A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datos!I22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509</v>
      </c>
      <c r="BU33" s="131"/>
    </row>
    <row r="34" spans="2:73" ht="16.2" thickTop="1" thickBot="1" x14ac:dyDescent="0.3">
      <c r="B34" s="10" t="s">
        <v>147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148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510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149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 t="e">
        <f>AVERAGE(C35:C36)</f>
        <v>#N/A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511</v>
      </c>
      <c r="S37" s="359" t="s">
        <v>511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541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512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2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513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514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2" thickBot="1" x14ac:dyDescent="0.3">
      <c r="P41" s="362" t="s">
        <v>203</v>
      </c>
      <c r="Q41" s="362" t="s">
        <v>515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2" thickBot="1" x14ac:dyDescent="0.3">
      <c r="P42" s="362" t="s">
        <v>205</v>
      </c>
      <c r="Q42" s="362" t="s">
        <v>516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2" thickBot="1" x14ac:dyDescent="0.3">
      <c r="L43" s="290" t="s">
        <v>517</v>
      </c>
      <c r="P43" s="362" t="s">
        <v>207</v>
      </c>
      <c r="Q43" s="362" t="s">
        <v>518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8.4" thickBot="1" x14ac:dyDescent="0.3">
      <c r="L44" s="290"/>
      <c r="P44" s="362" t="s">
        <v>209</v>
      </c>
      <c r="Q44" s="362" t="s">
        <v>519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2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520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521</v>
      </c>
      <c r="R46" s="365">
        <v>2700</v>
      </c>
      <c r="S46" s="365">
        <v>130</v>
      </c>
      <c r="T46" s="364" t="s">
        <v>213</v>
      </c>
      <c r="W46" s="289"/>
      <c r="X46" s="191" t="s">
        <v>522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523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(1/(1-(C52-1.2)/C54))</f>
        <v>#N/A</v>
      </c>
      <c r="G48" s="707" t="s">
        <v>345</v>
      </c>
      <c r="H48" s="708"/>
      <c r="I48" s="316">
        <f>M32/SQRT(COUNT(M25:M28))</f>
        <v>0</v>
      </c>
      <c r="J48" s="317" t="e">
        <f>+F48*I48</f>
        <v>#N/A</v>
      </c>
      <c r="K48" s="709" t="e">
        <f>(100*(J48^2)/($C$63^2))</f>
        <v>#N/A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524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#VALUE!</v>
      </c>
      <c r="D50" s="736" t="s">
        <v>340</v>
      </c>
      <c r="E50" s="736"/>
      <c r="F50" s="322" t="e">
        <f>(1/(1-(C52-1.2)/C54))</f>
        <v>#N/A</v>
      </c>
      <c r="G50" s="737" t="s">
        <v>347</v>
      </c>
      <c r="H50" s="738"/>
      <c r="I50" s="323" t="e">
        <f>N30</f>
        <v>#VALUE!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525</v>
      </c>
      <c r="C54" s="334">
        <f>C8</f>
        <v>7800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526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6.2" x14ac:dyDescent="0.35">
      <c r="B67" s="276" t="s">
        <v>527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528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535</v>
      </c>
      <c r="AG94" s="686"/>
      <c r="AH94" s="686"/>
      <c r="AI94" s="686"/>
      <c r="AJ94" s="686"/>
      <c r="AK94" s="686"/>
      <c r="AL94" s="686"/>
      <c r="AM94" s="686"/>
      <c r="AQ94" s="686" t="s">
        <v>535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536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536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>($AF$90-(AG97-$C$64))</f>
        <v>#N/A</v>
      </c>
      <c r="AH124" s="217" t="e">
        <f t="shared" ref="AH124:AL124" si="17">($AF$90-(AH97-$C$64))</f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4.4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4.4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4.4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4.4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4.4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4.4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4.4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4.4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4.4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4.4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4.4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4.4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4.4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4.4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4.4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4.4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4.4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4.4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4.4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4.4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4.4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x14ac:dyDescent="0.25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5">
      <c r="AH249" s="174">
        <f t="shared" si="21"/>
        <v>0</v>
      </c>
    </row>
    <row r="250" spans="8:34" x14ac:dyDescent="0.25">
      <c r="AH250" s="174">
        <f t="shared" si="21"/>
        <v>0</v>
      </c>
    </row>
    <row r="251" spans="8:34" x14ac:dyDescent="0.25">
      <c r="AH251" s="174">
        <f t="shared" si="21"/>
        <v>0</v>
      </c>
    </row>
    <row r="252" spans="8:34" x14ac:dyDescent="0.25">
      <c r="AH252" s="174">
        <f t="shared" si="21"/>
        <v>0</v>
      </c>
    </row>
    <row r="253" spans="8:34" x14ac:dyDescent="0.25">
      <c r="AH253" s="174">
        <f t="shared" si="21"/>
        <v>0</v>
      </c>
    </row>
    <row r="254" spans="8:34" x14ac:dyDescent="0.25">
      <c r="AH254" s="174">
        <f t="shared" si="21"/>
        <v>0</v>
      </c>
    </row>
    <row r="255" spans="8:34" x14ac:dyDescent="0.25">
      <c r="AH255" s="174">
        <f t="shared" si="21"/>
        <v>0</v>
      </c>
    </row>
    <row r="256" spans="8:34" x14ac:dyDescent="0.25">
      <c r="AH256" s="174">
        <f t="shared" si="21"/>
        <v>0</v>
      </c>
    </row>
    <row r="257" spans="16:34" x14ac:dyDescent="0.25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5">
      <c r="P258" s="174">
        <v>8.8000000000000005E-3</v>
      </c>
      <c r="Q258" s="174">
        <f t="shared" ref="Q258:Q299" si="22">P258/2</f>
        <v>4.4000000000000003E-3</v>
      </c>
    </row>
    <row r="259" spans="16:34" x14ac:dyDescent="0.25">
      <c r="P259" s="174">
        <v>1.2E-2</v>
      </c>
      <c r="Q259" s="174">
        <f t="shared" si="22"/>
        <v>6.0000000000000001E-3</v>
      </c>
    </row>
    <row r="260" spans="16:34" x14ac:dyDescent="0.25">
      <c r="P260" s="174">
        <v>1.4E-2</v>
      </c>
      <c r="Q260" s="174">
        <f t="shared" si="22"/>
        <v>7.0000000000000001E-3</v>
      </c>
    </row>
    <row r="261" spans="16:34" x14ac:dyDescent="0.25">
      <c r="P261" s="174">
        <v>1.7000000000000001E-2</v>
      </c>
      <c r="Q261" s="174">
        <f t="shared" si="22"/>
        <v>8.5000000000000006E-3</v>
      </c>
    </row>
    <row r="262" spans="16:34" x14ac:dyDescent="0.25">
      <c r="P262" s="174">
        <v>3.3000000000000002E-2</v>
      </c>
      <c r="Q262" s="174">
        <f t="shared" si="22"/>
        <v>1.6500000000000001E-2</v>
      </c>
    </row>
    <row r="263" spans="16:34" x14ac:dyDescent="0.25">
      <c r="P263" s="174">
        <v>8.3000000000000004E-2</v>
      </c>
      <c r="Q263" s="174">
        <f t="shared" si="22"/>
        <v>4.1500000000000002E-2</v>
      </c>
    </row>
    <row r="264" spans="16:34" x14ac:dyDescent="0.25">
      <c r="P264" s="174">
        <v>0.04</v>
      </c>
      <c r="Q264" s="174">
        <f t="shared" si="22"/>
        <v>0.02</v>
      </c>
    </row>
    <row r="265" spans="16:34" x14ac:dyDescent="0.25">
      <c r="P265" s="174">
        <v>0.04</v>
      </c>
      <c r="Q265" s="174">
        <f t="shared" si="22"/>
        <v>0.02</v>
      </c>
    </row>
    <row r="266" spans="16:34" x14ac:dyDescent="0.25">
      <c r="P266" s="174">
        <v>8.3000000000000004E-2</v>
      </c>
      <c r="Q266" s="174">
        <f t="shared" si="22"/>
        <v>4.1500000000000002E-2</v>
      </c>
    </row>
    <row r="267" spans="16:34" x14ac:dyDescent="0.25">
      <c r="P267" s="174">
        <v>5.2999999999999999E-2</v>
      </c>
      <c r="Q267" s="174">
        <f t="shared" si="22"/>
        <v>2.6499999999999999E-2</v>
      </c>
    </row>
    <row r="268" spans="16:34" x14ac:dyDescent="0.25">
      <c r="P268" s="174">
        <v>9.1999999999999998E-2</v>
      </c>
      <c r="Q268" s="174">
        <f t="shared" si="22"/>
        <v>4.5999999999999999E-2</v>
      </c>
    </row>
    <row r="269" spans="16:34" x14ac:dyDescent="0.25">
      <c r="P269" s="174">
        <v>6.6000000000000003E-2</v>
      </c>
      <c r="Q269" s="174">
        <f t="shared" si="22"/>
        <v>3.3000000000000002E-2</v>
      </c>
    </row>
    <row r="270" spans="16:34" x14ac:dyDescent="0.25">
      <c r="P270" s="174">
        <v>8.8999999999999996E-2</v>
      </c>
      <c r="Q270" s="174">
        <f t="shared" si="22"/>
        <v>4.4499999999999998E-2</v>
      </c>
    </row>
    <row r="271" spans="16:34" x14ac:dyDescent="0.25">
      <c r="P271" s="174">
        <v>8.8999999999999996E-2</v>
      </c>
      <c r="Q271" s="174">
        <f t="shared" si="22"/>
        <v>4.4499999999999998E-2</v>
      </c>
    </row>
    <row r="272" spans="16:34" x14ac:dyDescent="0.25">
      <c r="P272" s="174">
        <v>8.3000000000000004E-2</v>
      </c>
      <c r="Q272" s="174">
        <f t="shared" si="22"/>
        <v>4.1500000000000002E-2</v>
      </c>
    </row>
    <row r="273" spans="16:17" x14ac:dyDescent="0.25">
      <c r="P273" s="174">
        <v>8.3000000000000004E-2</v>
      </c>
      <c r="Q273" s="174">
        <f t="shared" si="22"/>
        <v>4.1500000000000002E-2</v>
      </c>
    </row>
    <row r="274" spans="16:17" x14ac:dyDescent="0.25">
      <c r="P274" s="174">
        <v>0.15</v>
      </c>
      <c r="Q274" s="174">
        <f t="shared" si="22"/>
        <v>7.4999999999999997E-2</v>
      </c>
    </row>
    <row r="275" spans="16:17" x14ac:dyDescent="0.25">
      <c r="P275" s="174">
        <v>0.1</v>
      </c>
      <c r="Q275" s="174">
        <f t="shared" si="22"/>
        <v>0.05</v>
      </c>
    </row>
    <row r="276" spans="16:17" x14ac:dyDescent="0.25">
      <c r="P276" s="174">
        <v>0.16</v>
      </c>
      <c r="Q276" s="174">
        <f t="shared" si="22"/>
        <v>0.08</v>
      </c>
    </row>
    <row r="277" spans="16:17" ht="20.25" customHeight="1" x14ac:dyDescent="0.25">
      <c r="P277" s="174">
        <v>0.54</v>
      </c>
      <c r="Q277" s="174">
        <f t="shared" si="22"/>
        <v>0.27</v>
      </c>
    </row>
    <row r="278" spans="16:17" x14ac:dyDescent="0.25">
      <c r="P278" s="174">
        <v>0.54</v>
      </c>
      <c r="Q278" s="174">
        <f t="shared" si="22"/>
        <v>0.27</v>
      </c>
    </row>
    <row r="279" spans="16:17" x14ac:dyDescent="0.25">
      <c r="P279" s="174">
        <v>0.33</v>
      </c>
      <c r="Q279" s="174">
        <f t="shared" si="22"/>
        <v>0.16500000000000001</v>
      </c>
    </row>
    <row r="280" spans="16:17" x14ac:dyDescent="0.25">
      <c r="P280" s="174">
        <v>0.33</v>
      </c>
      <c r="Q280" s="174">
        <f t="shared" si="22"/>
        <v>0.16500000000000001</v>
      </c>
    </row>
    <row r="281" spans="16:17" x14ac:dyDescent="0.25">
      <c r="P281" s="174">
        <v>0.83</v>
      </c>
      <c r="Q281" s="174">
        <f t="shared" si="22"/>
        <v>0.41499999999999998</v>
      </c>
    </row>
    <row r="282" spans="16:17" x14ac:dyDescent="0.25">
      <c r="P282" s="174">
        <v>0.85</v>
      </c>
      <c r="Q282" s="174">
        <f t="shared" si="22"/>
        <v>0.42499999999999999</v>
      </c>
    </row>
    <row r="283" spans="16:17" x14ac:dyDescent="0.25">
      <c r="P283" s="174">
        <v>8.1999999999999993</v>
      </c>
      <c r="Q283" s="174">
        <f t="shared" si="22"/>
        <v>4.0999999999999996</v>
      </c>
    </row>
    <row r="284" spans="16:17" x14ac:dyDescent="0.25">
      <c r="P284" s="174">
        <v>8.1999999999999993</v>
      </c>
      <c r="Q284" s="174">
        <f t="shared" si="22"/>
        <v>4.0999999999999996</v>
      </c>
    </row>
    <row r="285" spans="16:17" x14ac:dyDescent="0.25">
      <c r="P285" s="174">
        <v>1.6</v>
      </c>
      <c r="Q285" s="174">
        <f t="shared" si="22"/>
        <v>0.8</v>
      </c>
    </row>
    <row r="286" spans="16:17" x14ac:dyDescent="0.25">
      <c r="P286" s="174">
        <v>83</v>
      </c>
      <c r="Q286" s="174">
        <f t="shared" si="22"/>
        <v>41.5</v>
      </c>
    </row>
    <row r="287" spans="16:17" x14ac:dyDescent="0.25">
      <c r="P287" s="174">
        <v>83</v>
      </c>
      <c r="Q287" s="174">
        <f t="shared" si="22"/>
        <v>41.5</v>
      </c>
    </row>
    <row r="288" spans="16:17" x14ac:dyDescent="0.25">
      <c r="P288" s="174">
        <v>83</v>
      </c>
      <c r="Q288" s="174">
        <f t="shared" si="22"/>
        <v>41.5</v>
      </c>
    </row>
    <row r="289" spans="7:17" x14ac:dyDescent="0.25">
      <c r="P289" s="174">
        <v>3.3</v>
      </c>
      <c r="Q289" s="174">
        <f t="shared" si="22"/>
        <v>1.65</v>
      </c>
    </row>
    <row r="290" spans="7:17" x14ac:dyDescent="0.25">
      <c r="P290" s="174">
        <v>3.3</v>
      </c>
      <c r="Q290" s="174">
        <f t="shared" si="22"/>
        <v>1.65</v>
      </c>
    </row>
    <row r="291" spans="7:17" x14ac:dyDescent="0.25">
      <c r="P291" s="174">
        <v>8.2000000000000003E-2</v>
      </c>
      <c r="Q291" s="174">
        <f t="shared" si="22"/>
        <v>4.1000000000000002E-2</v>
      </c>
    </row>
    <row r="292" spans="7:17" x14ac:dyDescent="0.25">
      <c r="P292" s="174">
        <v>8.2000000000000003E-2</v>
      </c>
      <c r="Q292" s="174">
        <f t="shared" si="22"/>
        <v>4.1000000000000002E-2</v>
      </c>
    </row>
    <row r="293" spans="7:17" x14ac:dyDescent="0.25">
      <c r="P293" s="174">
        <v>8.3000000000000007</v>
      </c>
      <c r="Q293" s="174">
        <f t="shared" si="22"/>
        <v>4.1500000000000004</v>
      </c>
    </row>
    <row r="294" spans="7:17" x14ac:dyDescent="0.25">
      <c r="P294" s="174">
        <v>1.4999999999999999E-2</v>
      </c>
      <c r="Q294" s="174">
        <f t="shared" si="22"/>
        <v>7.4999999999999997E-3</v>
      </c>
    </row>
    <row r="295" spans="7:17" x14ac:dyDescent="0.25">
      <c r="G295" s="35"/>
      <c r="P295" s="174">
        <v>0.03</v>
      </c>
      <c r="Q295" s="174">
        <f t="shared" si="22"/>
        <v>1.4999999999999999E-2</v>
      </c>
    </row>
    <row r="296" spans="7:17" x14ac:dyDescent="0.25">
      <c r="G296" s="35"/>
      <c r="P296" s="174">
        <v>0.16</v>
      </c>
      <c r="Q296" s="174">
        <f t="shared" si="22"/>
        <v>0.08</v>
      </c>
    </row>
    <row r="297" spans="7:17" x14ac:dyDescent="0.25">
      <c r="G297" s="35"/>
      <c r="P297" s="174">
        <v>0.1</v>
      </c>
      <c r="Q297" s="174">
        <f t="shared" si="22"/>
        <v>0.05</v>
      </c>
    </row>
    <row r="298" spans="7:17" x14ac:dyDescent="0.25">
      <c r="G298" s="35"/>
      <c r="P298" s="174">
        <v>1.6160000000000001E-2</v>
      </c>
      <c r="Q298" s="174">
        <f t="shared" si="22"/>
        <v>8.0800000000000004E-3</v>
      </c>
    </row>
    <row r="299" spans="7:17" x14ac:dyDescent="0.25">
      <c r="G299" s="35"/>
      <c r="P299" s="174">
        <v>33</v>
      </c>
      <c r="Q299" s="174">
        <f t="shared" si="22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575" t="s">
        <v>736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27" t="s">
        <v>735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748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32" t="s">
        <v>736</v>
      </c>
      <c r="J340" s="532" t="s">
        <v>737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749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datos!I26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datos!H27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datos!I27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datos!I28*100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datos!I26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datos!H27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datos!I27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datos!I28*100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datos!I26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datos!H27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datos!I27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76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76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77">
        <f>datos!H28*100</f>
        <v>0</v>
      </c>
      <c r="J492" s="252" t="e">
        <f>(J493-J491)/(I493-I491)*(I492-I491)+J491</f>
        <v>#N/A</v>
      </c>
      <c r="K492" s="245" t="e">
        <f>(K493-K491)/(I493-I491)*(I492-I491)+K491</f>
        <v>#N/A</v>
      </c>
      <c r="L492" s="520"/>
      <c r="M492" s="518"/>
      <c r="N492" s="577">
        <f>datos!I28*100</f>
        <v>0</v>
      </c>
      <c r="O492" s="252" t="e">
        <f>(O493-O491)/(N493-N491)*(N492-N491)+O491</f>
        <v>#N/A</v>
      </c>
      <c r="P492" s="245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76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76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datos!I26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datos!H27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datos!I27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datos!I28*100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</mergeCells>
  <phoneticPr fontId="131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datos!G39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datos!C31</f>
        <v>N/A</v>
      </c>
      <c r="J5" s="569" t="str">
        <f>datos!C32</f>
        <v>N/A</v>
      </c>
      <c r="K5" s="569" t="str">
        <f>datos!C33</f>
        <v>N/A</v>
      </c>
      <c r="L5" s="569" t="str">
        <f>datos!C34</f>
        <v>N/A</v>
      </c>
      <c r="M5" s="569" t="str">
        <f>datos!C35</f>
        <v>N/A</v>
      </c>
      <c r="N5" s="569" t="str">
        <f>datos!C36</f>
        <v>N/A</v>
      </c>
      <c r="O5" s="569" t="str">
        <f>datos!C37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datos!C31</f>
        <v>N/A</v>
      </c>
      <c r="J6" s="569" t="str">
        <f>datos!C32</f>
        <v>N/A</v>
      </c>
      <c r="K6" s="569" t="str">
        <f>datos!C33</f>
        <v>N/A</v>
      </c>
      <c r="L6" s="569" t="str">
        <f>datos!C34</f>
        <v>N/A</v>
      </c>
      <c r="M6" s="569" t="str">
        <f>datos!C35</f>
        <v>N/A</v>
      </c>
      <c r="N6" s="569" t="str">
        <f>datos!C36</f>
        <v>N/A</v>
      </c>
      <c r="O6" s="569" t="str">
        <f>datos!C37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datos!E39</f>
        <v>0</v>
      </c>
      <c r="D7" s="118" t="str">
        <f>datos!F39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5">
        <f t="shared" ref="J8:O8" si="1">IF(J6="N/A",0,VLOOKUP(J6,$I$93:$Z$396,5,FALSE))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5">
        <f t="shared" ref="J9:O9" si="2">IF(J6="N/A",0,VLOOKUP(J6,$I$93:$Z$396,7,FALSE))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datos!H39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datos!I39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datos!C42</f>
        <v>0</v>
      </c>
      <c r="J25" s="78">
        <f>datos!D42</f>
        <v>0</v>
      </c>
      <c r="K25" s="78">
        <f>datos!E42</f>
        <v>0</v>
      </c>
      <c r="L25" s="78">
        <f>datos!F42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datos!C43</f>
        <v>0</v>
      </c>
      <c r="J26" s="78">
        <f>datos!D43</f>
        <v>0</v>
      </c>
      <c r="K26" s="78">
        <f>datos!E43</f>
        <v>0</v>
      </c>
      <c r="L26" s="78">
        <f>datos!F43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datos!C44</f>
        <v>0</v>
      </c>
      <c r="J27" s="78">
        <f>datos!D44</f>
        <v>0</v>
      </c>
      <c r="K27" s="78">
        <f>datos!E44</f>
        <v>0</v>
      </c>
      <c r="L27" s="78">
        <f>datos!F44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datos!I39</f>
        <v>NI-MCPPT-06</v>
      </c>
      <c r="D28" s="761"/>
      <c r="E28" s="762"/>
      <c r="I28" s="78">
        <f>datos!C45</f>
        <v>0</v>
      </c>
      <c r="J28" s="78">
        <f>datos!D45</f>
        <v>0</v>
      </c>
      <c r="K28" s="78">
        <f>datos!E45</f>
        <v>0</v>
      </c>
      <c r="L28" s="78">
        <f>datos!F45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datos!I39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x14ac:dyDescent="0.25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datos!H43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datos!I43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datos!H44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datos!I44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datos!H45*100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datos!I45*100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datos!H43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datos!I43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datos!H44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datos!I44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datos!H45*100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datos!I45*100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datos!H43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datos!I43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datos!H44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datos!I44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datos!H45*100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datos!I45*100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datos!H43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datos!I43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datos!H44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datos!I44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datos!H45*100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datos!I45*100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N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datos!G56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datos!C48</f>
        <v>N/A</v>
      </c>
      <c r="J5" s="569" t="str">
        <f>datos!C49</f>
        <v>N/A</v>
      </c>
      <c r="K5" s="569" t="str">
        <f>datos!C50</f>
        <v>N/A</v>
      </c>
      <c r="L5" s="569" t="str">
        <f>datos!C51</f>
        <v>N/A</v>
      </c>
      <c r="M5" s="569" t="str">
        <f>datos!C52</f>
        <v>N/A</v>
      </c>
      <c r="N5" s="569" t="str">
        <f>datos!C53</f>
        <v>N/A</v>
      </c>
      <c r="O5" s="569" t="str">
        <f>datos!C54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datos!C48</f>
        <v>N/A</v>
      </c>
      <c r="J6" s="569" t="str">
        <f>datos!C49</f>
        <v>N/A</v>
      </c>
      <c r="K6" s="569" t="str">
        <f>datos!C50</f>
        <v>N/A</v>
      </c>
      <c r="L6" s="569" t="str">
        <f>datos!C51</f>
        <v>N/A</v>
      </c>
      <c r="M6" s="569" t="str">
        <f>datos!C52</f>
        <v>N/A</v>
      </c>
      <c r="N6" s="569" t="str">
        <f>datos!C53</f>
        <v>N/A</v>
      </c>
      <c r="O6" s="569" t="str">
        <f>datos!C54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datos!E56</f>
        <v>0</v>
      </c>
      <c r="D7" s="118" t="str">
        <f>datos!F56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datos!H56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datos!I56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datos!D55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datos!C59</f>
        <v>0</v>
      </c>
      <c r="J25" s="78">
        <f>datos!D59</f>
        <v>0</v>
      </c>
      <c r="K25" s="78">
        <f>datos!E59</f>
        <v>0</v>
      </c>
      <c r="L25" s="78">
        <f>datos!F59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datos!C60</f>
        <v>0</v>
      </c>
      <c r="J26" s="78">
        <f>datos!D60</f>
        <v>0</v>
      </c>
      <c r="K26" s="78">
        <f>datos!E60</f>
        <v>0</v>
      </c>
      <c r="L26" s="78">
        <f>datos!F60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datos!C61</f>
        <v>0</v>
      </c>
      <c r="J27" s="78">
        <f>datos!D61</f>
        <v>0</v>
      </c>
      <c r="K27" s="78">
        <f>datos!E61</f>
        <v>0</v>
      </c>
      <c r="L27" s="78">
        <f>datos!F61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datos!I56</f>
        <v>NI-MCPPT-06</v>
      </c>
      <c r="D28" s="761"/>
      <c r="E28" s="762"/>
      <c r="I28" s="78">
        <f>datos!C62</f>
        <v>0</v>
      </c>
      <c r="J28" s="78">
        <f>datos!D62</f>
        <v>0</v>
      </c>
      <c r="K28" s="78">
        <f>datos!E62</f>
        <v>0</v>
      </c>
      <c r="L28" s="78">
        <f>datos!F62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datos!I56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datos!H56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datos!I56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datos!H60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datos!I60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datos!H61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datos!I61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datos!H62*100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datos!I62*100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datos!H60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datos!I60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datos!H61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datos!I61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datos!H62*100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datos!I62*100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datos!H60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datos!I60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datos!H61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datos!I61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datos!H62*100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datos!I62*100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datos!H60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datos!I60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datos!H61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datos!I61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datos!H62*100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datos!I62*100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M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datos!G73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datos!C65</f>
        <v>N/A</v>
      </c>
      <c r="J5" s="569" t="str">
        <f>datos!C66</f>
        <v>N/A</v>
      </c>
      <c r="K5" s="569" t="str">
        <f>datos!C67</f>
        <v>N/A</v>
      </c>
      <c r="L5" s="569" t="str">
        <f>datos!C68</f>
        <v>N/A</v>
      </c>
      <c r="M5" s="569" t="str">
        <f>datos!C69</f>
        <v>N/A</v>
      </c>
      <c r="N5" s="569" t="str">
        <f>datos!C70</f>
        <v>N/A</v>
      </c>
      <c r="O5" s="569" t="str">
        <f>datos!C71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datos!C65</f>
        <v>N/A</v>
      </c>
      <c r="J6" s="569" t="str">
        <f>datos!C66</f>
        <v>N/A</v>
      </c>
      <c r="K6" s="569" t="str">
        <f>datos!C67</f>
        <v>N/A</v>
      </c>
      <c r="L6" s="569" t="str">
        <f>datos!C68</f>
        <v>N/A</v>
      </c>
      <c r="M6" s="569" t="str">
        <f>datos!C69</f>
        <v>N/A</v>
      </c>
      <c r="N6" s="569" t="str">
        <f>datos!C70</f>
        <v>N/A</v>
      </c>
      <c r="O6" s="569" t="str">
        <f>datos!C71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datos!$E$73</f>
        <v>0</v>
      </c>
      <c r="D7" s="118" t="str">
        <f>datos!F73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datos!H73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datos!I73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datos!D72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datos!C76</f>
        <v>0</v>
      </c>
      <c r="J25" s="78">
        <f>datos!D76</f>
        <v>0</v>
      </c>
      <c r="K25" s="78">
        <f>datos!E76</f>
        <v>0</v>
      </c>
      <c r="L25" s="78">
        <f>datos!F76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datos!C77</f>
        <v>0</v>
      </c>
      <c r="J26" s="78">
        <f>datos!D77</f>
        <v>0</v>
      </c>
      <c r="K26" s="78">
        <f>datos!E77</f>
        <v>0</v>
      </c>
      <c r="L26" s="78">
        <f>datos!F77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datos!C78</f>
        <v>0</v>
      </c>
      <c r="J27" s="78">
        <f>datos!D78</f>
        <v>0</v>
      </c>
      <c r="K27" s="78">
        <f>datos!E78</f>
        <v>0</v>
      </c>
      <c r="L27" s="78">
        <f>datos!F78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datos!I73</f>
        <v>NI-MCPPT-06</v>
      </c>
      <c r="D28" s="761"/>
      <c r="E28" s="762"/>
      <c r="I28" s="78">
        <f>datos!C79</f>
        <v>0</v>
      </c>
      <c r="J28" s="78">
        <f>datos!D79</f>
        <v>0</v>
      </c>
      <c r="K28" s="78">
        <f>datos!E79</f>
        <v>0</v>
      </c>
      <c r="L28" s="78">
        <f>datos!F79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datos!I73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datos!H73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datos!I73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datos!$H$77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datos!$I$77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datos!$H$78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datos!$I$78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datos!$H$79*100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datos!$I$79*100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datos!$H$77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datos!$I$77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datos!$H$78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datos!$I$78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datos!$H$79*100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datos!$I$79*100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datos!$H$77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datos!$I$77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datos!$H$78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datos!$I$78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datos!$H$79*100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datos!$I$79*100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datos!$H$77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datos!$I$77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datos!$H$78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datos!$I$78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datos!$H$79*100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datos!$I$79*100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datos!G90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datos!C82</f>
        <v>N/A</v>
      </c>
      <c r="J5" s="569" t="str">
        <f>datos!C83</f>
        <v>N/A</v>
      </c>
      <c r="K5" s="569" t="str">
        <f>datos!C84</f>
        <v>N/A</v>
      </c>
      <c r="L5" s="569" t="str">
        <f>datos!C85</f>
        <v>N/A</v>
      </c>
      <c r="M5" s="569" t="str">
        <f>datos!C86</f>
        <v>N/A</v>
      </c>
      <c r="N5" s="569" t="str">
        <f>datos!C87</f>
        <v>N/A</v>
      </c>
      <c r="O5" s="569" t="str">
        <f>datos!C88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datos!C82</f>
        <v>N/A</v>
      </c>
      <c r="J6" s="569" t="str">
        <f>datos!C83</f>
        <v>N/A</v>
      </c>
      <c r="K6" s="569" t="str">
        <f>datos!C84</f>
        <v>N/A</v>
      </c>
      <c r="L6" s="569" t="str">
        <f>datos!C85</f>
        <v>N/A</v>
      </c>
      <c r="M6" s="569" t="str">
        <f>datos!C86</f>
        <v>N/A</v>
      </c>
      <c r="N6" s="569" t="str">
        <f>datos!C87</f>
        <v>N/A</v>
      </c>
      <c r="O6" s="569" t="str">
        <f>datos!C88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datos!E90</f>
        <v>0</v>
      </c>
      <c r="D7" s="118" t="str">
        <f>datos!F90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datos!H90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datos!I90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datos!D89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datos!C93</f>
        <v>0</v>
      </c>
      <c r="J25" s="78">
        <f>datos!D93</f>
        <v>0</v>
      </c>
      <c r="K25" s="78">
        <f>datos!E93</f>
        <v>0</v>
      </c>
      <c r="L25" s="78">
        <f>datos!F93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datos!C94</f>
        <v>0</v>
      </c>
      <c r="J26" s="78">
        <f>datos!D94</f>
        <v>0</v>
      </c>
      <c r="K26" s="78">
        <f>datos!E94</f>
        <v>0</v>
      </c>
      <c r="L26" s="78">
        <f>datos!F94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datos!C95</f>
        <v>0</v>
      </c>
      <c r="J27" s="78">
        <f>datos!D95</f>
        <v>0</v>
      </c>
      <c r="K27" s="78">
        <f>datos!E95</f>
        <v>0</v>
      </c>
      <c r="L27" s="78">
        <f>datos!F95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datos!I90</f>
        <v>NI-MCPPT-06</v>
      </c>
      <c r="D28" s="761"/>
      <c r="E28" s="762"/>
      <c r="I28" s="78">
        <f>datos!C96</f>
        <v>0</v>
      </c>
      <c r="J28" s="78">
        <f>datos!D96</f>
        <v>0</v>
      </c>
      <c r="K28" s="78">
        <f>datos!E96</f>
        <v>0</v>
      </c>
      <c r="L28" s="78">
        <f>datos!F96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datos!I90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datos!H90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datos!I90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datos!H94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datos!I94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datos!H95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datos!I95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datos!H96*100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datos!I96*100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datos!H94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datos!I94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datos!H95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datos!I95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datos!H96*100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datos!I96*100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datos!H94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datos!I94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datos!H95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datos!I95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datos!H96*100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datos!I96*100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datos!H94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datos!I94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datos!H95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datos!I95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datos!H96*100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datos!I96*100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datos!G107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datos!C99</f>
        <v>N/A</v>
      </c>
      <c r="J5" s="569" t="str">
        <f>datos!C100</f>
        <v>N/A</v>
      </c>
      <c r="K5" s="569" t="str">
        <f>datos!C101</f>
        <v>N/A</v>
      </c>
      <c r="L5" s="569" t="str">
        <f>datos!C102</f>
        <v>N/A</v>
      </c>
      <c r="M5" s="569" t="str">
        <f>datos!C103</f>
        <v>N/A</v>
      </c>
      <c r="N5" s="569" t="str">
        <f>datos!C104</f>
        <v>N/A</v>
      </c>
      <c r="O5" s="569" t="str">
        <f>datos!C105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datos!C99</f>
        <v>N/A</v>
      </c>
      <c r="J6" s="569" t="str">
        <f>datos!C100</f>
        <v>N/A</v>
      </c>
      <c r="K6" s="569" t="str">
        <f>datos!C101</f>
        <v>N/A</v>
      </c>
      <c r="L6" s="569" t="str">
        <f>datos!C102</f>
        <v>N/A</v>
      </c>
      <c r="M6" s="569" t="str">
        <f>datos!C103</f>
        <v>N/A</v>
      </c>
      <c r="N6" s="569" t="str">
        <f>datos!C104</f>
        <v>N/A</v>
      </c>
      <c r="O6" s="569" t="str">
        <f>datos!C105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datos!E107</f>
        <v>0</v>
      </c>
      <c r="D7" s="118" t="str">
        <f>datos!F107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datos!H107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datos!I107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datos!D106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datos!C110</f>
        <v>0</v>
      </c>
      <c r="J25" s="78">
        <f>datos!D110</f>
        <v>0</v>
      </c>
      <c r="K25" s="78">
        <f>datos!E110</f>
        <v>0</v>
      </c>
      <c r="L25" s="78">
        <f>datos!F110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datos!C111</f>
        <v>0</v>
      </c>
      <c r="J26" s="78">
        <f>datos!D111</f>
        <v>0</v>
      </c>
      <c r="K26" s="78">
        <f>datos!E111</f>
        <v>0</v>
      </c>
      <c r="L26" s="78">
        <f>datos!F111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datos!C112</f>
        <v>0</v>
      </c>
      <c r="J27" s="78">
        <f>datos!D112</f>
        <v>0</v>
      </c>
      <c r="K27" s="78">
        <f>datos!E112</f>
        <v>0</v>
      </c>
      <c r="L27" s="78">
        <f>datos!F112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datos!I107</f>
        <v>NI-MCPPT-06</v>
      </c>
      <c r="D28" s="761"/>
      <c r="E28" s="762"/>
      <c r="I28" s="78">
        <f>datos!C113</f>
        <v>0</v>
      </c>
      <c r="J28" s="78">
        <f>datos!D113</f>
        <v>0</v>
      </c>
      <c r="K28" s="78">
        <f>datos!E113</f>
        <v>0</v>
      </c>
      <c r="L28" s="78">
        <f>datos!F113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datos!I107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datos!H107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datos!I107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datos!H111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datos!I111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datos!H112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datos!I112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datos!H113*100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datos!I113*100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datos!H111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datos!I111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datos!H112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datos!I112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datos!H113*100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datos!I113*100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datos!H111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datos!I111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datos!H112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datos!I112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datos!H113*100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datos!I113*100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datos!H111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datos!I111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datos!H112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datos!I112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datos!H113*100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datos!I113*100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K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datos!G124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datos!C116</f>
        <v>N/A</v>
      </c>
      <c r="J5" s="569" t="str">
        <f>datos!C117</f>
        <v>N/A</v>
      </c>
      <c r="K5" s="569" t="str">
        <f>datos!C118</f>
        <v>N/A</v>
      </c>
      <c r="L5" s="569" t="str">
        <f>datos!C119</f>
        <v>N/A</v>
      </c>
      <c r="M5" s="569" t="str">
        <f>datos!C120</f>
        <v>N/A</v>
      </c>
      <c r="N5" s="569" t="str">
        <f>datos!C121</f>
        <v>N/A</v>
      </c>
      <c r="O5" s="569" t="str">
        <f>datos!C122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datos!C116</f>
        <v>N/A</v>
      </c>
      <c r="J6" s="569" t="str">
        <f>datos!C117</f>
        <v>N/A</v>
      </c>
      <c r="K6" s="569" t="str">
        <f>datos!C118</f>
        <v>N/A</v>
      </c>
      <c r="L6" s="569" t="str">
        <f>datos!C119</f>
        <v>N/A</v>
      </c>
      <c r="M6" s="569" t="str">
        <f>datos!C120</f>
        <v>N/A</v>
      </c>
      <c r="N6" s="569" t="str">
        <f>datos!C121</f>
        <v>N/A</v>
      </c>
      <c r="O6" s="569" t="str">
        <f>datos!C122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datos!E124</f>
        <v>0</v>
      </c>
      <c r="D7" s="118" t="str">
        <f>datos!F124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datos!H124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datos!I124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datos!D123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datos!C127</f>
        <v>0</v>
      </c>
      <c r="J25" s="78">
        <f>datos!D127</f>
        <v>0</v>
      </c>
      <c r="K25" s="78">
        <f>datos!E127</f>
        <v>0</v>
      </c>
      <c r="L25" s="78">
        <f>datos!F127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datos!C128</f>
        <v>0</v>
      </c>
      <c r="J26" s="78">
        <f>datos!D128</f>
        <v>0</v>
      </c>
      <c r="K26" s="78">
        <f>datos!E128</f>
        <v>0</v>
      </c>
      <c r="L26" s="78">
        <f>datos!F128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datos!C129</f>
        <v>0</v>
      </c>
      <c r="J27" s="78">
        <f>datos!D129</f>
        <v>0</v>
      </c>
      <c r="K27" s="78">
        <f>datos!E129</f>
        <v>0</v>
      </c>
      <c r="L27" s="78">
        <f>datos!F129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datos!I124</f>
        <v>NI-MCPPT-06</v>
      </c>
      <c r="D28" s="761"/>
      <c r="E28" s="762"/>
      <c r="I28" s="78">
        <f>datos!C130</f>
        <v>0</v>
      </c>
      <c r="J28" s="78">
        <f>datos!D130</f>
        <v>0</v>
      </c>
      <c r="K28" s="78">
        <f>datos!E130</f>
        <v>0</v>
      </c>
      <c r="L28" s="78">
        <f>datos!F130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datos!I124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14.4" thickBot="1" x14ac:dyDescent="0.3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datos!H124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datos!I124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datos!H128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datos!I128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datos!H129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datos!I129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datos!H130*100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datos!I130*100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datos!H128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datos!I128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datos!H129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datos!I129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datos!H130*100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datos!I130*100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datos!H128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datos!I128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datos!H129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datos!I129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datos!H130*100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datos!I130*100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datos!H128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datos!I128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datos!H129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datos!I129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datos!H130*100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datos!I130*100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datos!G141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datos!C133</f>
        <v>N/A</v>
      </c>
      <c r="J5" s="569" t="str">
        <f>datos!C134</f>
        <v>N/A</v>
      </c>
      <c r="K5" s="569" t="str">
        <f>datos!C135</f>
        <v>N/A</v>
      </c>
      <c r="L5" s="569" t="str">
        <f>datos!C136</f>
        <v>N/A</v>
      </c>
      <c r="M5" s="569" t="str">
        <f>datos!C137</f>
        <v>N/A</v>
      </c>
      <c r="N5" s="569" t="str">
        <f>datos!C138</f>
        <v>N/A</v>
      </c>
      <c r="O5" s="569" t="str">
        <f>datos!C139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datos!C133</f>
        <v>N/A</v>
      </c>
      <c r="J6" s="569" t="str">
        <f>datos!C134</f>
        <v>N/A</v>
      </c>
      <c r="K6" s="569" t="str">
        <f>datos!C135</f>
        <v>N/A</v>
      </c>
      <c r="L6" s="569" t="str">
        <f>datos!C136</f>
        <v>N/A</v>
      </c>
      <c r="M6" s="569" t="str">
        <f>datos!C137</f>
        <v>N/A</v>
      </c>
      <c r="N6" s="569" t="str">
        <f>datos!C138</f>
        <v>N/A</v>
      </c>
      <c r="O6" s="569" t="str">
        <f>datos!C139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datos!E141</f>
        <v>0</v>
      </c>
      <c r="D7" s="118" t="str">
        <f>datos!F141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datos!H141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datos!I141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datos!D140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datos!C144</f>
        <v>0</v>
      </c>
      <c r="J25" s="78">
        <f>datos!D144</f>
        <v>0</v>
      </c>
      <c r="K25" s="78">
        <f>datos!E144</f>
        <v>0</v>
      </c>
      <c r="L25" s="78">
        <f>datos!F144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datos!C145</f>
        <v>0</v>
      </c>
      <c r="J26" s="78">
        <f>datos!D145</f>
        <v>0</v>
      </c>
      <c r="K26" s="78">
        <f>datos!E145</f>
        <v>0</v>
      </c>
      <c r="L26" s="78">
        <f>datos!F145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datos!C146</f>
        <v>0</v>
      </c>
      <c r="J27" s="78">
        <f>datos!D146</f>
        <v>0</v>
      </c>
      <c r="K27" s="78">
        <f>datos!E146</f>
        <v>0</v>
      </c>
      <c r="L27" s="78">
        <f>datos!F146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datos!I141</f>
        <v>NI-MCPPT-06</v>
      </c>
      <c r="D28" s="761"/>
      <c r="E28" s="762"/>
      <c r="I28" s="78">
        <f>datos!C147</f>
        <v>0</v>
      </c>
      <c r="J28" s="78">
        <f>datos!D147</f>
        <v>0</v>
      </c>
      <c r="K28" s="78">
        <f>datos!E147</f>
        <v>0</v>
      </c>
      <c r="L28" s="78">
        <f>datos!F147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datos!I141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datos!H141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datos!I141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datos!H145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datos!I145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datos!H146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datos!I146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datos!H147*100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datos!I147*100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datos!H145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datos!I145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datos!H146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datos!I146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datos!H147*100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datos!I147*100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datos!H145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datos!I145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datos!H146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datos!I146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datos!H147*100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datos!I147*100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datos!H145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datos!I145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datos!H146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datos!I146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datos!H147*100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datos!I147*100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datos!G158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datos!C150</f>
        <v>N/A</v>
      </c>
      <c r="J5" s="569" t="str">
        <f>datos!C151</f>
        <v>N/A</v>
      </c>
      <c r="K5" s="569" t="str">
        <f>datos!C152</f>
        <v>N/A</v>
      </c>
      <c r="L5" s="569" t="str">
        <f>datos!C153</f>
        <v>N/A</v>
      </c>
      <c r="M5" s="569" t="str">
        <f>datos!C154</f>
        <v>N/A</v>
      </c>
      <c r="N5" s="569" t="str">
        <f>datos!C155</f>
        <v>N/A</v>
      </c>
      <c r="O5" s="569" t="str">
        <f>datos!C156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datos!C150</f>
        <v>N/A</v>
      </c>
      <c r="J6" s="569" t="str">
        <f>datos!C151</f>
        <v>N/A</v>
      </c>
      <c r="K6" s="569" t="str">
        <f>datos!C152</f>
        <v>N/A</v>
      </c>
      <c r="L6" s="569" t="str">
        <f>datos!C153</f>
        <v>N/A</v>
      </c>
      <c r="M6" s="569" t="str">
        <f>datos!C154</f>
        <v>N/A</v>
      </c>
      <c r="N6" s="569" t="str">
        <f>datos!C155</f>
        <v>N/A</v>
      </c>
      <c r="O6" s="569" t="str">
        <f>datos!C156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datos!$E$158</f>
        <v>0</v>
      </c>
      <c r="D7" s="118" t="str">
        <f>datos!F158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datos!H158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datos!I158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datos!D157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datos!C161</f>
        <v>0</v>
      </c>
      <c r="J25" s="78">
        <f>datos!D161</f>
        <v>0</v>
      </c>
      <c r="K25" s="78">
        <f>datos!E161</f>
        <v>0</v>
      </c>
      <c r="L25" s="78">
        <f>datos!F161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datos!C162</f>
        <v>0</v>
      </c>
      <c r="J26" s="78">
        <f>datos!D162</f>
        <v>0</v>
      </c>
      <c r="K26" s="78">
        <f>datos!E162</f>
        <v>0</v>
      </c>
      <c r="L26" s="78">
        <f>datos!F162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datos!C163</f>
        <v>0</v>
      </c>
      <c r="J27" s="78">
        <f>datos!D163</f>
        <v>0</v>
      </c>
      <c r="K27" s="78">
        <f>datos!E163</f>
        <v>0</v>
      </c>
      <c r="L27" s="78">
        <f>datos!F163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datos!I158</f>
        <v>NI-MCPPT-06</v>
      </c>
      <c r="D28" s="761"/>
      <c r="E28" s="762"/>
      <c r="I28" s="78">
        <f>datos!C164</f>
        <v>0</v>
      </c>
      <c r="J28" s="78">
        <f>datos!D164</f>
        <v>0</v>
      </c>
      <c r="K28" s="78">
        <f>datos!E164</f>
        <v>0</v>
      </c>
      <c r="L28" s="78">
        <f>datos!F164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datos!I158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datos!H158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datos!I158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datos!$H$162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datos!$I$162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datos!$H$163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datos!$I$163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datos!$H$164*100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datos!$I$164*100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datos!$H$162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datos!$I$162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datos!$H$163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datos!$I$163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datos!$H$164*100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datos!$I$164*100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datos!$H$162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datos!$I$162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datos!$H$163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datos!$I$163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datos!$H$164*100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datos!$I$164*100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datos!$H$162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datos!$I$162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datos!$H$163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datos!$I$163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datos!$H$164*100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datos!$I$164*100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datos!G175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datos!C167</f>
        <v>N/A</v>
      </c>
      <c r="J5" s="569" t="str">
        <f>datos!C168</f>
        <v>N/A</v>
      </c>
      <c r="K5" s="569" t="str">
        <f>datos!C169</f>
        <v>N/A</v>
      </c>
      <c r="L5" s="569" t="str">
        <f>datos!C170</f>
        <v>N/A</v>
      </c>
      <c r="M5" s="569" t="str">
        <f>datos!C171</f>
        <v>N/A</v>
      </c>
      <c r="N5" s="569" t="str">
        <f>datos!C172</f>
        <v>N/A</v>
      </c>
      <c r="O5" s="569" t="str">
        <f>datos!C173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datos!C167</f>
        <v>N/A</v>
      </c>
      <c r="J6" s="569" t="str">
        <f>datos!C168</f>
        <v>N/A</v>
      </c>
      <c r="K6" s="569" t="str">
        <f>datos!C169</f>
        <v>N/A</v>
      </c>
      <c r="L6" s="569" t="str">
        <f>datos!C170</f>
        <v>N/A</v>
      </c>
      <c r="M6" s="569" t="str">
        <f>datos!C171</f>
        <v>N/A</v>
      </c>
      <c r="N6" s="569" t="str">
        <f>datos!C172</f>
        <v>N/A</v>
      </c>
      <c r="O6" s="569" t="str">
        <f>datos!C173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datos!E175</f>
        <v>0</v>
      </c>
      <c r="D7" s="118" t="str">
        <f>datos!F175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datos!H175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datos!I175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datos!D174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datos!C178</f>
        <v>0</v>
      </c>
      <c r="J25" s="78">
        <f>datos!D178</f>
        <v>0</v>
      </c>
      <c r="K25" s="78">
        <f>datos!E178</f>
        <v>0</v>
      </c>
      <c r="L25" s="78">
        <f>datos!F178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datos!C179</f>
        <v>0</v>
      </c>
      <c r="J26" s="78">
        <f>datos!D179</f>
        <v>0</v>
      </c>
      <c r="K26" s="78">
        <f>datos!E179</f>
        <v>0</v>
      </c>
      <c r="L26" s="78">
        <f>datos!F179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datos!C180</f>
        <v>0</v>
      </c>
      <c r="J27" s="78">
        <f>datos!D180</f>
        <v>0</v>
      </c>
      <c r="K27" s="78">
        <f>datos!E180</f>
        <v>0</v>
      </c>
      <c r="L27" s="78">
        <f>datos!F180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datos!I175</f>
        <v>NI-MCPPT-06</v>
      </c>
      <c r="D28" s="761"/>
      <c r="E28" s="762"/>
      <c r="I28" s="78">
        <f>datos!C181</f>
        <v>0</v>
      </c>
      <c r="J28" s="78">
        <f>datos!D181</f>
        <v>0</v>
      </c>
      <c r="K28" s="78">
        <f>datos!E181</f>
        <v>0</v>
      </c>
      <c r="L28" s="78">
        <f>datos!F181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datos!I175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datos!H175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datos!I175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datos!H179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datos!I179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datos!H180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datos!I180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datos!H181*100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datos!I181*100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datos!H179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datos!I179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datos!H180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datos!I180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datos!H181*100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datos!I181*100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datos!H179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datos!I179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datos!H180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datos!I180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datos!H181*100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datos!I181*100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datos!H179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datos!I179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datos!H180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datos!I180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datos!H181*100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datos!I181*100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datos!G192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datos!C184</f>
        <v>N/A</v>
      </c>
      <c r="J5" s="569" t="str">
        <f>datos!C185</f>
        <v>N/A</v>
      </c>
      <c r="K5" s="569" t="str">
        <f>datos!C186</f>
        <v>N/A</v>
      </c>
      <c r="L5" s="569" t="str">
        <f>datos!C187</f>
        <v>N/A</v>
      </c>
      <c r="M5" s="569" t="str">
        <f>datos!C188</f>
        <v>N/A</v>
      </c>
      <c r="N5" s="569" t="str">
        <f>datos!C189</f>
        <v>N/A</v>
      </c>
      <c r="O5" s="569" t="str">
        <f>datos!C190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datos!C184</f>
        <v>N/A</v>
      </c>
      <c r="J6" s="569" t="str">
        <f>datos!C185</f>
        <v>N/A</v>
      </c>
      <c r="K6" s="569" t="str">
        <f>datos!C186</f>
        <v>N/A</v>
      </c>
      <c r="L6" s="569" t="str">
        <f>datos!C187</f>
        <v>N/A</v>
      </c>
      <c r="M6" s="569" t="str">
        <f>datos!C188</f>
        <v>N/A</v>
      </c>
      <c r="N6" s="569" t="str">
        <f>datos!C189</f>
        <v>N/A</v>
      </c>
      <c r="O6" s="569" t="str">
        <f>datos!C190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datos!$E$192</f>
        <v>0</v>
      </c>
      <c r="D7" s="118" t="str">
        <f>datos!F192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datos!H192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datos!I192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datos!D191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datos!C195</f>
        <v>0</v>
      </c>
      <c r="J25" s="78">
        <f>datos!D195</f>
        <v>0</v>
      </c>
      <c r="K25" s="78">
        <f>datos!E195</f>
        <v>0</v>
      </c>
      <c r="L25" s="78">
        <f>datos!F195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datos!C196</f>
        <v>0</v>
      </c>
      <c r="J26" s="78">
        <f>datos!D196</f>
        <v>0</v>
      </c>
      <c r="K26" s="78">
        <f>datos!E196</f>
        <v>0</v>
      </c>
      <c r="L26" s="78">
        <f>datos!F196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datos!C197</f>
        <v>0</v>
      </c>
      <c r="J27" s="78">
        <f>datos!D197</f>
        <v>0</v>
      </c>
      <c r="K27" s="78">
        <f>datos!E197</f>
        <v>0</v>
      </c>
      <c r="L27" s="78">
        <f>datos!F197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datos!I192</f>
        <v>NI-MCPPT-06</v>
      </c>
      <c r="D28" s="761"/>
      <c r="E28" s="762"/>
      <c r="I28" s="78">
        <f>datos!C198</f>
        <v>0</v>
      </c>
      <c r="J28" s="78">
        <f>datos!D198</f>
        <v>0</v>
      </c>
      <c r="K28" s="78">
        <f>datos!E198</f>
        <v>0</v>
      </c>
      <c r="L28" s="78">
        <f>datos!F198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datos!I192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datos!H192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datos!I192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datos!$H$196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datos!$I$196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datos!$H$197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datos!$I$197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datos!$H$198*100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datos!$I$198*100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datos!$H$196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datos!$I$196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datos!$H$197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datos!$I$197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datos!$H$198*100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datos!$I$198*100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datos!$H$196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datos!$I$196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datos!$H$197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datos!$I$197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datos!$I$198*100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datos!$I$198*100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datos!$H$196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datos!$I$196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datos!$H$197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datos!$I$197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datos!$H$198*100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datos!$I$198*100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datos!G209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datos!C201</f>
        <v>N/A</v>
      </c>
      <c r="J5" s="569" t="str">
        <f>datos!C202</f>
        <v>N/A</v>
      </c>
      <c r="K5" s="569" t="str">
        <f>datos!C203</f>
        <v>N/A</v>
      </c>
      <c r="L5" s="569" t="str">
        <f>datos!C204</f>
        <v>N/A</v>
      </c>
      <c r="M5" s="569" t="str">
        <f>datos!C205</f>
        <v>N/A</v>
      </c>
      <c r="N5" s="569" t="str">
        <f>datos!C206</f>
        <v>N/A</v>
      </c>
      <c r="O5" s="569" t="str">
        <f>datos!C207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datos!C201</f>
        <v>N/A</v>
      </c>
      <c r="J6" s="569" t="str">
        <f>datos!C202</f>
        <v>N/A</v>
      </c>
      <c r="K6" s="569" t="str">
        <f>datos!C203</f>
        <v>N/A</v>
      </c>
      <c r="L6" s="569" t="str">
        <f>datos!C204</f>
        <v>N/A</v>
      </c>
      <c r="M6" s="569" t="str">
        <f>datos!C205</f>
        <v>N/A</v>
      </c>
      <c r="N6" s="569" t="str">
        <f>datos!C206</f>
        <v>N/A</v>
      </c>
      <c r="O6" s="569" t="str">
        <f>datos!C207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datos!E209</f>
        <v>0</v>
      </c>
      <c r="D7" s="118" t="str">
        <f>datos!F209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datos!H209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datos!I209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datos!D208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datos!C212</f>
        <v>0</v>
      </c>
      <c r="J25" s="78">
        <f>datos!D212</f>
        <v>0</v>
      </c>
      <c r="K25" s="78">
        <f>datos!E212</f>
        <v>0</v>
      </c>
      <c r="L25" s="78">
        <f>datos!F212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datos!C213</f>
        <v>0</v>
      </c>
      <c r="J26" s="78">
        <f>datos!D213</f>
        <v>0</v>
      </c>
      <c r="K26" s="78">
        <f>datos!E213</f>
        <v>0</v>
      </c>
      <c r="L26" s="78">
        <f>datos!F213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datos!C214</f>
        <v>0</v>
      </c>
      <c r="J27" s="78">
        <f>datos!D214</f>
        <v>0</v>
      </c>
      <c r="K27" s="78">
        <f>datos!E214</f>
        <v>0</v>
      </c>
      <c r="L27" s="78">
        <f>datos!F214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datos!I209</f>
        <v>NI-MCPPT-06</v>
      </c>
      <c r="D28" s="761"/>
      <c r="E28" s="762"/>
      <c r="I28" s="78">
        <f>datos!C215</f>
        <v>0</v>
      </c>
      <c r="J28" s="78">
        <f>datos!D215</f>
        <v>0</v>
      </c>
      <c r="K28" s="78">
        <f>datos!E215</f>
        <v>0</v>
      </c>
      <c r="L28" s="78">
        <f>datos!F215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datos!I209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datos!H209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datos!I209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datos!H213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datos!I213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datos!H214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datos!I214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datos!H215*100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datos!I215*100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datos!H213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datos!I213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datos!H214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datos!I214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datos!H215*100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datos!I215*100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datos!H213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datos!I213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datos!H214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datos!I214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datos!H215*100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datos!I215*100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datos!H213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datos!I213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datos!H214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datos!I214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datos!H215*100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datos!I215*100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M4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datos!G226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datos!C218</f>
        <v>N/A</v>
      </c>
      <c r="J5" s="569" t="str">
        <f>datos!C219</f>
        <v>N/A</v>
      </c>
      <c r="K5" s="569" t="str">
        <f>datos!C220</f>
        <v>N/A</v>
      </c>
      <c r="L5" s="569" t="str">
        <f>datos!C221</f>
        <v>N/A</v>
      </c>
      <c r="M5" s="569" t="str">
        <f>datos!C222</f>
        <v>N/A</v>
      </c>
      <c r="N5" s="569" t="str">
        <f>datos!C223</f>
        <v>N/A</v>
      </c>
      <c r="O5" s="569" t="str">
        <f>datos!C224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datos!C218</f>
        <v>N/A</v>
      </c>
      <c r="J6" s="569" t="str">
        <f>datos!C219</f>
        <v>N/A</v>
      </c>
      <c r="K6" s="569" t="str">
        <f>datos!C220</f>
        <v>N/A</v>
      </c>
      <c r="L6" s="569" t="str">
        <f>datos!C221</f>
        <v>N/A</v>
      </c>
      <c r="M6" s="569" t="str">
        <f>datos!C222</f>
        <v>N/A</v>
      </c>
      <c r="N6" s="569" t="str">
        <f>datos!C223</f>
        <v>N/A</v>
      </c>
      <c r="O6" s="569" t="str">
        <f>datos!C224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datos!E226</f>
        <v>0</v>
      </c>
      <c r="D7" s="118" t="str">
        <f>datos!F226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datos!H226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datos!I226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datos!D225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datos!C229</f>
        <v>0</v>
      </c>
      <c r="J25" s="78">
        <f>datos!D229</f>
        <v>0</v>
      </c>
      <c r="K25" s="78">
        <f>datos!E229</f>
        <v>0</v>
      </c>
      <c r="L25" s="78">
        <f>datos!F229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datos!C230</f>
        <v>0</v>
      </c>
      <c r="J26" s="78">
        <f>datos!D230</f>
        <v>0</v>
      </c>
      <c r="K26" s="78">
        <f>datos!E230</f>
        <v>0</v>
      </c>
      <c r="L26" s="78">
        <f>datos!F230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datos!C231</f>
        <v>0</v>
      </c>
      <c r="J27" s="78">
        <f>datos!D231</f>
        <v>0</v>
      </c>
      <c r="K27" s="78">
        <f>datos!E231</f>
        <v>0</v>
      </c>
      <c r="L27" s="78">
        <f>datos!F231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datos!I226</f>
        <v>NI-MCPPT-06</v>
      </c>
      <c r="D28" s="761"/>
      <c r="E28" s="762"/>
      <c r="I28" s="78">
        <f>datos!C232</f>
        <v>0</v>
      </c>
      <c r="J28" s="78">
        <f>datos!D232</f>
        <v>0</v>
      </c>
      <c r="K28" s="78">
        <f>datos!E232</f>
        <v>0</v>
      </c>
      <c r="L28" s="78">
        <f>datos!F232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datos!I226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datos!H230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datos!I230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datos!H231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datos!I231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datos!H232*100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datos!I232*100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datos!H230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datos!I230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datos!H231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datos!I231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datos!H232*100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datos!I232*100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datos!H230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datos!I230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datos!H231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datos!I231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datos!H232*100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datos!I232*100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datos!H230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datos!H230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datos!H231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datos!I231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datos!H232*100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datos!I232*100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datos!G243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datos!C235</f>
        <v>N/A</v>
      </c>
      <c r="J5" s="569" t="str">
        <f>datos!C236</f>
        <v>N/A</v>
      </c>
      <c r="K5" s="569" t="str">
        <f>datos!C237</f>
        <v>N/A</v>
      </c>
      <c r="L5" s="569" t="str">
        <f>datos!C238</f>
        <v>N/A</v>
      </c>
      <c r="M5" s="569" t="str">
        <f>datos!C239</f>
        <v>N/A</v>
      </c>
      <c r="N5" s="569" t="str">
        <f>datos!C240</f>
        <v>N/A</v>
      </c>
      <c r="O5" s="569" t="str">
        <f>datos!C241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datos!C235</f>
        <v>N/A</v>
      </c>
      <c r="J6" s="569" t="str">
        <f>datos!C236</f>
        <v>N/A</v>
      </c>
      <c r="K6" s="569" t="str">
        <f>datos!C237</f>
        <v>N/A</v>
      </c>
      <c r="L6" s="569" t="str">
        <f>datos!C238</f>
        <v>N/A</v>
      </c>
      <c r="M6" s="569" t="str">
        <f>datos!C239</f>
        <v>N/A</v>
      </c>
      <c r="N6" s="569" t="str">
        <f>datos!C240</f>
        <v>N/A</v>
      </c>
      <c r="O6" s="569" t="str">
        <f>datos!C241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datos!E243</f>
        <v>0</v>
      </c>
      <c r="D7" s="118" t="str">
        <f>datos!F243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datos!H243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datos!I243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datos!D242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datos!C246</f>
        <v>0</v>
      </c>
      <c r="J25" s="78">
        <f>datos!D246</f>
        <v>0</v>
      </c>
      <c r="K25" s="78">
        <f>datos!E246</f>
        <v>0</v>
      </c>
      <c r="L25" s="78">
        <f>datos!F246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datos!C247</f>
        <v>0</v>
      </c>
      <c r="J26" s="78">
        <f>datos!D247</f>
        <v>0</v>
      </c>
      <c r="K26" s="78">
        <f>datos!E247</f>
        <v>0</v>
      </c>
      <c r="L26" s="78">
        <f>datos!F247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datos!C248</f>
        <v>0</v>
      </c>
      <c r="J27" s="78">
        <f>datos!D248</f>
        <v>0</v>
      </c>
      <c r="K27" s="78">
        <f>datos!E248</f>
        <v>0</v>
      </c>
      <c r="L27" s="78">
        <f>datos!F248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datos!I243</f>
        <v>NI-MCPPT-06</v>
      </c>
      <c r="D28" s="761"/>
      <c r="E28" s="762"/>
      <c r="I28" s="78">
        <f>datos!C249</f>
        <v>0</v>
      </c>
      <c r="J28" s="78">
        <f>datos!D249</f>
        <v>0</v>
      </c>
      <c r="K28" s="78">
        <f>datos!E249</f>
        <v>0</v>
      </c>
      <c r="L28" s="78">
        <f>datos!F249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datos!I243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datos!H243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datos!I243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datos!$H$247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datos!$I$247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datos!$H$248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datos!$I$248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datos!$H$249*100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datos!$I$249*100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datos!$H$247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datos!$I$247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datos!$H$248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datos!$I$248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datos!$H$249*100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datos!$I$249*100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datos!$H$247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datos!$I$247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datos!$H$248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datos!$I$248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datos!$H$249*100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datos!$I$249*100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datos!$H$247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datos!$I$247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datos!$H$248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datos!$I$248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datos!$H$249*100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datos!$I$249*100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datos!G260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datos!C252</f>
        <v>N/A</v>
      </c>
      <c r="J5" s="569" t="str">
        <f>datos!C253</f>
        <v>N/A</v>
      </c>
      <c r="K5" s="569" t="str">
        <f>datos!C254</f>
        <v>N/A</v>
      </c>
      <c r="L5" s="569" t="str">
        <f>datos!C255</f>
        <v>N/A</v>
      </c>
      <c r="M5" s="569" t="str">
        <f>datos!C256</f>
        <v>N/A</v>
      </c>
      <c r="N5" s="569" t="str">
        <f>datos!C257</f>
        <v>N/A</v>
      </c>
      <c r="O5" s="569" t="str">
        <f>datos!C258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datos!C252</f>
        <v>N/A</v>
      </c>
      <c r="J6" s="569" t="str">
        <f>datos!C253</f>
        <v>N/A</v>
      </c>
      <c r="K6" s="569" t="str">
        <f>datos!C254</f>
        <v>N/A</v>
      </c>
      <c r="L6" s="569" t="str">
        <f>datos!C255</f>
        <v>N/A</v>
      </c>
      <c r="M6" s="569" t="str">
        <f>datos!C256</f>
        <v>N/A</v>
      </c>
      <c r="N6" s="569" t="str">
        <f>datos!C257</f>
        <v>N/A</v>
      </c>
      <c r="O6" s="569" t="str">
        <f>datos!C258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datos!E260</f>
        <v>0</v>
      </c>
      <c r="D7" s="118" t="str">
        <f>datos!F260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datos!H260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datos!I260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datos!D259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datos!C263</f>
        <v>0</v>
      </c>
      <c r="J25" s="78">
        <f>datos!D263</f>
        <v>0</v>
      </c>
      <c r="K25" s="78">
        <f>datos!E263</f>
        <v>0</v>
      </c>
      <c r="L25" s="78">
        <f>datos!F263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datos!C264</f>
        <v>0</v>
      </c>
      <c r="J26" s="78">
        <f>datos!D264</f>
        <v>0</v>
      </c>
      <c r="K26" s="78">
        <f>datos!E264</f>
        <v>0</v>
      </c>
      <c r="L26" s="78">
        <f>datos!F264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datos!C265</f>
        <v>0</v>
      </c>
      <c r="J27" s="78">
        <f>datos!D265</f>
        <v>0</v>
      </c>
      <c r="K27" s="78">
        <f>datos!E265</f>
        <v>0</v>
      </c>
      <c r="L27" s="78">
        <f>datos!F265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datos!I260</f>
        <v>NI-MCPPT-06</v>
      </c>
      <c r="D28" s="761"/>
      <c r="E28" s="762"/>
      <c r="I28" s="78">
        <f>datos!C266</f>
        <v>0</v>
      </c>
      <c r="J28" s="78">
        <f>datos!D266</f>
        <v>0</v>
      </c>
      <c r="K28" s="78">
        <f>datos!E266</f>
        <v>0</v>
      </c>
      <c r="L28" s="78">
        <f>datos!F266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datos!I260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datos!H260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datos!I260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datos!H264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datos!I264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datos!H265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datos!I265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datos!H266*100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datos!I266*100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datos!H264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datos!I264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datos!H265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datos!I265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datos!H266*100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datos!I266*100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datos!H264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datos!I264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datos!H265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datos!I265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datos!H266*100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datos!I266*100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datos!H264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datos!I264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datos!H265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datos!I265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datos!H266*100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datos!I266*100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datos!G277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datos!C269</f>
        <v>N/A</v>
      </c>
      <c r="J5" s="569" t="str">
        <f>datos!C270</f>
        <v>N/A</v>
      </c>
      <c r="K5" s="569" t="str">
        <f>datos!C271</f>
        <v>N/A</v>
      </c>
      <c r="L5" s="569" t="str">
        <f>datos!C272</f>
        <v>N/A</v>
      </c>
      <c r="M5" s="569" t="str">
        <f>datos!C273</f>
        <v>N/A</v>
      </c>
      <c r="N5" s="569" t="str">
        <f>datos!C274</f>
        <v>N/A</v>
      </c>
      <c r="O5" s="569" t="str">
        <f>datos!C275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datos!C269</f>
        <v>N/A</v>
      </c>
      <c r="J6" s="569" t="str">
        <f>datos!C270</f>
        <v>N/A</v>
      </c>
      <c r="K6" s="569" t="str">
        <f>datos!C271</f>
        <v>N/A</v>
      </c>
      <c r="L6" s="569" t="str">
        <f>datos!C272</f>
        <v>N/A</v>
      </c>
      <c r="M6" s="569" t="str">
        <f>datos!C273</f>
        <v>N/A</v>
      </c>
      <c r="N6" s="569" t="str">
        <f>datos!C274</f>
        <v>N/A</v>
      </c>
      <c r="O6" s="569" t="str">
        <f>datos!C275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datos!E277</f>
        <v>0</v>
      </c>
      <c r="D7" s="118" t="str">
        <f>datos!F277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datos!H277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datos!I277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datos!D276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datos!C280</f>
        <v>0</v>
      </c>
      <c r="J25" s="78">
        <f>datos!D280</f>
        <v>0</v>
      </c>
      <c r="K25" s="78">
        <f>datos!E280</f>
        <v>0</v>
      </c>
      <c r="L25" s="78">
        <f>datos!F280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datos!C281</f>
        <v>0</v>
      </c>
      <c r="J26" s="78">
        <f>datos!D281</f>
        <v>0</v>
      </c>
      <c r="K26" s="78">
        <f>datos!E281</f>
        <v>0</v>
      </c>
      <c r="L26" s="78">
        <f>datos!F281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datos!C282</f>
        <v>0</v>
      </c>
      <c r="J27" s="78">
        <f>datos!D282</f>
        <v>0</v>
      </c>
      <c r="K27" s="78">
        <f>datos!E282</f>
        <v>0</v>
      </c>
      <c r="L27" s="78">
        <f>datos!F282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datos!I277</f>
        <v>NI-MCPPT-06</v>
      </c>
      <c r="D28" s="761"/>
      <c r="E28" s="762"/>
      <c r="I28" s="78">
        <f>datos!C283</f>
        <v>0</v>
      </c>
      <c r="J28" s="78">
        <f>datos!D283</f>
        <v>0</v>
      </c>
      <c r="K28" s="78">
        <f>datos!E283</f>
        <v>0</v>
      </c>
      <c r="L28" s="78">
        <f>datos!F283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datos!I277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datos!H277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datos!I277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datos!H281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datos!I281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datos!H282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datos!I282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datos!H283*100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datos!I283*100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datos!H281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datos!I281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datos!H282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datos!I282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datos!H283*100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datos!I283*100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datos!H281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datos!I281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datos!H282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datos!I282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datos!H283*100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datos!I283*100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datos!H281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datos!I281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datos!H282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datos!I282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datos!H283*100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datos!I283*100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datos!G294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datos!C286</f>
        <v>N/A</v>
      </c>
      <c r="J5" s="569" t="str">
        <f>datos!C287</f>
        <v>N/A</v>
      </c>
      <c r="K5" s="569" t="str">
        <f>datos!C288</f>
        <v>N/A</v>
      </c>
      <c r="L5" s="569" t="str">
        <f>datos!C289</f>
        <v>N/A</v>
      </c>
      <c r="M5" s="569" t="str">
        <f>datos!C290</f>
        <v>N/A</v>
      </c>
      <c r="N5" s="569" t="str">
        <f>datos!C291</f>
        <v>N/A</v>
      </c>
      <c r="O5" s="569" t="str">
        <f>datos!C292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datos!C286</f>
        <v>N/A</v>
      </c>
      <c r="J6" s="569" t="str">
        <f>datos!C287</f>
        <v>N/A</v>
      </c>
      <c r="K6" s="569" t="str">
        <f>datos!C288</f>
        <v>N/A</v>
      </c>
      <c r="L6" s="569" t="str">
        <f>datos!C289</f>
        <v>N/A</v>
      </c>
      <c r="M6" s="569" t="str">
        <f>datos!C290</f>
        <v>N/A</v>
      </c>
      <c r="N6" s="569" t="str">
        <f>datos!C291</f>
        <v>N/A</v>
      </c>
      <c r="O6" s="569" t="str">
        <f>datos!C292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datos!E294</f>
        <v>0</v>
      </c>
      <c r="D7" s="118" t="str">
        <f>datos!F294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datos!H294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datos!I294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datos!D293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datos!C297</f>
        <v>0</v>
      </c>
      <c r="J25" s="78">
        <f>datos!D297</f>
        <v>0</v>
      </c>
      <c r="K25" s="78">
        <f>datos!E297</f>
        <v>0</v>
      </c>
      <c r="L25" s="78">
        <f>datos!F297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datos!C298</f>
        <v>0</v>
      </c>
      <c r="J26" s="78">
        <f>datos!D298</f>
        <v>0</v>
      </c>
      <c r="K26" s="78">
        <f>datos!E298</f>
        <v>0</v>
      </c>
      <c r="L26" s="78">
        <f>datos!F298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datos!C299</f>
        <v>0</v>
      </c>
      <c r="J27" s="78">
        <f>datos!D299</f>
        <v>0</v>
      </c>
      <c r="K27" s="78">
        <f>datos!E299</f>
        <v>0</v>
      </c>
      <c r="L27" s="78">
        <f>datos!F299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datos!I294</f>
        <v>NI-MCPPT-06</v>
      </c>
      <c r="D28" s="761"/>
      <c r="E28" s="762"/>
      <c r="I28" s="78">
        <f>datos!C300</f>
        <v>0</v>
      </c>
      <c r="J28" s="78">
        <f>datos!D300</f>
        <v>0</v>
      </c>
      <c r="K28" s="78">
        <f>datos!E300</f>
        <v>0</v>
      </c>
      <c r="L28" s="78">
        <f>datos!F300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datos!I294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datos!H294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datos!I294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datos!H298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datos!I298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datos!H299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datos!I299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datos!H300*100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datos!I300*100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datos!H298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datos!I298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datos!H299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datos!I299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datos!H300*100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datos!I300*100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datos!H298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datos!I298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datos!H299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datos!I299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datos!H300*100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datos!I300*100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datos!H298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datos!I298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datos!H299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datos!I299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datos!H300*100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datos!I300*100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H4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datos!G311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datos!C303</f>
        <v>N/A</v>
      </c>
      <c r="J5" s="569" t="str">
        <f>datos!C304</f>
        <v>N/A</v>
      </c>
      <c r="K5" s="569" t="str">
        <f>datos!C305</f>
        <v>N/A</v>
      </c>
      <c r="L5" s="569" t="str">
        <f>datos!C306</f>
        <v>N/A</v>
      </c>
      <c r="M5" s="569" t="str">
        <f>datos!C307</f>
        <v>N/A</v>
      </c>
      <c r="N5" s="569" t="str">
        <f>datos!C308</f>
        <v>N/A</v>
      </c>
      <c r="O5" s="569" t="str">
        <f>datos!C309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datos!C303</f>
        <v>N/A</v>
      </c>
      <c r="J6" s="569" t="str">
        <f>datos!C304</f>
        <v>N/A</v>
      </c>
      <c r="K6" s="569" t="str">
        <f>datos!C305</f>
        <v>N/A</v>
      </c>
      <c r="L6" s="569" t="str">
        <f>datos!C306</f>
        <v>N/A</v>
      </c>
      <c r="M6" s="569" t="str">
        <f>datos!C307</f>
        <v>N/A</v>
      </c>
      <c r="N6" s="569" t="str">
        <f>datos!C308</f>
        <v>N/A</v>
      </c>
      <c r="O6" s="569" t="str">
        <f>datos!C309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datos!E311</f>
        <v>0</v>
      </c>
      <c r="D7" s="118" t="str">
        <f>datos!F311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datos!H311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datos!I311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datos!D310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datos!C314</f>
        <v>0</v>
      </c>
      <c r="J25" s="78">
        <f>datos!D314</f>
        <v>0</v>
      </c>
      <c r="K25" s="78">
        <f>datos!E314</f>
        <v>0</v>
      </c>
      <c r="L25" s="78">
        <f>datos!F314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datos!C315</f>
        <v>0</v>
      </c>
      <c r="J26" s="78">
        <f>datos!D315</f>
        <v>0</v>
      </c>
      <c r="K26" s="78">
        <f>datos!E315</f>
        <v>0</v>
      </c>
      <c r="L26" s="78">
        <f>datos!F315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datos!C316</f>
        <v>0</v>
      </c>
      <c r="J27" s="78">
        <f>datos!D316</f>
        <v>0</v>
      </c>
      <c r="K27" s="78">
        <f>datos!E316</f>
        <v>0</v>
      </c>
      <c r="L27" s="78">
        <f>datos!F316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datos!I311</f>
        <v>NI-MCPPT-06</v>
      </c>
      <c r="D28" s="761"/>
      <c r="E28" s="762"/>
      <c r="I28" s="78">
        <f>datos!C317</f>
        <v>0</v>
      </c>
      <c r="J28" s="78">
        <f>datos!D317</f>
        <v>0</v>
      </c>
      <c r="K28" s="78">
        <f>datos!E317</f>
        <v>0</v>
      </c>
      <c r="L28" s="78">
        <f>datos!F317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datos!I311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datos!H311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datos!I311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datos!H315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datos!I315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datos!H316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datos!I316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datos!H317*100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datos!I317*100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datos!H315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datos!I315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datos!H316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datos!I316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datos!H317*100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datos!I317*100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datos!H315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datos!I315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datos!H316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datos!I316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datos!H317*100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datos!I317*100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datos!H315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datos!I315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datos!H316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datos!I316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datos!H317*100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datos!I317*100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datos!G328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datos!C320</f>
        <v>N/A</v>
      </c>
      <c r="J5" s="569" t="str">
        <f>datos!C321</f>
        <v>N/A</v>
      </c>
      <c r="K5" s="569" t="str">
        <f>datos!C322</f>
        <v>N/A</v>
      </c>
      <c r="L5" s="569" t="str">
        <f>datos!C323</f>
        <v>N/A</v>
      </c>
      <c r="M5" s="569" t="str">
        <f>datos!C324</f>
        <v>N/A</v>
      </c>
      <c r="N5" s="569" t="str">
        <f>datos!C325</f>
        <v>N/A</v>
      </c>
      <c r="O5" s="569" t="str">
        <f>datos!C326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datos!C320</f>
        <v>N/A</v>
      </c>
      <c r="J6" s="569" t="str">
        <f>datos!C321</f>
        <v>N/A</v>
      </c>
      <c r="K6" s="569" t="str">
        <f>datos!C322</f>
        <v>N/A</v>
      </c>
      <c r="L6" s="569" t="str">
        <f>datos!C323</f>
        <v>N/A</v>
      </c>
      <c r="M6" s="569" t="str">
        <f>datos!C324</f>
        <v>N/A</v>
      </c>
      <c r="N6" s="569" t="str">
        <f>datos!C325</f>
        <v>N/A</v>
      </c>
      <c r="O6" s="569" t="str">
        <f>datos!C326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datos!$E$328</f>
        <v>0</v>
      </c>
      <c r="D7" s="118" t="str">
        <f>datos!F328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781" t="s">
        <v>272</v>
      </c>
      <c r="AY9" s="781"/>
      <c r="AZ9" s="781"/>
      <c r="BA9" s="289"/>
      <c r="BB9" s="181"/>
      <c r="BC9" s="175"/>
      <c r="BD9" s="378"/>
      <c r="BE9" s="781" t="s">
        <v>273</v>
      </c>
      <c r="BF9" s="781"/>
      <c r="BG9" s="781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datos!H328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datos!I328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datos!D327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datos!C331</f>
        <v>0</v>
      </c>
      <c r="J25" s="78">
        <f>datos!D331</f>
        <v>0</v>
      </c>
      <c r="K25" s="78">
        <f>datos!E331</f>
        <v>0</v>
      </c>
      <c r="L25" s="78">
        <f>datos!F331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datos!C332</f>
        <v>0</v>
      </c>
      <c r="J26" s="78">
        <f>datos!D332</f>
        <v>0</v>
      </c>
      <c r="K26" s="78">
        <f>datos!E332</f>
        <v>0</v>
      </c>
      <c r="L26" s="78">
        <f>datos!F332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datos!C333</f>
        <v>0</v>
      </c>
      <c r="J27" s="78">
        <f>datos!D333</f>
        <v>0</v>
      </c>
      <c r="K27" s="78">
        <f>datos!E333</f>
        <v>0</v>
      </c>
      <c r="L27" s="78">
        <f>datos!F333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datos!I328</f>
        <v>NI-MCPPT-06</v>
      </c>
      <c r="D28" s="761"/>
      <c r="E28" s="762"/>
      <c r="I28" s="78">
        <f>datos!C334</f>
        <v>0</v>
      </c>
      <c r="J28" s="78">
        <f>datos!D334</f>
        <v>0</v>
      </c>
      <c r="K28" s="78">
        <f>datos!E334</f>
        <v>0</v>
      </c>
      <c r="L28" s="78">
        <f>datos!F334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datos!I328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AD8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datos!H328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datos!I328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datos!$H$332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datos!$I$332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datos!$H$333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datos!$I$333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datos!$H$334*100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datos!$I$334*100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datos!$H$332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datos!$I$332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datos!$H$333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datos!$I$333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datos!$H$334*100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datos!$H$334*100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datos!$H$332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datos!$I$332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datos!$H$333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datos!$H$333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datos!$H$334*100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datos!$I$334*100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datos!$H$332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datos!$H$332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datos!$H$333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datos!$I$333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datos!$H$334*100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datos!$I$334*100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K1" zoomScale="70" zoomScaleNormal="70" workbookViewId="0">
      <selection activeCell="U21" sqref="U21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7" t="s">
        <v>114</v>
      </c>
      <c r="C1" s="758"/>
      <c r="D1" s="758"/>
      <c r="E1" s="759"/>
      <c r="W1" s="289"/>
    </row>
    <row r="2" spans="2:73" ht="17.25" customHeight="1" x14ac:dyDescent="0.25">
      <c r="B2" s="766" t="s">
        <v>36</v>
      </c>
      <c r="C2" s="760"/>
      <c r="D2" s="761"/>
      <c r="E2" s="762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7"/>
      <c r="C3" s="768" t="str">
        <f>datos!G345</f>
        <v>Acero Carbón</v>
      </c>
      <c r="D3" s="769"/>
      <c r="E3" s="770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71"/>
      <c r="D4" s="772"/>
      <c r="E4" s="773"/>
      <c r="T4" s="175"/>
      <c r="W4" s="289"/>
      <c r="X4" s="175"/>
      <c r="Y4" s="175"/>
      <c r="Z4" s="175"/>
      <c r="AA4" s="175"/>
      <c r="AB4" s="774" t="s">
        <v>216</v>
      </c>
      <c r="AC4" s="774"/>
      <c r="AD4" s="774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91"/>
      <c r="D5" s="792"/>
      <c r="E5" s="793"/>
      <c r="G5" s="176">
        <v>16</v>
      </c>
      <c r="H5" s="140" t="s">
        <v>151</v>
      </c>
      <c r="I5" s="569" t="str">
        <f>datos!C337</f>
        <v>N/A</v>
      </c>
      <c r="J5" s="569" t="str">
        <f>datos!C338</f>
        <v>N/A</v>
      </c>
      <c r="K5" s="569" t="str">
        <f>datos!C339</f>
        <v>N/A</v>
      </c>
      <c r="L5" s="569" t="str">
        <f>datos!C340</f>
        <v>N/A</v>
      </c>
      <c r="M5" s="569" t="str">
        <f>datos!C341</f>
        <v>N/A</v>
      </c>
      <c r="N5" s="569" t="str">
        <f>datos!C342</f>
        <v>N/A</v>
      </c>
      <c r="O5" s="569" t="str">
        <f>datos!C343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71"/>
      <c r="D6" s="772"/>
      <c r="E6" s="773"/>
      <c r="G6" s="141"/>
      <c r="H6" s="180"/>
      <c r="I6" s="569" t="str">
        <f>datos!C337</f>
        <v>N/A</v>
      </c>
      <c r="J6" s="569" t="str">
        <f>datos!C338</f>
        <v>N/A</v>
      </c>
      <c r="K6" s="569" t="str">
        <f>datos!C339</f>
        <v>N/A</v>
      </c>
      <c r="L6" s="569" t="str">
        <f>datos!C340</f>
        <v>N/A</v>
      </c>
      <c r="M6" s="569" t="str">
        <f>datos!C341</f>
        <v>N/A</v>
      </c>
      <c r="N6" s="569" t="str">
        <f>datos!C342</f>
        <v>N/A</v>
      </c>
      <c r="O6" s="569" t="str">
        <f>datos!C343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 t="e">
        <f>C35</f>
        <v>#N/A</v>
      </c>
      <c r="AC6" s="192" t="e">
        <f>C25</f>
        <v>#N/A</v>
      </c>
      <c r="AD6" s="192" t="e">
        <f>C30</f>
        <v>#N/A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datos!E345</f>
        <v>0</v>
      </c>
      <c r="D7" s="118" t="str">
        <f>datos!F345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 t="e">
        <f>C36</f>
        <v>#N/A</v>
      </c>
      <c r="AC7" s="192" t="e">
        <f>C26</f>
        <v>#N/A</v>
      </c>
      <c r="AD7" s="192" t="e">
        <f>C31</f>
        <v>#N/A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 t="e">
        <f>AVERAGE(AB6:AB7)</f>
        <v>#N/A</v>
      </c>
      <c r="AC8" s="366" t="e">
        <f>AVERAGE(AC6:AC7)</f>
        <v>#N/A</v>
      </c>
      <c r="AD8" s="366" t="e">
        <f>AVERAGE(AD6:AD7)</f>
        <v>#N/A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7" t="s">
        <v>121</v>
      </c>
      <c r="C9" s="758"/>
      <c r="D9" s="758"/>
      <c r="E9" s="759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81" t="s">
        <v>271</v>
      </c>
      <c r="AR9" s="781"/>
      <c r="AS9" s="781"/>
      <c r="AT9" s="289"/>
      <c r="AU9" s="181"/>
      <c r="AV9" s="175"/>
      <c r="AW9" s="378"/>
      <c r="AX9" s="806" t="s">
        <v>272</v>
      </c>
      <c r="AY9" s="807"/>
      <c r="AZ9" s="808"/>
      <c r="BA9" s="289"/>
      <c r="BB9" s="181"/>
      <c r="BC9" s="175"/>
      <c r="BD9" s="378"/>
      <c r="BE9" s="806" t="s">
        <v>273</v>
      </c>
      <c r="BF9" s="807"/>
      <c r="BG9" s="808"/>
      <c r="BH9" s="289"/>
      <c r="BI9" s="181"/>
      <c r="BJ9" s="175"/>
      <c r="BK9" s="378"/>
      <c r="BL9" s="781" t="s">
        <v>274</v>
      </c>
      <c r="BM9" s="781"/>
      <c r="BN9" s="781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82">
        <f>P7</f>
        <v>0</v>
      </c>
      <c r="D10" s="783"/>
      <c r="E10" s="784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5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 t="e">
        <f>AF48</f>
        <v>#N/A</v>
      </c>
      <c r="BN11" s="368" t="s">
        <v>278</v>
      </c>
      <c r="BO11" s="181"/>
      <c r="BP11" s="175"/>
      <c r="BQ11" s="175"/>
      <c r="BR11" s="175"/>
      <c r="BS11" s="175"/>
      <c r="BT11" s="775"/>
      <c r="BU11" s="289"/>
    </row>
    <row r="12" spans="2:73" ht="15.6" x14ac:dyDescent="0.25">
      <c r="B12" s="15" t="s">
        <v>134</v>
      </c>
      <c r="C12" s="785">
        <f>P9</f>
        <v>0</v>
      </c>
      <c r="D12" s="786"/>
      <c r="E12" s="787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 t="e">
        <f>G35</f>
        <v>#N/A</v>
      </c>
      <c r="AS12" s="368" t="s">
        <v>236</v>
      </c>
      <c r="AT12" s="289"/>
      <c r="AU12" s="181"/>
      <c r="AV12" s="175"/>
      <c r="AW12" s="378"/>
      <c r="AX12" s="366" t="s">
        <v>279</v>
      </c>
      <c r="AY12" s="366" t="e">
        <f>G25</f>
        <v>#N/A</v>
      </c>
      <c r="AZ12" s="368"/>
      <c r="BA12" s="289"/>
      <c r="BB12" s="181"/>
      <c r="BC12" s="175"/>
      <c r="BD12" s="378"/>
      <c r="BE12" s="366" t="s">
        <v>279</v>
      </c>
      <c r="BF12" s="192" t="e">
        <f>G30</f>
        <v>#N/A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5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485</v>
      </c>
      <c r="AR14" s="192" t="e">
        <f>MAX(AB6:AB7)</f>
        <v>#N/A</v>
      </c>
      <c r="AS14" s="368" t="s">
        <v>236</v>
      </c>
      <c r="AT14" s="289" t="s">
        <v>280</v>
      </c>
      <c r="AU14" s="181"/>
      <c r="AV14" s="175"/>
      <c r="AW14" s="378"/>
      <c r="AX14" s="366" t="s">
        <v>486</v>
      </c>
      <c r="AY14" s="477" t="e">
        <f>MAX(AC6:AC7)</f>
        <v>#N/A</v>
      </c>
      <c r="AZ14" s="368" t="s">
        <v>7</v>
      </c>
      <c r="BA14" s="289" t="s">
        <v>280</v>
      </c>
      <c r="BB14" s="181"/>
      <c r="BC14" s="175"/>
      <c r="BD14" s="378"/>
      <c r="BE14" s="366" t="s">
        <v>487</v>
      </c>
      <c r="BF14" s="477" t="e">
        <f>MAX(AD6:AD7)</f>
        <v>#N/A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7" t="s">
        <v>123</v>
      </c>
      <c r="C15" s="758"/>
      <c r="D15" s="758"/>
      <c r="E15" s="759"/>
      <c r="G15" s="144">
        <v>15</v>
      </c>
      <c r="H15" s="145" t="s">
        <v>374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 t="e">
        <f>AC8</f>
        <v>#N/A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488</v>
      </c>
      <c r="AR15" s="192" t="e">
        <f>MIN(AB6:AB7)</f>
        <v>#N/A</v>
      </c>
      <c r="AS15" s="368" t="s">
        <v>236</v>
      </c>
      <c r="AT15" s="366" t="e">
        <f>AVERAGE(AR14:AR15)</f>
        <v>#N/A</v>
      </c>
      <c r="AU15" s="181"/>
      <c r="AV15" s="175"/>
      <c r="AW15" s="378"/>
      <c r="AX15" s="366" t="s">
        <v>489</v>
      </c>
      <c r="AY15" s="477" t="e">
        <f>MIN(AC6:AC7)</f>
        <v>#N/A</v>
      </c>
      <c r="AZ15" s="368" t="s">
        <v>7</v>
      </c>
      <c r="BA15" s="477" t="e">
        <f>AVERAGE(AY14:AY15)</f>
        <v>#N/A</v>
      </c>
      <c r="BB15" s="181"/>
      <c r="BC15" s="175"/>
      <c r="BD15" s="378"/>
      <c r="BE15" s="366" t="s">
        <v>490</v>
      </c>
      <c r="BF15" s="477" t="e">
        <f>MIN(AD6:AD7)</f>
        <v>#N/A</v>
      </c>
      <c r="BG15" s="368" t="s">
        <v>42</v>
      </c>
      <c r="BH15" s="478" t="e">
        <f>AVERAGE(BF14:BF15)</f>
        <v>#N/A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8" t="str">
        <f>datos!H345</f>
        <v>NI-MCBAL-02</v>
      </c>
      <c r="D16" s="789"/>
      <c r="E16" s="790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 t="e">
        <f>Y15^2</f>
        <v>#N/A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 t="e">
        <f>273.15+BA15</f>
        <v>#N/A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 t="e">
        <f>BM12*BM11</f>
        <v>#N/A</v>
      </c>
      <c r="BN16" s="289"/>
      <c r="BO16" s="181"/>
      <c r="BP16" s="175"/>
      <c r="BQ16" s="175"/>
      <c r="BR16" s="175"/>
      <c r="BS16" s="175"/>
      <c r="BT16" s="775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 t="e">
        <f>AB8</f>
        <v>#N/A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5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 t="e">
        <f>Y17^2</f>
        <v>#N/A</v>
      </c>
      <c r="Z18" s="368" t="s">
        <v>236</v>
      </c>
      <c r="AA18" s="289"/>
      <c r="AB18" s="181"/>
      <c r="AC18" s="175"/>
      <c r="AD18" s="378"/>
      <c r="AE18" s="366" t="s">
        <v>241</v>
      </c>
      <c r="AF18" s="379" t="e">
        <f>Y16</f>
        <v>#N/A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 t="e">
        <f>AR12/AR13</f>
        <v>#N/A</v>
      </c>
      <c r="AS18" s="394" t="s">
        <v>236</v>
      </c>
      <c r="AT18" s="289"/>
      <c r="AU18" s="181"/>
      <c r="AV18" s="175"/>
      <c r="AW18" s="378"/>
      <c r="AX18" s="289"/>
      <c r="AY18" s="393" t="e">
        <f>AY12/AY13</f>
        <v>#N/A</v>
      </c>
      <c r="AZ18" s="394" t="s">
        <v>7</v>
      </c>
      <c r="BA18" s="289"/>
      <c r="BB18" s="181"/>
      <c r="BC18" s="175"/>
      <c r="BD18" s="378"/>
      <c r="BE18" s="289"/>
      <c r="BF18" s="393" t="e">
        <f>BF12/BF13</f>
        <v>#N/A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 t="e">
        <f>AC8+273.15</f>
        <v>#N/A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 t="e">
        <f>Y19</f>
        <v>#N/A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 t="e">
        <f>Y19^2</f>
        <v>#N/A</v>
      </c>
      <c r="Z20" s="368" t="s">
        <v>243</v>
      </c>
      <c r="AA20" s="289"/>
      <c r="AB20" s="181"/>
      <c r="AC20" s="175"/>
      <c r="AD20" s="378"/>
      <c r="AE20" s="191" t="s">
        <v>246</v>
      </c>
      <c r="AF20" s="381" t="e">
        <f>AF15+(AF16*Y17)+(AF17*AF18)</f>
        <v>#N/A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5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 t="e">
        <f>1*EXP((AL15*(AL19^2))+(AL16*Y19)+AL17+(AL18/AL19))</f>
        <v>#N/A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5"/>
      <c r="BU21" s="408"/>
    </row>
    <row r="22" spans="2:73" ht="14.4" customHeight="1" thickTop="1" x14ac:dyDescent="0.3">
      <c r="B22" s="757" t="s">
        <v>172</v>
      </c>
      <c r="C22" s="758"/>
      <c r="D22" s="758"/>
      <c r="E22" s="759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9" t="s">
        <v>300</v>
      </c>
      <c r="Q22" s="780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5"/>
      <c r="BU22" s="408"/>
    </row>
    <row r="23" spans="2:73" ht="15.6" x14ac:dyDescent="0.3">
      <c r="B23" s="10" t="s">
        <v>125</v>
      </c>
      <c r="C23" s="135" t="str">
        <f>datos!I345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datos!D344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1425</v>
      </c>
      <c r="C24" s="120">
        <f>VLOOKUP(I332,I336:U343,4,FALSE)</f>
        <v>0.1</v>
      </c>
      <c r="D24" s="127"/>
      <c r="E24" s="123"/>
      <c r="I24" s="162" t="str">
        <f>datos!C347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470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 t="e">
        <f>(AY14-AY15)/SQRT(24)</f>
        <v>#N/A</v>
      </c>
      <c r="AZ24" s="394" t="s">
        <v>7</v>
      </c>
      <c r="BA24" s="289"/>
      <c r="BB24" s="181"/>
      <c r="BC24" s="175"/>
      <c r="BD24" s="378"/>
      <c r="BE24" s="289"/>
      <c r="BF24" s="399" t="e">
        <f>(BF14-BF15)/SQRT(24)</f>
        <v>#N/A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1426</v>
      </c>
      <c r="C25" s="138" t="e">
        <f>IF(I332="NI-MCPPT-01",I352+J352,IF(I332="NI-MCPPT-02",I406+J406,IF(I332="NI-MCPPT-06",I459+J459," Error ")))</f>
        <v>#N/A</v>
      </c>
      <c r="D25" s="118" t="s">
        <v>120</v>
      </c>
      <c r="E25" s="138" t="e">
        <f>IF(I332="NI-MCPPT-01",MAX(K351:K353),IF(I332="NI-MCPPT-02",MAX(K405:K407),IF(I332="NI-MCPPT-06",MAX(K458:K460)," Error ")))</f>
        <v>#N/A</v>
      </c>
      <c r="F25" s="191" t="s">
        <v>280</v>
      </c>
      <c r="G25" s="192" t="e">
        <f>AVERAGE(E25:E26)</f>
        <v>#N/A</v>
      </c>
      <c r="I25" s="78">
        <f>datos!C348</f>
        <v>0</v>
      </c>
      <c r="J25" s="78">
        <f>datos!D348</f>
        <v>0</v>
      </c>
      <c r="K25" s="78">
        <f>datos!E348</f>
        <v>0</v>
      </c>
      <c r="L25" s="78">
        <f>datos!F348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 t="e">
        <f>(AR14-AR15)/SQRT(24)</f>
        <v>#N/A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5" t="s">
        <v>283</v>
      </c>
      <c r="BU25" s="408"/>
    </row>
    <row r="26" spans="2:73" ht="14.4" customHeight="1" thickBot="1" x14ac:dyDescent="0.35">
      <c r="B26" s="11" t="s">
        <v>1427</v>
      </c>
      <c r="C26" s="138" t="e">
        <f>IF(I332="NI-MCPPT-01",N352+O352,IF(I332="NI-MCPPT-02",N406+O406,IF(I332="NI-MCPPT-06",N459+O459," Error ")))</f>
        <v>#N/A</v>
      </c>
      <c r="D26" s="118" t="s">
        <v>120</v>
      </c>
      <c r="E26" s="138" t="e">
        <f>IF(I332="NI-MCPPT-01",MAX(P351:P353),IF(I332="NI-MCPPT-02",MAX(P405:P407),IF(I332="NI-MCPPT-06",MAX(P458:P460)," Error ")))</f>
        <v>#N/A</v>
      </c>
      <c r="F26" s="474"/>
      <c r="I26" s="78">
        <f>datos!C349</f>
        <v>0</v>
      </c>
      <c r="J26" s="78">
        <f>datos!D349</f>
        <v>0</v>
      </c>
      <c r="K26" s="78">
        <f>datos!E349</f>
        <v>0</v>
      </c>
      <c r="L26" s="78">
        <f>datos!F349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5"/>
      <c r="BU26" s="408"/>
    </row>
    <row r="27" spans="2:73" ht="15" thickTop="1" x14ac:dyDescent="0.3">
      <c r="B27" s="757" t="s">
        <v>189</v>
      </c>
      <c r="C27" s="758"/>
      <c r="D27" s="758"/>
      <c r="E27" s="759"/>
      <c r="I27" s="78">
        <f>datos!C350</f>
        <v>0</v>
      </c>
      <c r="J27" s="78">
        <f>datos!D350</f>
        <v>0</v>
      </c>
      <c r="K27" s="78">
        <f>datos!E350</f>
        <v>0</v>
      </c>
      <c r="L27" s="78">
        <f>datos!F350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5"/>
      <c r="BU27" s="289"/>
    </row>
    <row r="28" spans="2:73" ht="15.6" x14ac:dyDescent="0.3">
      <c r="B28" s="10" t="s">
        <v>126</v>
      </c>
      <c r="C28" s="760" t="str">
        <f>datos!I345</f>
        <v>NI-MCPPT-06</v>
      </c>
      <c r="D28" s="761"/>
      <c r="E28" s="762"/>
      <c r="I28" s="78">
        <f>datos!C351</f>
        <v>0</v>
      </c>
      <c r="J28" s="78">
        <f>datos!D351</f>
        <v>0</v>
      </c>
      <c r="K28" s="78">
        <f>datos!E351</f>
        <v>0</v>
      </c>
      <c r="L28" s="78">
        <f>datos!F351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 t="e">
        <f>SQRT((AR18^2)+(AR21^2)+(AR25^2))</f>
        <v>#N/A</v>
      </c>
      <c r="AU28" s="398" t="s">
        <v>236</v>
      </c>
      <c r="AV28" s="175"/>
      <c r="AW28" s="378"/>
      <c r="AX28" s="289"/>
      <c r="AY28" s="289"/>
      <c r="AZ28" s="289"/>
      <c r="BA28" s="397" t="e">
        <f>SQRT((AY18^2)+(AY21^2)+(AY24^2))</f>
        <v>#N/A</v>
      </c>
      <c r="BB28" s="398" t="s">
        <v>7</v>
      </c>
      <c r="BC28" s="175"/>
      <c r="BD28" s="378"/>
      <c r="BE28" s="289"/>
      <c r="BF28" s="289"/>
      <c r="BG28" s="289"/>
      <c r="BH28" s="400" t="e">
        <f>SQRT((BF18^2)+(BF21^2)+(BF24^2))</f>
        <v>#N/A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1428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472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 t="e">
        <f>BH28/100</f>
        <v>#N/A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1429</v>
      </c>
      <c r="C30" s="138" t="e">
        <f>IF(I332="NI-MCPPT-01",I370+J370,IF(I332="NI-MCPPT-02",I424+J424,IF(I332="NI-MCPPT-06",I477+J477," Error ")))</f>
        <v>#N/A</v>
      </c>
      <c r="D30" s="118" t="s">
        <v>120</v>
      </c>
      <c r="E30" s="138" t="e">
        <f>IF(I332="NI-MCPPT-01",MAX(K369:K371),IF(I332="NI-MCPPT-02",MAX(K423:K425),IF(I332="NI-MCPPT-06",MAX(K476:K478)," Error ")))</f>
        <v>#N/A</v>
      </c>
      <c r="F30" s="191" t="s">
        <v>280</v>
      </c>
      <c r="G30" s="192" t="e">
        <f>AVERAGE(E30:E31)</f>
        <v>#N/A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473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1430</v>
      </c>
      <c r="C31" s="138" t="e">
        <f>IF(I332="NI-MCPPT-01",N370+O370,IF(I332="NI-MCPPT-02",N424+O424,IF(I332="NI-MCPPT-06",N477+O477," Error ")))</f>
        <v>#N/A</v>
      </c>
      <c r="D31" s="118" t="s">
        <v>120</v>
      </c>
      <c r="E31" s="138" t="e">
        <f>IF(I332="NI-MCPPT-01",MAX(P369:P371),IF(I332="NI-MCPPT-02",MAX(P423:P425),IF(I332="NI-MCPPT-06",MAX(P476:P478)," Error ")))</f>
        <v>#N/A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 t="e">
        <f>1-(Y17/Y19)*(Y21+(Y22*Y15)+(Y23*Y16)+((Y24+(Y25*Y15))*Y45)+((Y26+(Y27*Y15))*Y46))+(Y18/Y20)*((Y28+(Y29*Y46)))</f>
        <v>#N/A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5" t="s">
        <v>284</v>
      </c>
      <c r="AR31" s="755"/>
      <c r="AS31" s="755"/>
      <c r="AT31" s="179"/>
      <c r="AU31" s="175"/>
      <c r="AV31" s="377"/>
      <c r="AW31" s="756" t="s">
        <v>177</v>
      </c>
      <c r="AX31" s="756"/>
      <c r="AY31" s="756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 t="e">
        <f>-AF48/AF43</f>
        <v>#N/A</v>
      </c>
    </row>
    <row r="32" spans="2:73" ht="15.6" thickTop="1" x14ac:dyDescent="0.25">
      <c r="B32" s="757" t="s">
        <v>331</v>
      </c>
      <c r="C32" s="758"/>
      <c r="D32" s="758"/>
      <c r="E32" s="759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60" t="str">
        <f>datos!I345</f>
        <v>NI-MCPPT-06</v>
      </c>
      <c r="D33" s="761"/>
      <c r="E33" s="762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5" t="s">
        <v>287</v>
      </c>
      <c r="BU33" s="131"/>
    </row>
    <row r="34" spans="2:73" ht="16.2" thickTop="1" thickBot="1" x14ac:dyDescent="0.3">
      <c r="B34" s="10" t="s">
        <v>1431</v>
      </c>
      <c r="C34" s="120">
        <f>VLOOKUP(Y333,X334:AB342,5,FALSE)</f>
        <v>100</v>
      </c>
      <c r="D34" s="127"/>
      <c r="E34" s="123"/>
      <c r="Q34" s="776" t="s">
        <v>190</v>
      </c>
      <c r="R34" s="777"/>
      <c r="S34" s="778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5"/>
      <c r="BU34" s="131">
        <v>1</v>
      </c>
    </row>
    <row r="35" spans="2:73" ht="27" thickTop="1" x14ac:dyDescent="0.25">
      <c r="B35" s="11" t="s">
        <v>1432</v>
      </c>
      <c r="C35" s="138" t="e">
        <f>IF(I332="NI-MCPPT-06",I492+J492," Error ")</f>
        <v>#N/A</v>
      </c>
      <c r="D35" s="118" t="s">
        <v>120</v>
      </c>
      <c r="E35" s="138" t="e">
        <f>IF(I332="NI-MCPPT-06",MAX(K491:K493)," Error ")</f>
        <v>#N/A</v>
      </c>
      <c r="F35" s="191" t="s">
        <v>280</v>
      </c>
      <c r="G35" s="192" t="e">
        <f>AVERAGE(E35:E36)</f>
        <v>#N/A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 t="e">
        <f>AB8</f>
        <v>#N/A</v>
      </c>
      <c r="AS35" s="368" t="s">
        <v>236</v>
      </c>
      <c r="AT35" s="181"/>
      <c r="AU35" s="175"/>
      <c r="AV35" s="378"/>
      <c r="AW35" s="366" t="s">
        <v>185</v>
      </c>
      <c r="AX35" s="405" t="e">
        <f>AT28</f>
        <v>#N/A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5"/>
      <c r="BU35" s="131"/>
    </row>
    <row r="36" spans="2:73" ht="15.6" thickBot="1" x14ac:dyDescent="0.3">
      <c r="B36" s="17" t="s">
        <v>1433</v>
      </c>
      <c r="C36" s="138" t="e">
        <f>IF(I332="NI-MCPPT-06",N492+O492," Error ")</f>
        <v>#N/A</v>
      </c>
      <c r="D36" s="139" t="s">
        <v>120</v>
      </c>
      <c r="E36" s="138" t="e">
        <f>IF(I332="NI-MCPPT-06",MAX(P491:P493)," Error ")</f>
        <v>#N/A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 t="e">
        <f>BA28</f>
        <v>#N/A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 t="e">
        <f>Y31</f>
        <v>#N/A</v>
      </c>
      <c r="AS37" s="368"/>
      <c r="AT37" s="181"/>
      <c r="AU37" s="175"/>
      <c r="AV37" s="378"/>
      <c r="AW37" s="366" t="s">
        <v>288</v>
      </c>
      <c r="AX37" s="405" t="e">
        <f>BH29</f>
        <v>#N/A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3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 t="e">
        <f>BM16</f>
        <v>#N/A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4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 t="e">
        <f>Y19</f>
        <v>#N/A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5">
        <f>C39-C38</f>
        <v>0</v>
      </c>
      <c r="D40" s="765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 t="e">
        <f>AD8/100</f>
        <v>#N/A</v>
      </c>
      <c r="Z40" s="289"/>
      <c r="AA40" s="289"/>
      <c r="AB40" s="181"/>
      <c r="AC40" s="175"/>
      <c r="AD40" s="378"/>
      <c r="AE40" s="366" t="s">
        <v>235</v>
      </c>
      <c r="AF40" s="366" t="e">
        <f>AB8</f>
        <v>#N/A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 t="e">
        <f>Y45</f>
        <v>#N/A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 t="e">
        <f>AF20</f>
        <v>#N/A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 t="e">
        <f>AL21</f>
        <v>#N/A</v>
      </c>
      <c r="Z42" s="289"/>
      <c r="AA42" s="388"/>
      <c r="AB42" s="389"/>
      <c r="AC42" s="301"/>
      <c r="AD42" s="378"/>
      <c r="AE42" s="366" t="s">
        <v>262</v>
      </c>
      <c r="AF42" s="387" t="e">
        <f>Y31</f>
        <v>#N/A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 t="e">
        <f>AF20</f>
        <v>#N/A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7" t="s">
        <v>292</v>
      </c>
      <c r="BR42" s="728"/>
      <c r="BS42" s="729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 t="e">
        <f>AB8</f>
        <v>#N/A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 t="e">
        <f>AL21</f>
        <v>#N/A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30"/>
      <c r="BR43" s="731"/>
      <c r="BS43" s="732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 t="e">
        <f>Y19</f>
        <v>#N/A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7" t="s">
        <v>293</v>
      </c>
      <c r="BR44" s="748"/>
      <c r="BS44" s="749"/>
      <c r="BT44" s="175"/>
      <c r="BU44" s="175"/>
    </row>
    <row r="45" spans="2:73" ht="25.8" thickBot="1" x14ac:dyDescent="0.35">
      <c r="B45" s="753" t="s">
        <v>301</v>
      </c>
      <c r="C45" s="753"/>
      <c r="D45" s="754" t="s">
        <v>302</v>
      </c>
      <c r="E45" s="754"/>
      <c r="F45" s="754"/>
      <c r="G45" s="754" t="s">
        <v>303</v>
      </c>
      <c r="H45" s="754"/>
      <c r="I45" s="754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 t="e">
        <f>((Y40*Y41)*(Y42/Y43))</f>
        <v>#N/A</v>
      </c>
      <c r="Z45" s="289"/>
      <c r="AA45" s="289"/>
      <c r="AB45" s="181"/>
      <c r="AC45" s="175"/>
      <c r="AD45" s="378"/>
      <c r="AE45" s="366" t="s">
        <v>268</v>
      </c>
      <c r="AF45" s="390" t="e">
        <f>Y45</f>
        <v>#N/A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50"/>
      <c r="BR45" s="751"/>
      <c r="BS45" s="752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7" t="s">
        <v>338</v>
      </c>
      <c r="E46" s="708"/>
      <c r="F46" s="304" t="e">
        <f>(1-((C52-1.2)/C56))/(1-((C52-1.2)/C54))</f>
        <v>#N/A</v>
      </c>
      <c r="G46" s="794" t="s">
        <v>344</v>
      </c>
      <c r="H46" s="795"/>
      <c r="I46" s="305">
        <f>SQRT(C12^2+P12^2)</f>
        <v>0</v>
      </c>
      <c r="J46" s="306" t="e">
        <f>I46*F46</f>
        <v>#N/A</v>
      </c>
      <c r="K46" s="709" t="e">
        <f>(100*(J46^2)/($C$63^2))</f>
        <v>#N/A</v>
      </c>
      <c r="L46" s="796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 t="e">
        <f>Y45^2</f>
        <v>#N/A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5" t="e">
        <f>BU12*AF48</f>
        <v>#N/A</v>
      </c>
      <c r="AT46" s="181"/>
      <c r="AU46" s="175"/>
      <c r="AV46" s="378"/>
      <c r="AW46" s="726" t="e">
        <f>SQRT((AS46*AX35)^2+(AS49*AX36)^2+(AS52*AX37)^2+(AX38^2)+(AS57*BR41)^2)</f>
        <v>#N/A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8" t="s">
        <v>307</v>
      </c>
      <c r="H47" s="799"/>
      <c r="I47" s="312" t="s">
        <v>119</v>
      </c>
      <c r="J47" s="313"/>
      <c r="K47" s="710"/>
      <c r="L47" s="797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6"/>
      <c r="AT47" s="181"/>
      <c r="AU47" s="175"/>
      <c r="AV47" s="378"/>
      <c r="AW47" s="726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7" t="s">
        <v>294</v>
      </c>
      <c r="BR47" s="718"/>
      <c r="BS47" s="719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7" t="s">
        <v>339</v>
      </c>
      <c r="E48" s="708"/>
      <c r="F48" s="315" t="e">
        <f>(C50/(1-(C52-1.2)/C54))</f>
        <v>#DIV/0!</v>
      </c>
      <c r="G48" s="707" t="s">
        <v>345</v>
      </c>
      <c r="H48" s="708"/>
      <c r="I48" s="316">
        <f>M32/SQRT(COUNT(M25:M28))</f>
        <v>0</v>
      </c>
      <c r="J48" s="317" t="e">
        <f>+F48*I48</f>
        <v>#DIV/0!</v>
      </c>
      <c r="K48" s="709" t="e">
        <f>(100*(J48^2)/($C$63^2))</f>
        <v>#DIV/0!</v>
      </c>
      <c r="L48" s="711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 t="e">
        <f>(AF40*AF41)/((AF42*AF43)*AF44)*(1-AF45*(1-(AF46/AF41)))</f>
        <v>#N/A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20"/>
      <c r="BR48" s="721"/>
      <c r="BS48" s="722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3" t="s">
        <v>346</v>
      </c>
      <c r="H49" s="724"/>
      <c r="I49" s="312" t="s">
        <v>119</v>
      </c>
      <c r="J49" s="313"/>
      <c r="K49" s="710"/>
      <c r="L49" s="712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5" t="e">
        <f>BU16*AF48</f>
        <v>#N/A</v>
      </c>
      <c r="AT49" s="181"/>
      <c r="AU49" s="175"/>
      <c r="AV49" s="366" t="e">
        <f>AW46*2</f>
        <v>#N/A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7" t="s">
        <v>296</v>
      </c>
      <c r="BR49" s="728"/>
      <c r="BS49" s="729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6" t="s">
        <v>340</v>
      </c>
      <c r="E50" s="736"/>
      <c r="F50" s="322" t="e">
        <f>(C48/(1-(C52-1.2)/C54))</f>
        <v>#N/A</v>
      </c>
      <c r="G50" s="737" t="s">
        <v>347</v>
      </c>
      <c r="H50" s="738"/>
      <c r="I50" s="323" t="e">
        <f>N30</f>
        <v>#DIV/0!</v>
      </c>
      <c r="J50" s="324" t="e">
        <f>F50*I50</f>
        <v>#N/A</v>
      </c>
      <c r="K50" s="709" t="e">
        <f>(100*(J50^2)/($C$63^2))</f>
        <v>#N/A</v>
      </c>
      <c r="L50" s="711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6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30"/>
      <c r="BR50" s="731"/>
      <c r="BS50" s="732"/>
      <c r="BT50" s="175"/>
      <c r="BU50" s="175"/>
    </row>
    <row r="51" spans="2:73" ht="18.600000000000001" x14ac:dyDescent="0.25">
      <c r="B51" s="325"/>
      <c r="C51" s="308" t="s">
        <v>310</v>
      </c>
      <c r="D51" s="741" t="s">
        <v>312</v>
      </c>
      <c r="E51" s="742"/>
      <c r="F51" s="326" t="s">
        <v>313</v>
      </c>
      <c r="G51" s="743" t="s">
        <v>348</v>
      </c>
      <c r="H51" s="744"/>
      <c r="I51" s="308" t="s">
        <v>119</v>
      </c>
      <c r="J51" s="327"/>
      <c r="K51" s="710"/>
      <c r="L51" s="712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30"/>
      <c r="BR51" s="731"/>
      <c r="BS51" s="732"/>
      <c r="BT51" s="175"/>
      <c r="BU51" s="175"/>
    </row>
    <row r="52" spans="2:73" ht="19.2" thickBot="1" x14ac:dyDescent="0.3">
      <c r="B52" s="328" t="s">
        <v>335</v>
      </c>
      <c r="C52" s="314" t="e">
        <f>AF48</f>
        <v>#N/A</v>
      </c>
      <c r="D52" s="707" t="s">
        <v>341</v>
      </c>
      <c r="E52" s="708"/>
      <c r="F52" s="329" t="e">
        <f>(((C46*(-1/C56))*(1-((C52-1.2)/C54)))-((C46*(1-((C52-1.2)/C56))+(C48*C50))*(-1/C54)))/(1-((C52-1.2)/C54))^2</f>
        <v>#DIV/0!</v>
      </c>
      <c r="G52" s="707" t="s">
        <v>349</v>
      </c>
      <c r="H52" s="708"/>
      <c r="I52" s="330" t="e">
        <f>AW46</f>
        <v>#N/A</v>
      </c>
      <c r="J52" s="331" t="e">
        <f>+F52*I52</f>
        <v>#DIV/0!</v>
      </c>
      <c r="K52" s="709" t="e">
        <f>(100*(J52^2)/($C$63^2))</f>
        <v>#DIV/0!</v>
      </c>
      <c r="L52" s="745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5" t="e">
        <f>BU23*AF48</f>
        <v>#N/A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3"/>
      <c r="BR52" s="734"/>
      <c r="BS52" s="735"/>
      <c r="BT52" s="175"/>
      <c r="BU52" s="175"/>
    </row>
    <row r="53" spans="2:73" x14ac:dyDescent="0.25">
      <c r="B53" s="332" t="s">
        <v>314</v>
      </c>
      <c r="C53" s="308" t="s">
        <v>315</v>
      </c>
      <c r="D53" s="739"/>
      <c r="E53" s="740"/>
      <c r="F53" s="308" t="s">
        <v>316</v>
      </c>
      <c r="G53" s="309"/>
      <c r="H53" s="310"/>
      <c r="I53" s="312" t="s">
        <v>119</v>
      </c>
      <c r="J53" s="313"/>
      <c r="K53" s="710"/>
      <c r="L53" s="746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6"/>
      <c r="AT53" s="181"/>
      <c r="AU53" s="175"/>
      <c r="AV53" s="378"/>
      <c r="AW53" s="405">
        <f>'[8]densidad del aire'!BU51</f>
        <v>0</v>
      </c>
      <c r="AX53" s="368" t="s">
        <v>120</v>
      </c>
      <c r="AY53" s="405" t="e">
        <f>AV49</f>
        <v>#N/A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7" t="s">
        <v>342</v>
      </c>
      <c r="E54" s="708"/>
      <c r="F54" s="334" t="e">
        <f>-((C46*((1-((C52-1.2)/C56)))+(C48*C50))*((C52-1.2)/C54^2))/(1-((C52-1.2)/C54))^2</f>
        <v>#N/A</v>
      </c>
      <c r="G54" s="800" t="s">
        <v>350</v>
      </c>
      <c r="H54" s="708"/>
      <c r="I54" s="335">
        <f>E8</f>
        <v>100</v>
      </c>
      <c r="J54" s="336" t="e">
        <f>+F54*I54</f>
        <v>#N/A</v>
      </c>
      <c r="K54" s="709" t="e">
        <f>(100*(J54^2)/($C$63^2))</f>
        <v>#N/A</v>
      </c>
      <c r="L54" s="711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3"/>
      <c r="E55" s="744"/>
      <c r="F55" s="308" t="s">
        <v>315</v>
      </c>
      <c r="G55" s="801"/>
      <c r="H55" s="802"/>
      <c r="I55" s="312" t="s">
        <v>119</v>
      </c>
      <c r="J55" s="313"/>
      <c r="K55" s="710"/>
      <c r="L55" s="712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7" t="s">
        <v>343</v>
      </c>
      <c r="E56" s="708"/>
      <c r="F56" s="334" t="e">
        <f>((C46*((C52-1.2)/C56^2))*(1-((C52-1.2)/C54)))/(1-((C52-1.2)/C54))^2</f>
        <v>#N/A</v>
      </c>
      <c r="G56" s="707" t="s">
        <v>351</v>
      </c>
      <c r="H56" s="708"/>
      <c r="I56" s="340" t="e">
        <f>E13</f>
        <v>#DIV/0!</v>
      </c>
      <c r="J56" s="336" t="e">
        <f>+F56*I56</f>
        <v>#N/A</v>
      </c>
      <c r="K56" s="709" t="e">
        <f>(100*(J56^2)/($C$63^2))</f>
        <v>#N/A</v>
      </c>
      <c r="L56" s="711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3"/>
      <c r="E57" s="714"/>
      <c r="F57" s="341" t="s">
        <v>315</v>
      </c>
      <c r="G57" s="715"/>
      <c r="H57" s="716"/>
      <c r="I57" s="341" t="s">
        <v>119</v>
      </c>
      <c r="J57" s="342"/>
      <c r="K57" s="710"/>
      <c r="L57" s="712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5" t="e">
        <f>BU31</f>
        <v>#N/A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3" t="s">
        <v>319</v>
      </c>
      <c r="H58" s="804"/>
      <c r="I58" s="805"/>
      <c r="J58" s="348">
        <f>C18</f>
        <v>28.867513459481291</v>
      </c>
      <c r="K58" s="349" t="e">
        <f>(100*(J58^2)/($C$63^2))</f>
        <v>#N/A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6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9"/>
      <c r="G59" s="699"/>
      <c r="H59" s="699"/>
      <c r="I59" s="352"/>
      <c r="J59" s="353"/>
      <c r="K59" s="354" t="e">
        <f>SUM(K46:K58)</f>
        <v>#N/A</v>
      </c>
      <c r="L59" s="355" t="e">
        <f>(C63^4)/(((J46^4)/L46)+((J48^4)/L48)+((J50^4)/L50)+((J52^4)/L52)+((J54^4)/L54)+0+((J56^4)/L56)+((J58^4)/L58))</f>
        <v>#N/A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700" t="s">
        <v>323</v>
      </c>
      <c r="C62" s="701"/>
      <c r="D62" s="701"/>
      <c r="E62" s="702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#N/A</v>
      </c>
      <c r="D63" s="272" t="s">
        <v>324</v>
      </c>
      <c r="E63" s="273" t="s">
        <v>325</v>
      </c>
      <c r="J63" s="194" t="s">
        <v>322</v>
      </c>
      <c r="K63" s="41" t="e">
        <f>L59</f>
        <v>#N/A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#N/A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#N/A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#N/A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3" t="s">
        <v>320</v>
      </c>
      <c r="C66" s="701"/>
      <c r="D66" s="701"/>
      <c r="E66" s="702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#N/A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4" t="s">
        <v>321</v>
      </c>
      <c r="C71" s="705"/>
      <c r="D71" s="705"/>
      <c r="E71" s="705"/>
      <c r="F71" s="705"/>
      <c r="G71" s="705"/>
      <c r="H71" s="705"/>
      <c r="I71" s="705"/>
      <c r="J71" s="705"/>
      <c r="K71" s="705"/>
      <c r="L71" s="705"/>
      <c r="M71" s="705"/>
      <c r="N71" s="705"/>
      <c r="O71" s="705"/>
      <c r="P71" s="705"/>
      <c r="Q71" s="705"/>
      <c r="R71" s="705"/>
      <c r="S71" s="705"/>
      <c r="T71" s="705"/>
      <c r="U71" s="705"/>
      <c r="V71" s="705"/>
      <c r="W71" s="706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529</v>
      </c>
      <c r="M94" s="201" t="s">
        <v>711</v>
      </c>
      <c r="N94" s="201" t="s">
        <v>530</v>
      </c>
      <c r="O94" s="201" t="s">
        <v>710</v>
      </c>
      <c r="P94" s="201" t="s">
        <v>531</v>
      </c>
      <c r="Q94" s="201" t="s">
        <v>733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532</v>
      </c>
      <c r="X94" s="201" t="s">
        <v>297</v>
      </c>
      <c r="Y94" s="201" t="s">
        <v>533</v>
      </c>
      <c r="Z94" s="201" t="s">
        <v>534</v>
      </c>
      <c r="AF94" s="686" t="s">
        <v>18</v>
      </c>
      <c r="AG94" s="686"/>
      <c r="AH94" s="686"/>
      <c r="AI94" s="686"/>
      <c r="AJ94" s="686"/>
      <c r="AK94" s="686"/>
      <c r="AL94" s="686"/>
      <c r="AM94" s="686"/>
      <c r="AQ94" s="686" t="s">
        <v>18</v>
      </c>
      <c r="AR94" s="686"/>
      <c r="AS94" s="686"/>
      <c r="AT94" s="686"/>
      <c r="AU94" s="686"/>
      <c r="AV94" s="686"/>
      <c r="AW94" s="686"/>
      <c r="AX94" s="686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6" t="s">
        <v>20</v>
      </c>
      <c r="AH95" s="686"/>
      <c r="AI95" s="686"/>
      <c r="AJ95" s="686"/>
      <c r="AK95" s="686"/>
      <c r="AL95" s="686"/>
      <c r="AM95" s="686"/>
      <c r="AQ95" s="9" t="s">
        <v>19</v>
      </c>
      <c r="AR95" s="686" t="s">
        <v>20</v>
      </c>
      <c r="AS95" s="686"/>
      <c r="AT95" s="686"/>
      <c r="AU95" s="686"/>
      <c r="AV95" s="686"/>
      <c r="AW95" s="686"/>
      <c r="AX95" s="686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1424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1424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1424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1424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1424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1416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1424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1416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1416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1424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1416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1424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1416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1424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1424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1416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1416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1424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1416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1416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1424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1424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1416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1416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1424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1416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1420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1424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#N/A</v>
      </c>
      <c r="AH124" s="217" t="e">
        <f t="shared" si="17"/>
        <v>#N/A</v>
      </c>
      <c r="AI124" s="217" t="e">
        <f t="shared" si="17"/>
        <v>#N/A</v>
      </c>
      <c r="AJ124" s="217" t="e">
        <f t="shared" si="17"/>
        <v>#N/A</v>
      </c>
      <c r="AK124" s="217" t="e">
        <f t="shared" si="17"/>
        <v>#N/A</v>
      </c>
      <c r="AL124" s="217" t="e">
        <f t="shared" si="17"/>
        <v>#N/A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1416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1420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1424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#N/A</v>
      </c>
      <c r="AH127" s="218" t="e">
        <f t="shared" si="19"/>
        <v>#N/A</v>
      </c>
      <c r="AI127" s="218" t="e">
        <f t="shared" si="19"/>
        <v>#N/A</v>
      </c>
      <c r="AJ127" s="218" t="e">
        <f t="shared" si="19"/>
        <v>#N/A</v>
      </c>
      <c r="AK127" s="218" t="e">
        <f t="shared" si="19"/>
        <v>#N/A</v>
      </c>
      <c r="AL127" s="218" t="e">
        <f t="shared" si="19"/>
        <v>#N/A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1424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1416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#N/A</v>
      </c>
      <c r="AH129" s="219" t="e">
        <f>IF($AH$124&lt;=($AF$90+($C$67)),IF($AH$127&gt;=($AF$90+($C$67)),IF($C$64&lt;=AP124,"F1",AI129),AI129),AI129)</f>
        <v>#N/A</v>
      </c>
      <c r="AI129" s="219" t="e">
        <f>IF($AI$124&lt;=($AF$90+($C$67)),IF($AI$127&gt;=($AF$90+($C$67)),IF($C$64&lt;=AQ124,"F2",AJ129),AJ129),AJ129)</f>
        <v>#N/A</v>
      </c>
      <c r="AJ129" s="219" t="e">
        <f>IF($AJ$124&lt;=($AF$90+($C$67)),IF($AJ$127&gt;=($AF$90+($C$67)),IF($C$64&lt;=AR124,"M1",AK129),AK129),AK129)</f>
        <v>#N/A</v>
      </c>
      <c r="AK129" s="219" t="e">
        <f>IF($AK$124&lt;=($AF$90+($C$67)),IF($AK$127&gt;=($AF$90+($C$67)),IF($C$64&lt;=AS124,"M2",AL129),AL129),AL129)</f>
        <v>#N/A</v>
      </c>
      <c r="AL129" s="219" t="e">
        <f>IF($AL$124&lt;=($AF$90+($C$67)),IF($AL$127&gt;=($AF$90+($C$67)),IF($C$64&lt;=AT124,"M3",AM129),AM129),AM129)</f>
        <v>#N/A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1416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1420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1424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1416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744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1420</v>
      </c>
      <c r="V134" s="202" t="s">
        <v>1417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1418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1419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1366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1420</v>
      </c>
      <c r="V137" s="202" t="s">
        <v>1417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1367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1420</v>
      </c>
      <c r="V138" s="202" t="s">
        <v>1417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1368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1420</v>
      </c>
      <c r="V139" s="202" t="s">
        <v>1417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1369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1420</v>
      </c>
      <c r="V140" s="202" t="s">
        <v>1417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1370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1420</v>
      </c>
      <c r="V141" s="202" t="s">
        <v>1417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1371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1420</v>
      </c>
      <c r="V142" s="202" t="s">
        <v>1417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1372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1420</v>
      </c>
      <c r="V143" s="202" t="s">
        <v>1417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1373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1420</v>
      </c>
      <c r="V144" s="202" t="s">
        <v>1417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1374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1420</v>
      </c>
      <c r="V145" s="202" t="s">
        <v>1417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1375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1420</v>
      </c>
      <c r="V146" s="202" t="s">
        <v>1417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1376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1420</v>
      </c>
      <c r="V147" s="202" t="s">
        <v>1417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1377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1420</v>
      </c>
      <c r="V148" s="202" t="s">
        <v>1417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1378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1420</v>
      </c>
      <c r="V149" s="202" t="s">
        <v>1417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1379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1420</v>
      </c>
      <c r="V150" s="202" t="s">
        <v>1417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1380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1420</v>
      </c>
      <c r="V151" s="202" t="s">
        <v>1417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1381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1420</v>
      </c>
      <c r="V152" s="202" t="s">
        <v>1417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1382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1420</v>
      </c>
      <c r="V153" s="202" t="s">
        <v>1417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1383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1420</v>
      </c>
      <c r="V154" s="202" t="s">
        <v>1417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1384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1420</v>
      </c>
      <c r="V155" s="202" t="s">
        <v>1417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1385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1420</v>
      </c>
      <c r="V156" s="202" t="s">
        <v>1417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1386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1420</v>
      </c>
      <c r="V157" s="202" t="s">
        <v>1417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1387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1420</v>
      </c>
      <c r="V158" s="202" t="s">
        <v>1417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1388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1420</v>
      </c>
      <c r="V159" s="202" t="s">
        <v>1417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1389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1420</v>
      </c>
      <c r="V160" s="202" t="s">
        <v>1417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1390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1420</v>
      </c>
      <c r="V161" s="202" t="s">
        <v>1417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1391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1420</v>
      </c>
      <c r="V162" s="202" t="s">
        <v>1417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1392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1420</v>
      </c>
      <c r="V163" s="202" t="s">
        <v>1417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1393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1420</v>
      </c>
      <c r="V164" s="202" t="s">
        <v>1417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1394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1420</v>
      </c>
      <c r="V165" s="202" t="s">
        <v>1417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1395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1420</v>
      </c>
      <c r="V166" s="202" t="s">
        <v>1417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1396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1420</v>
      </c>
      <c r="V167" s="202" t="s">
        <v>1417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1397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1420</v>
      </c>
      <c r="V168" s="202" t="s">
        <v>1417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1398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1420</v>
      </c>
      <c r="V169" s="202" t="s">
        <v>1417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1399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1420</v>
      </c>
      <c r="V170" s="202" t="s">
        <v>1417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1400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1420</v>
      </c>
      <c r="V171" s="202" t="s">
        <v>1417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1401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1420</v>
      </c>
      <c r="V172" s="202" t="s">
        <v>1417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1402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1420</v>
      </c>
      <c r="V173" s="202" t="s">
        <v>1417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1403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1420</v>
      </c>
      <c r="V174" s="202" t="s">
        <v>1417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1404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1420</v>
      </c>
      <c r="V175" s="202" t="s">
        <v>1417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1405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1420</v>
      </c>
      <c r="V176" s="202" t="s">
        <v>1417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1406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1420</v>
      </c>
      <c r="V177" s="202" t="s">
        <v>1417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1407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1420</v>
      </c>
      <c r="V178" s="202" t="s">
        <v>1417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1408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1420</v>
      </c>
      <c r="V179" s="202" t="s">
        <v>1417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1409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1420</v>
      </c>
      <c r="V180" s="202" t="s">
        <v>1417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1410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1420</v>
      </c>
      <c r="V181" s="202" t="s">
        <v>1417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1411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1420</v>
      </c>
      <c r="V182" s="202" t="s">
        <v>1417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1412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1420</v>
      </c>
      <c r="V183" s="202" t="s">
        <v>1417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1413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1420</v>
      </c>
      <c r="V184" s="202" t="s">
        <v>1417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1414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1420</v>
      </c>
      <c r="V185" s="202" t="s">
        <v>1417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1415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1420</v>
      </c>
      <c r="V186" s="202" t="s">
        <v>1417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474</v>
      </c>
      <c r="J187" s="202" t="s">
        <v>477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1421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475</v>
      </c>
      <c r="J188" s="202" t="s">
        <v>477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1421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478</v>
      </c>
      <c r="J189" s="202" t="s">
        <v>477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1422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476</v>
      </c>
      <c r="J190" s="202" t="s">
        <v>477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1423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745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1420</v>
      </c>
      <c r="V191" s="202" t="s">
        <v>1417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738</v>
      </c>
      <c r="J192" s="202" t="s">
        <v>477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1421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471</v>
      </c>
      <c r="N324" s="224" t="s">
        <v>109</v>
      </c>
      <c r="O324" s="228" t="s">
        <v>107</v>
      </c>
      <c r="P324" s="224" t="s">
        <v>82</v>
      </c>
      <c r="Q324" s="229"/>
      <c r="R324" s="692"/>
      <c r="S324" s="692"/>
      <c r="T324" s="692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datos!H345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739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740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datos!I345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3" t="s">
        <v>14</v>
      </c>
      <c r="O334" s="694"/>
      <c r="P334" s="693" t="s">
        <v>15</v>
      </c>
      <c r="Q334" s="694"/>
      <c r="R334" s="695" t="s">
        <v>17</v>
      </c>
      <c r="S334" s="697" t="s">
        <v>82</v>
      </c>
      <c r="T334" s="697"/>
      <c r="U334" s="697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537</v>
      </c>
      <c r="L335" s="224" t="s">
        <v>538</v>
      </c>
      <c r="M335" s="224" t="s">
        <v>44</v>
      </c>
      <c r="N335" s="224" t="s">
        <v>539</v>
      </c>
      <c r="O335" s="224" t="s">
        <v>21</v>
      </c>
      <c r="P335" s="224" t="s">
        <v>540</v>
      </c>
      <c r="Q335" s="224" t="s">
        <v>39</v>
      </c>
      <c r="R335" s="696"/>
      <c r="S335" s="695"/>
      <c r="T335" s="695"/>
      <c r="U335" s="695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734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747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736</v>
      </c>
      <c r="J338" s="509" t="s">
        <v>737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749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735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748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736</v>
      </c>
      <c r="J340" s="509" t="s">
        <v>737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749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8" t="s">
        <v>8</v>
      </c>
      <c r="I347" s="698"/>
      <c r="J347" s="698"/>
      <c r="K347" s="698"/>
      <c r="L347" s="698"/>
      <c r="M347" s="698"/>
      <c r="N347" s="698"/>
      <c r="O347" s="698"/>
      <c r="P347" s="698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9" t="s">
        <v>186</v>
      </c>
      <c r="I349" s="689"/>
      <c r="J349" s="689"/>
      <c r="K349" s="689"/>
      <c r="L349" s="242"/>
      <c r="M349" s="689" t="s">
        <v>186</v>
      </c>
      <c r="N349" s="689"/>
      <c r="O349" s="689"/>
      <c r="P349" s="689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 t="e">
        <f>VLOOKUP(I351,H357:K363,4,FALSE)</f>
        <v>#N/A</v>
      </c>
      <c r="I351" s="243" t="e">
        <f>VLOOKUP(I352,H357:J363,1,TRUE)</f>
        <v>#N/A</v>
      </c>
      <c r="J351" s="244" t="e">
        <f>VLOOKUP(I351,H357:J363,2,FALSE)</f>
        <v>#N/A</v>
      </c>
      <c r="K351" s="244" t="e">
        <f>VLOOKUP(I351,H357:J363,3,FALSE)</f>
        <v>#N/A</v>
      </c>
      <c r="L351" s="242"/>
      <c r="M351" s="31" t="e">
        <f>VLOOKUP(N351,M357:P363,4,FALSE)</f>
        <v>#N/A</v>
      </c>
      <c r="N351" s="243" t="e">
        <f>VLOOKUP(N352,M357:P363,1,TRUE)</f>
        <v>#N/A</v>
      </c>
      <c r="O351" s="244" t="e">
        <f>VLOOKUP(N351,M357:P363,2,FALSE)</f>
        <v>#N/A</v>
      </c>
      <c r="P351" s="244" t="e">
        <f>VLOOKUP(N351,M357:P363,3,FALSE)</f>
        <v>#N/A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datos!H349</f>
        <v>0</v>
      </c>
      <c r="J352" s="245" t="e">
        <f>(J353-J351)/(I353-I351)*(I352-I351)+J351</f>
        <v>#N/A</v>
      </c>
      <c r="K352" s="245" t="e">
        <f>(K353-K351)/(I353-I351)*(I352-I351)+K351</f>
        <v>#N/A</v>
      </c>
      <c r="L352" s="242"/>
      <c r="M352" s="243"/>
      <c r="N352" s="32">
        <f>datos!I349</f>
        <v>0</v>
      </c>
      <c r="O352" s="245" t="e">
        <f>(O353-O351)/(N353-N351)*(N352-N351)+O351</f>
        <v>#N/A</v>
      </c>
      <c r="P352" s="245" t="e">
        <f>(P353-P351)/(N353-N351)*(N352-N351)+P351</f>
        <v>#N/A</v>
      </c>
      <c r="Q352" s="242"/>
      <c r="R352" s="242"/>
      <c r="S352" s="242"/>
      <c r="T352" s="242"/>
      <c r="U352" s="242"/>
    </row>
    <row r="353" spans="7:21" x14ac:dyDescent="0.25">
      <c r="H353" s="31" t="e">
        <f>H351+1</f>
        <v>#N/A</v>
      </c>
      <c r="I353" s="243" t="e">
        <f>VLOOKUP(H351+1,G357:K363,2,FALSE)</f>
        <v>#N/A</v>
      </c>
      <c r="J353" s="244" t="e">
        <f>VLOOKUP(I353,H357:K363,2,FALSE)</f>
        <v>#N/A</v>
      </c>
      <c r="K353" s="244" t="e">
        <f>VLOOKUP(I353,H357:K363,3,FALSE)</f>
        <v>#N/A</v>
      </c>
      <c r="L353" s="242"/>
      <c r="M353" s="31" t="e">
        <f>M351+1</f>
        <v>#N/A</v>
      </c>
      <c r="N353" s="243" t="e">
        <f>VLOOKUP(M351+1,L357:P363,2,FALSE)</f>
        <v>#N/A</v>
      </c>
      <c r="O353" s="244" t="e">
        <f>VLOOKUP(N353,M357:P363,2,FALSE)</f>
        <v>#N/A</v>
      </c>
      <c r="P353" s="244" t="e">
        <f>VLOOKUP(N353,M357:P363,3,FALSE)</f>
        <v>#N/A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7" t="s">
        <v>12</v>
      </c>
      <c r="H355" s="687"/>
      <c r="I355" s="687"/>
      <c r="J355" s="687"/>
      <c r="K355" s="687"/>
      <c r="L355" s="687" t="s">
        <v>12</v>
      </c>
      <c r="M355" s="687"/>
      <c r="N355" s="687"/>
      <c r="O355" s="687"/>
      <c r="P355" s="687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690" t="s">
        <v>178</v>
      </c>
      <c r="S357" s="691"/>
      <c r="T357" s="36">
        <v>1</v>
      </c>
      <c r="U357" s="242"/>
    </row>
    <row r="358" spans="7:21" x14ac:dyDescent="0.25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 t="e">
        <f>I352+J352</f>
        <v>#N/A</v>
      </c>
      <c r="S359" s="246" t="e">
        <f>N352+O352</f>
        <v>#N/A</v>
      </c>
      <c r="T359" s="242"/>
      <c r="U359" s="242"/>
    </row>
    <row r="360" spans="7:21" x14ac:dyDescent="0.25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 t="e">
        <f>I370+J370</f>
        <v>#N/A</v>
      </c>
      <c r="S360" s="246" t="e">
        <f>N370+O370</f>
        <v>#N/A</v>
      </c>
      <c r="T360" s="242"/>
      <c r="U360" s="242"/>
    </row>
    <row r="361" spans="7:21" x14ac:dyDescent="0.25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 t="e">
        <f>I385+J385</f>
        <v>#N/A</v>
      </c>
      <c r="S361" s="247" t="e">
        <f>N385+O385</f>
        <v>#N/A</v>
      </c>
      <c r="T361" s="242"/>
      <c r="U361" s="242"/>
    </row>
    <row r="362" spans="7:21" x14ac:dyDescent="0.25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7" t="s">
        <v>187</v>
      </c>
      <c r="I367" s="687"/>
      <c r="J367" s="687"/>
      <c r="K367" s="687"/>
      <c r="L367" s="242"/>
      <c r="M367" s="687" t="s">
        <v>187</v>
      </c>
      <c r="N367" s="687"/>
      <c r="O367" s="687"/>
      <c r="P367" s="687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 t="e">
        <f>VLOOKUP(I369,H375:K379,4,FALSE)</f>
        <v>#N/A</v>
      </c>
      <c r="I369" s="243" t="e">
        <f>VLOOKUP(I370,H375:K379,1,TRUE)</f>
        <v>#N/A</v>
      </c>
      <c r="J369" s="248" t="e">
        <f>VLOOKUP(I369,H375:J379,2,FALSE)</f>
        <v>#N/A</v>
      </c>
      <c r="K369" s="248" t="e">
        <f>VLOOKUP(I369,H357:K379,3,FALSE)</f>
        <v>#N/A</v>
      </c>
      <c r="L369" s="242"/>
      <c r="M369" s="31" t="e">
        <f>VLOOKUP(N369,M375:P379,4,FALSE)</f>
        <v>#N/A</v>
      </c>
      <c r="N369" s="243" t="e">
        <f>VLOOKUP(N370,M375:P379,1,TRUE)</f>
        <v>#N/A</v>
      </c>
      <c r="O369" s="248" t="e">
        <f>VLOOKUP(N369,M375:P379,2,FALSE)</f>
        <v>#N/A</v>
      </c>
      <c r="P369" s="248" t="e">
        <f>VLOOKUP(N369,M375:P379,3,FALSE)</f>
        <v>#N/A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datos!H350</f>
        <v>0</v>
      </c>
      <c r="J370" s="249" t="e">
        <f>(J371-J369)/(I371-I369)*(I370-I369)+J369</f>
        <v>#N/A</v>
      </c>
      <c r="K370" s="249" t="e">
        <f>(K371-K369)/(I371-I369)*(I370-I369)+K369</f>
        <v>#N/A</v>
      </c>
      <c r="L370" s="242"/>
      <c r="M370" s="243"/>
      <c r="N370" s="32">
        <f>datos!I350</f>
        <v>0</v>
      </c>
      <c r="O370" s="249" t="e">
        <f>(O371-O369)/(N371-N369)*(N370-N369)+O369</f>
        <v>#N/A</v>
      </c>
      <c r="P370" s="249" t="e">
        <f>(P371-P369)/(O371-O369)*(O370-O369)+P369</f>
        <v>#N/A</v>
      </c>
      <c r="Q370" s="242"/>
      <c r="R370" s="242"/>
      <c r="S370" s="242"/>
      <c r="T370" s="242"/>
      <c r="U370" s="242"/>
    </row>
    <row r="371" spans="7:21" x14ac:dyDescent="0.25">
      <c r="H371" s="31" t="e">
        <f>H369+1</f>
        <v>#N/A</v>
      </c>
      <c r="I371" s="243" t="e">
        <f>VLOOKUP(H369+1,G375:J379,2,FALSE)</f>
        <v>#N/A</v>
      </c>
      <c r="J371" s="248" t="e">
        <f>VLOOKUP(I371,H375:K379,2,FALSE)</f>
        <v>#N/A</v>
      </c>
      <c r="K371" s="248" t="e">
        <f>VLOOKUP(I371,H375:K379,3,FALSE)</f>
        <v>#N/A</v>
      </c>
      <c r="L371" s="242"/>
      <c r="M371" s="31" t="e">
        <f>M369+1</f>
        <v>#N/A</v>
      </c>
      <c r="N371" s="243" t="e">
        <f>VLOOKUP(M369+1,L375:O379,2,FALSE)</f>
        <v>#N/A</v>
      </c>
      <c r="O371" s="248" t="e">
        <f>VLOOKUP(N371,M375:P379,2,FALSE)</f>
        <v>#N/A</v>
      </c>
      <c r="P371" s="248" t="e">
        <f>VLOOKUP(N371,M375:P379,3,FALSE)</f>
        <v>#N/A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8" t="s">
        <v>181</v>
      </c>
      <c r="I373" s="688"/>
      <c r="J373" s="688"/>
      <c r="K373" s="688"/>
      <c r="L373" s="425"/>
      <c r="M373" s="688" t="s">
        <v>187</v>
      </c>
      <c r="N373" s="688"/>
      <c r="O373" s="688"/>
      <c r="P373" s="688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9" t="s">
        <v>188</v>
      </c>
      <c r="I382" s="689"/>
      <c r="J382" s="689"/>
      <c r="K382" s="689"/>
      <c r="L382" s="242"/>
      <c r="M382" s="689" t="s">
        <v>188</v>
      </c>
      <c r="N382" s="689"/>
      <c r="O382" s="689"/>
      <c r="P382" s="689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 t="e">
        <f>VLOOKUP(I384,H389:K395,4,FALSE)</f>
        <v>#N/A</v>
      </c>
      <c r="I384" s="250" t="e">
        <f>VLOOKUP(I385,H389:K395,1,TRUE)</f>
        <v>#N/A</v>
      </c>
      <c r="J384" s="251" t="e">
        <f>VLOOKUP(I384,H389:K395,2,FALSE)</f>
        <v>#N/A</v>
      </c>
      <c r="K384" s="251" t="e">
        <f>VLOOKUP(I384,H389:K395,3,FALSE)</f>
        <v>#N/A</v>
      </c>
      <c r="L384" s="242"/>
      <c r="M384" s="31" t="e">
        <f>VLOOKUP(N384,M389:P395,4,FALSE)</f>
        <v>#N/A</v>
      </c>
      <c r="N384" s="250" t="e">
        <f>VLOOKUP(N385,M389:P395,1,TRUE)</f>
        <v>#N/A</v>
      </c>
      <c r="O384" s="251" t="e">
        <f>VLOOKUP(N384,M389:P395,2,FALSE)</f>
        <v>#N/A</v>
      </c>
      <c r="P384" s="251" t="e">
        <f>VLOOKUP(N384,M389:P395,3,FALSE)</f>
        <v>#N/A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datos!H351*100</f>
        <v>0</v>
      </c>
      <c r="J385" s="252" t="e">
        <f>(J386-J384)/(I386-I384)*(I385-I384)+J384</f>
        <v>#N/A</v>
      </c>
      <c r="K385" s="252" t="e">
        <f>(K386-K384)/(I386-I384)*(I385-I384)+K384</f>
        <v>#N/A</v>
      </c>
      <c r="L385" s="242"/>
      <c r="M385" s="243"/>
      <c r="N385" s="37">
        <f>datos!I351*100</f>
        <v>0</v>
      </c>
      <c r="O385" s="252" t="e">
        <f>(O386-O384)/(N386-N384)*(N385-N384)+O384</f>
        <v>#N/A</v>
      </c>
      <c r="P385" s="252" t="e">
        <f>(P386-P384)/(N386-N384)*(N385-N384)+P384</f>
        <v>#N/A</v>
      </c>
      <c r="Q385" s="242"/>
      <c r="R385" s="242"/>
      <c r="S385" s="242"/>
      <c r="T385" s="242"/>
      <c r="U385" s="242"/>
    </row>
    <row r="386" spans="7:21" x14ac:dyDescent="0.25">
      <c r="H386" s="31" t="e">
        <f>H384+1</f>
        <v>#N/A</v>
      </c>
      <c r="I386" s="250" t="e">
        <f>VLOOKUP(H384+1,G389:J395,2,FALSE)</f>
        <v>#N/A</v>
      </c>
      <c r="J386" s="251" t="e">
        <f>VLOOKUP(I386,H389:K395,2,FALSE)</f>
        <v>#N/A</v>
      </c>
      <c r="K386" s="251" t="e">
        <f>VLOOKUP(I386,H389:K395,3,FALSE)</f>
        <v>#N/A</v>
      </c>
      <c r="L386" s="242"/>
      <c r="M386" s="31" t="e">
        <f>M384+1</f>
        <v>#N/A</v>
      </c>
      <c r="N386" s="250" t="e">
        <f>VLOOKUP(M384+1,L389:O395,2,FALSE)</f>
        <v>#N/A</v>
      </c>
      <c r="O386" s="251" t="e">
        <f>VLOOKUP(N386,M389:P395,2,FALSE)</f>
        <v>#N/A</v>
      </c>
      <c r="P386" s="251" t="e">
        <f>VLOOKUP(N386,M389:P395,3,FALSE)</f>
        <v>#N/A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8" t="s">
        <v>9</v>
      </c>
      <c r="I401" s="698"/>
      <c r="J401" s="698"/>
      <c r="K401" s="698"/>
      <c r="L401" s="698"/>
      <c r="M401" s="698"/>
      <c r="N401" s="698"/>
      <c r="O401" s="698"/>
      <c r="P401" s="698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 t="e">
        <f>VLOOKUP(I405,H411:K417,4,FALSE)</f>
        <v>#N/A</v>
      </c>
      <c r="I405" s="243" t="e">
        <f>VLOOKUP(I406,H411:J417,1,TRUE)</f>
        <v>#N/A</v>
      </c>
      <c r="J405" s="244" t="e">
        <f>VLOOKUP(I405,H411:J417,2,FALSE)</f>
        <v>#N/A</v>
      </c>
      <c r="K405" s="244" t="e">
        <f>VLOOKUP(I405,H411:J417,3,FALSE)</f>
        <v>#N/A</v>
      </c>
      <c r="L405" s="242"/>
      <c r="M405" s="31" t="e">
        <f>VLOOKUP(N405,M411:P417,4,FALSE)</f>
        <v>#N/A</v>
      </c>
      <c r="N405" s="243" t="e">
        <f>VLOOKUP(N406,M411:P417,1,TRUE)</f>
        <v>#N/A</v>
      </c>
      <c r="O405" s="244" t="e">
        <f>VLOOKUP(N405,M411:P417,2,FALSE)</f>
        <v>#N/A</v>
      </c>
      <c r="P405" s="244" t="e">
        <f>VLOOKUP(N405,M411:P417,3,FALSE)</f>
        <v>#N/A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datos!H349</f>
        <v>0</v>
      </c>
      <c r="J406" s="245" t="e">
        <f>(J407-J405)/(I407-I405)*(I406-I405)+J405</f>
        <v>#N/A</v>
      </c>
      <c r="K406" s="245" t="e">
        <f>(K407-K405)/(I407-I405)*(I406-I405)+K405</f>
        <v>#N/A</v>
      </c>
      <c r="L406" s="242"/>
      <c r="M406" s="243"/>
      <c r="N406" s="32">
        <f>datos!I349</f>
        <v>0</v>
      </c>
      <c r="O406" s="245" t="e">
        <f>(O407-O405)/(N407-N405)*(N406-N405)+O405</f>
        <v>#N/A</v>
      </c>
      <c r="P406" s="245" t="e">
        <f>(P407-P405)/(N407-N405)*(N406-N405)+P405</f>
        <v>#N/A</v>
      </c>
      <c r="Q406" s="242"/>
      <c r="R406" s="242"/>
      <c r="S406" s="242"/>
      <c r="T406" s="242"/>
      <c r="U406" s="242"/>
    </row>
    <row r="407" spans="7:21" x14ac:dyDescent="0.25">
      <c r="G407" s="35"/>
      <c r="H407" s="31" t="e">
        <f>H405+1</f>
        <v>#N/A</v>
      </c>
      <c r="I407" s="243" t="e">
        <f>VLOOKUP(H405+1,G411:K417,2,FALSE)</f>
        <v>#N/A</v>
      </c>
      <c r="J407" s="244" t="e">
        <f>VLOOKUP(I407,H411:K417,2,FALSE)</f>
        <v>#N/A</v>
      </c>
      <c r="K407" s="244" t="e">
        <f>VLOOKUP(I407,H411:K417,3,FALSE)</f>
        <v>#N/A</v>
      </c>
      <c r="L407" s="242"/>
      <c r="M407" s="31" t="e">
        <f>M405+1</f>
        <v>#N/A</v>
      </c>
      <c r="N407" s="243" t="e">
        <f>VLOOKUP(M405+1,L411:P417,2,FALSE)</f>
        <v>#N/A</v>
      </c>
      <c r="O407" s="244" t="e">
        <f>VLOOKUP(N407,M411:P417,2,FALSE)</f>
        <v>#N/A</v>
      </c>
      <c r="P407" s="244" t="e">
        <f>VLOOKUP(N407,M411:P417,3,FALSE)</f>
        <v>#N/A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750</v>
      </c>
      <c r="I409" s="81"/>
      <c r="J409" s="81"/>
      <c r="K409" s="33"/>
      <c r="L409" s="81" t="s">
        <v>750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 t="e">
        <f>I406+J406</f>
        <v>#N/A</v>
      </c>
      <c r="S413" s="246" t="e">
        <f>N406+O406</f>
        <v>#N/A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 t="e">
        <f>I424+J424</f>
        <v>#N/A</v>
      </c>
      <c r="S414" s="246" t="e">
        <f>N424+O424</f>
        <v>#N/A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 t="e">
        <f>I439+J439</f>
        <v>#N/A</v>
      </c>
      <c r="S415" s="247" t="e">
        <f>N439+O439</f>
        <v>#N/A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 t="e">
        <f>VLOOKUP(I423,H429:K433,4,FALSE)</f>
        <v>#N/A</v>
      </c>
      <c r="I423" s="243" t="e">
        <f>VLOOKUP(I424,H429:K433,1,TRUE)</f>
        <v>#N/A</v>
      </c>
      <c r="J423" s="248" t="e">
        <f>VLOOKUP(I423,H429:J433,2,FALSE)</f>
        <v>#N/A</v>
      </c>
      <c r="K423" s="248" t="e">
        <f>VLOOKUP(I423,H411:K433,3,FALSE)</f>
        <v>#N/A</v>
      </c>
      <c r="L423" s="242"/>
      <c r="M423" s="31" t="e">
        <f>VLOOKUP(N423,M429:P433,4,FALSE)</f>
        <v>#N/A</v>
      </c>
      <c r="N423" s="243" t="e">
        <f>VLOOKUP(N424,M429:P433,1,TRUE)</f>
        <v>#N/A</v>
      </c>
      <c r="O423" s="248" t="e">
        <f>VLOOKUP(N423,M429:P433,2,FALSE)</f>
        <v>#N/A</v>
      </c>
      <c r="P423" s="248" t="e">
        <f>VLOOKUP(N423,M429:P433,3,FALSE)</f>
        <v>#N/A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datos!H350</f>
        <v>0</v>
      </c>
      <c r="J424" s="249" t="e">
        <f>(J425-J423)/(I425-I423)*(I424-I423)+J423</f>
        <v>#N/A</v>
      </c>
      <c r="K424" s="249" t="e">
        <f>(K425-K423)/(I425-I423)*(I424-I423)+K423</f>
        <v>#N/A</v>
      </c>
      <c r="L424" s="242"/>
      <c r="M424" s="243"/>
      <c r="N424" s="32">
        <f>datos!H350</f>
        <v>0</v>
      </c>
      <c r="O424" s="249" t="e">
        <f>(O425-O423)/(N425-N423)*(N424-N423)+O423</f>
        <v>#N/A</v>
      </c>
      <c r="P424" s="249" t="e">
        <f>(P425-P423)/(O425-O423)*(O424-O423)+P423</f>
        <v>#N/A</v>
      </c>
      <c r="Q424" s="242"/>
      <c r="R424" s="242"/>
      <c r="S424" s="242"/>
      <c r="T424" s="242"/>
      <c r="U424" s="242"/>
    </row>
    <row r="425" spans="7:21" x14ac:dyDescent="0.25">
      <c r="H425" s="31" t="e">
        <f>H423+1</f>
        <v>#N/A</v>
      </c>
      <c r="I425" s="243" t="e">
        <f>VLOOKUP(H423+1,G429:J433,2,FALSE)</f>
        <v>#N/A</v>
      </c>
      <c r="J425" s="248" t="e">
        <f>VLOOKUP(I425,H429:K433,2,FALSE)</f>
        <v>#N/A</v>
      </c>
      <c r="K425" s="248" t="e">
        <f>VLOOKUP(I425,H429:K433,3,FALSE)</f>
        <v>#N/A</v>
      </c>
      <c r="L425" s="242"/>
      <c r="M425" s="31" t="e">
        <f>M423+1</f>
        <v>#N/A</v>
      </c>
      <c r="N425" s="243" t="e">
        <f>VLOOKUP(M423+1,L429:O433,2,FALSE)</f>
        <v>#N/A</v>
      </c>
      <c r="O425" s="248" t="e">
        <f>VLOOKUP(N425,M429:P433,2,FALSE)</f>
        <v>#N/A</v>
      </c>
      <c r="P425" s="248" t="e">
        <f>VLOOKUP(N425,M429:P433,3,FALSE)</f>
        <v>#N/A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 t="e">
        <f>VLOOKUP(I438,H443:K449,4,FALSE)</f>
        <v>#N/A</v>
      </c>
      <c r="I438" s="429" t="e">
        <f>VLOOKUP(I439,H443:K449,1,TRUE)</f>
        <v>#N/A</v>
      </c>
      <c r="J438" s="441" t="e">
        <f>VLOOKUP(I438,H443:K449,2,FALSE)</f>
        <v>#N/A</v>
      </c>
      <c r="K438" s="441" t="e">
        <f>VLOOKUP(I438,H443:K449,3,FALSE)</f>
        <v>#N/A</v>
      </c>
      <c r="L438" s="425"/>
      <c r="M438" s="423" t="e">
        <f>VLOOKUP(N438,M443:P449,4,FALSE)</f>
        <v>#N/A</v>
      </c>
      <c r="N438" s="429" t="e">
        <f>VLOOKUP(N439,M443:P449,1,TRUE)</f>
        <v>#N/A</v>
      </c>
      <c r="O438" s="441" t="e">
        <f>VLOOKUP(N438,M443:P449,2,FALSE)</f>
        <v>#N/A</v>
      </c>
      <c r="P438" s="441" t="e">
        <f>VLOOKUP(N438,M443:P449,3,FALSE)</f>
        <v>#N/A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datos!H351*100</f>
        <v>0</v>
      </c>
      <c r="J439" s="441" t="e">
        <f>(J440-J438)/(I440-I438)*(I439-I438)+J438</f>
        <v>#N/A</v>
      </c>
      <c r="K439" s="441" t="e">
        <f>(K440-K438)/(I440-I438)*(I439-I438)+K438</f>
        <v>#N/A</v>
      </c>
      <c r="L439" s="425"/>
      <c r="M439" s="423"/>
      <c r="N439" s="429">
        <f>datos!I351*100</f>
        <v>0</v>
      </c>
      <c r="O439" s="441" t="e">
        <f>(O440-O438)/(N440-N438)*(N439-N438)+O438</f>
        <v>#N/A</v>
      </c>
      <c r="P439" s="441" t="e">
        <f>(P440-P438)/(N440-N438)*(N439-N438)+P438</f>
        <v>#N/A</v>
      </c>
      <c r="Q439" s="242"/>
      <c r="R439" s="242"/>
      <c r="S439" s="242"/>
      <c r="T439" s="242"/>
      <c r="U439" s="242"/>
    </row>
    <row r="440" spans="7:21" x14ac:dyDescent="0.25">
      <c r="G440" s="424"/>
      <c r="H440" s="423" t="e">
        <f>H438+1</f>
        <v>#N/A</v>
      </c>
      <c r="I440" s="429" t="e">
        <f>VLOOKUP(H438+1,G443:J449,2,FALSE)</f>
        <v>#N/A</v>
      </c>
      <c r="J440" s="441" t="e">
        <f>VLOOKUP(I440,H443:K449,2,FALSE)</f>
        <v>#N/A</v>
      </c>
      <c r="K440" s="441" t="e">
        <f>VLOOKUP(I440,H443:K449,3,FALSE)</f>
        <v>#N/A</v>
      </c>
      <c r="L440" s="425"/>
      <c r="M440" s="423" t="e">
        <f>M438+1</f>
        <v>#N/A</v>
      </c>
      <c r="N440" s="429" t="e">
        <f>VLOOKUP(M438+1,L443:O449,2,FALSE)</f>
        <v>#N/A</v>
      </c>
      <c r="O440" s="441" t="e">
        <f>VLOOKUP(N440,M443:P449,2,FALSE)</f>
        <v>#N/A</v>
      </c>
      <c r="P440" s="441" t="e">
        <f>VLOOKUP(N440,M443:P449,3,FALSE)</f>
        <v>#N/A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8" t="s">
        <v>736</v>
      </c>
      <c r="I454" s="698"/>
      <c r="J454" s="698"/>
      <c r="K454" s="698"/>
      <c r="L454" s="698"/>
      <c r="M454" s="698"/>
      <c r="N454" s="698"/>
      <c r="O454" s="698"/>
      <c r="P454" s="698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 t="e">
        <f>VLOOKUP(I458,H464:K470,4,FALSE)</f>
        <v>#N/A</v>
      </c>
      <c r="I458" s="243" t="e">
        <f>VLOOKUP(I459,H464:J470,1,TRUE)</f>
        <v>#N/A</v>
      </c>
      <c r="J458" s="244" t="e">
        <f>VLOOKUP(I458,H464:J470,2,FALSE)</f>
        <v>#N/A</v>
      </c>
      <c r="K458" s="244" t="e">
        <f>VLOOKUP(I458,H464:J470,3,FALSE)</f>
        <v>#N/A</v>
      </c>
      <c r="L458" s="242"/>
      <c r="M458" s="31" t="e">
        <f>VLOOKUP(N458,M464:P470,4,FALSE)</f>
        <v>#N/A</v>
      </c>
      <c r="N458" s="243" t="e">
        <f>VLOOKUP(N459,M464:P470,1,TRUE)</f>
        <v>#N/A</v>
      </c>
      <c r="O458" s="244" t="e">
        <f>VLOOKUP(N458,M464:P470,2,FALSE)</f>
        <v>#N/A</v>
      </c>
      <c r="P458" s="244" t="e">
        <f>VLOOKUP(N458,M464:P470,3,FALSE)</f>
        <v>#N/A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datos!H349</f>
        <v>0</v>
      </c>
      <c r="J459" s="245" t="e">
        <f>(J460-J458)/(I460-I458)*(I459-I458)+J458</f>
        <v>#N/A</v>
      </c>
      <c r="K459" s="245" t="e">
        <f>(K460-K458)/(I460-I458)*(I459-I458)+K458</f>
        <v>#N/A</v>
      </c>
      <c r="L459" s="242"/>
      <c r="M459" s="243"/>
      <c r="N459" s="32">
        <f>datos!I349</f>
        <v>0</v>
      </c>
      <c r="O459" s="245" t="e">
        <f>(O460-O458)/(N460-N458)*(N459-N458)+O458</f>
        <v>#N/A</v>
      </c>
      <c r="P459" s="245" t="e">
        <f>(P460-P458)/(N460-N458)*(N459-N458)+P458</f>
        <v>#N/A</v>
      </c>
      <c r="Q459" s="242"/>
      <c r="R459" s="242"/>
      <c r="S459" s="242"/>
      <c r="T459" s="242"/>
      <c r="U459" s="242"/>
    </row>
    <row r="460" spans="7:21" x14ac:dyDescent="0.25">
      <c r="H460" s="31" t="e">
        <f>H458+1</f>
        <v>#N/A</v>
      </c>
      <c r="I460" s="243" t="e">
        <f>VLOOKUP(H458+1,G464:K470,2,FALSE)</f>
        <v>#N/A</v>
      </c>
      <c r="J460" s="244" t="e">
        <f>VLOOKUP(I460,H464:K470,2,FALSE)</f>
        <v>#N/A</v>
      </c>
      <c r="K460" s="244" t="e">
        <f>VLOOKUP(I460,H464:K470,3,FALSE)</f>
        <v>#N/A</v>
      </c>
      <c r="L460" s="242"/>
      <c r="M460" s="31" t="e">
        <f>M458+1</f>
        <v>#N/A</v>
      </c>
      <c r="N460" s="243" t="e">
        <f>VLOOKUP(M458+1,L464:P470,2,FALSE)</f>
        <v>#N/A</v>
      </c>
      <c r="O460" s="244" t="e">
        <f>VLOOKUP(N460,M464:P470,2,FALSE)</f>
        <v>#N/A</v>
      </c>
      <c r="P460" s="244" t="e">
        <f>VLOOKUP(N460,M464:P470,3,FALSE)</f>
        <v>#N/A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737</v>
      </c>
      <c r="I462" s="81"/>
      <c r="J462" s="81"/>
      <c r="K462" s="33"/>
      <c r="L462" s="81" t="s">
        <v>737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 t="e">
        <f>I459+J459</f>
        <v>#N/A</v>
      </c>
      <c r="S466" s="246" t="e">
        <f>N459+O459</f>
        <v>#N/A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 t="e">
        <f>I477+J477</f>
        <v>#N/A</v>
      </c>
      <c r="S467" s="246" t="e">
        <f>N477+O477</f>
        <v>#N/A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 t="e">
        <f>I492+J492</f>
        <v>#N/A</v>
      </c>
      <c r="S468" s="247" t="e">
        <f>N492+O492</f>
        <v>#N/A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 t="e">
        <f>VLOOKUP(I476,H482:K486,4,FALSE)</f>
        <v>#N/A</v>
      </c>
      <c r="I476" s="243" t="e">
        <f>VLOOKUP(I477,H482:K486,1,TRUE)</f>
        <v>#N/A</v>
      </c>
      <c r="J476" s="248" t="e">
        <f>VLOOKUP(I476,H482:J486,2,FALSE)</f>
        <v>#N/A</v>
      </c>
      <c r="K476" s="248" t="e">
        <f>VLOOKUP(I476,H464:K486,3,FALSE)</f>
        <v>#N/A</v>
      </c>
      <c r="L476" s="242"/>
      <c r="M476" s="31" t="e">
        <f>VLOOKUP(N476,M482:P486,4,FALSE)</f>
        <v>#N/A</v>
      </c>
      <c r="N476" s="243" t="e">
        <f>VLOOKUP(N477,M482:P486,1,TRUE)</f>
        <v>#N/A</v>
      </c>
      <c r="O476" s="248" t="e">
        <f>VLOOKUP(N476,M482:P486,2,FALSE)</f>
        <v>#N/A</v>
      </c>
      <c r="P476" s="248" t="e">
        <f>VLOOKUP(N476,M482:P486,3,FALSE)</f>
        <v>#N/A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datos!H350</f>
        <v>0</v>
      </c>
      <c r="J477" s="249" t="e">
        <f>(J478-J476)/(I478-I476)*(I477-I476)+J476</f>
        <v>#N/A</v>
      </c>
      <c r="K477" s="249" t="e">
        <f>(K478-K476)/(I478-I476)*(I477-I476)+K476</f>
        <v>#N/A</v>
      </c>
      <c r="L477" s="242"/>
      <c r="M477" s="243"/>
      <c r="N477" s="32">
        <f>datos!I350</f>
        <v>0</v>
      </c>
      <c r="O477" s="249" t="e">
        <f>(O478-O476)/(N478-N476)*(N477-N476)+O476</f>
        <v>#N/A</v>
      </c>
      <c r="P477" s="249" t="e">
        <f>(P478-P476)/(O478-O476)*(O477-O476)+P476</f>
        <v>#N/A</v>
      </c>
      <c r="Q477" s="242"/>
      <c r="R477" s="242"/>
      <c r="S477" s="242"/>
      <c r="T477" s="242"/>
      <c r="U477" s="242"/>
    </row>
    <row r="478" spans="7:21" x14ac:dyDescent="0.25">
      <c r="H478" s="31" t="e">
        <f>H476+1</f>
        <v>#N/A</v>
      </c>
      <c r="I478" s="243" t="e">
        <f>VLOOKUP(H476+1,G482:J486,2,FALSE)</f>
        <v>#N/A</v>
      </c>
      <c r="J478" s="248" t="e">
        <f>VLOOKUP(I478,H482:K486,2,FALSE)</f>
        <v>#N/A</v>
      </c>
      <c r="K478" s="248" t="e">
        <f>VLOOKUP(I478,H482:K486,3,FALSE)</f>
        <v>#N/A</v>
      </c>
      <c r="L478" s="242"/>
      <c r="M478" s="31" t="e">
        <f>M476+1</f>
        <v>#N/A</v>
      </c>
      <c r="N478" s="243" t="e">
        <f>VLOOKUP(M476+1,L482:O486,2,FALSE)</f>
        <v>#N/A</v>
      </c>
      <c r="O478" s="248" t="e">
        <f>VLOOKUP(N478,M482:P486,2,FALSE)</f>
        <v>#N/A</v>
      </c>
      <c r="P478" s="248" t="e">
        <f>VLOOKUP(N478,M482:P486,3,FALSE)</f>
        <v>#N/A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 t="e">
        <f>VLOOKUP(I491,H496:K502,4,FALSE)</f>
        <v>#N/A</v>
      </c>
      <c r="I491" s="523" t="e">
        <f>VLOOKUP(I492,H496:K502,1,TRUE)</f>
        <v>#N/A</v>
      </c>
      <c r="J491" s="524" t="e">
        <f>VLOOKUP(I491,H496:K502,2,FALSE)</f>
        <v>#N/A</v>
      </c>
      <c r="K491" s="524" t="e">
        <f>VLOOKUP(I491,H496:K502,3,FALSE)</f>
        <v>#N/A</v>
      </c>
      <c r="L491" s="520"/>
      <c r="M491" s="518" t="e">
        <f>VLOOKUP(N491,M496:P502,4,FALSE)</f>
        <v>#N/A</v>
      </c>
      <c r="N491" s="523" t="e">
        <f>VLOOKUP(N492,M496:P502,1,TRUE)</f>
        <v>#N/A</v>
      </c>
      <c r="O491" s="524" t="e">
        <f>VLOOKUP(N491,M496:P502,2,FALSE)</f>
        <v>#N/A</v>
      </c>
      <c r="P491" s="524" t="e">
        <f>VLOOKUP(N491,M496:P502,3,FALSE)</f>
        <v>#N/A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datos!H351*100</f>
        <v>0</v>
      </c>
      <c r="J492" s="524" t="e">
        <f>(J493-J491)/(I493-I491)*(I492-I491)+J491</f>
        <v>#N/A</v>
      </c>
      <c r="K492" s="524" t="e">
        <f>(K493-K491)/(I493-I491)*(I492-I491)+K491</f>
        <v>#N/A</v>
      </c>
      <c r="L492" s="520"/>
      <c r="M492" s="518"/>
      <c r="N492" s="523">
        <f>datos!I351*100</f>
        <v>0</v>
      </c>
      <c r="O492" s="524" t="e">
        <f>(O493-O491)/(N493-N491)*(N492-N491)+O491</f>
        <v>#N/A</v>
      </c>
      <c r="P492" s="524" t="e">
        <f>(P493-P491)/(N493-N491)*(N492-N491)+P491</f>
        <v>#N/A</v>
      </c>
      <c r="Q492" s="242"/>
      <c r="R492" s="242"/>
      <c r="S492" s="242"/>
      <c r="T492" s="242"/>
      <c r="U492" s="242"/>
    </row>
    <row r="493" spans="7:21" x14ac:dyDescent="0.25">
      <c r="G493" s="443"/>
      <c r="H493" s="518" t="e">
        <f>H491+1</f>
        <v>#N/A</v>
      </c>
      <c r="I493" s="523" t="e">
        <f>VLOOKUP(H491+1,G496:J502,2,FALSE)</f>
        <v>#N/A</v>
      </c>
      <c r="J493" s="524" t="e">
        <f>VLOOKUP(I493,H496:K502,2,FALSE)</f>
        <v>#N/A</v>
      </c>
      <c r="K493" s="524" t="e">
        <f>VLOOKUP(I493,H496:K502,3,FALSE)</f>
        <v>#N/A</v>
      </c>
      <c r="L493" s="520"/>
      <c r="M493" s="518" t="e">
        <f>M491+1</f>
        <v>#N/A</v>
      </c>
      <c r="N493" s="523" t="e">
        <f>VLOOKUP(M491+1,L496:O502,2,FALSE)</f>
        <v>#N/A</v>
      </c>
      <c r="O493" s="524" t="e">
        <f>VLOOKUP(N493,M496:P502,2,FALSE)</f>
        <v>#N/A</v>
      </c>
      <c r="P493" s="524" t="e">
        <f>VLOOKUP(N493,M496:P502,3,FALSE)</f>
        <v>#N/A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8" t="s">
        <v>11</v>
      </c>
      <c r="I508" s="698"/>
      <c r="J508" s="698"/>
      <c r="K508" s="698"/>
      <c r="L508" s="698"/>
      <c r="M508" s="698"/>
      <c r="N508" s="698"/>
      <c r="O508" s="698"/>
      <c r="P508" s="698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 t="e">
        <f>VLOOKUP(I512,H518:K524,4,FALSE)</f>
        <v>#N/A</v>
      </c>
      <c r="I512" s="243" t="e">
        <f>VLOOKUP(I513,H518:J524,1,TRUE)</f>
        <v>#N/A</v>
      </c>
      <c r="J512" s="244" t="e">
        <f>VLOOKUP(I512,H518:J524,2,FALSE)</f>
        <v>#N/A</v>
      </c>
      <c r="K512" s="244" t="e">
        <f>VLOOKUP(I512,H518:J524,3,FALSE)</f>
        <v>#N/A</v>
      </c>
      <c r="L512" s="242"/>
      <c r="M512" s="31" t="e">
        <f>VLOOKUP(N512,M518:P524,4,FALSE)</f>
        <v>#N/A</v>
      </c>
      <c r="N512" s="243" t="e">
        <f>VLOOKUP(N513,M518:P524,1,TRUE)</f>
        <v>#N/A</v>
      </c>
      <c r="O512" s="244" t="e">
        <f>VLOOKUP(N512,M518:P524,2,FALSE)</f>
        <v>#N/A</v>
      </c>
      <c r="P512" s="244" t="e">
        <f>VLOOKUP(N512,M518:P524,3,FALSE)</f>
        <v>#N/A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datos!H349</f>
        <v>0</v>
      </c>
      <c r="J513" s="245" t="e">
        <f>(J514-J512)/(I514-I512)*(I513-I512)+J512</f>
        <v>#N/A</v>
      </c>
      <c r="K513" s="245" t="e">
        <f>(K514-K512)/(I514-I512)*(I513-I512)+K512</f>
        <v>#N/A</v>
      </c>
      <c r="L513" s="242"/>
      <c r="M513" s="243"/>
      <c r="N513" s="32">
        <f>datos!I349</f>
        <v>0</v>
      </c>
      <c r="O513" s="245" t="e">
        <f>(O514-O512)/(N514-N512)*(N513-N512)+O512</f>
        <v>#N/A</v>
      </c>
      <c r="P513" s="245" t="e">
        <f>(P514-P512)/(N514-N512)*(N513-N512)+P512</f>
        <v>#N/A</v>
      </c>
      <c r="Q513" s="242"/>
      <c r="R513" s="242"/>
      <c r="S513" s="242"/>
      <c r="T513" s="242"/>
      <c r="U513" s="242"/>
    </row>
    <row r="514" spans="7:21" hidden="1" x14ac:dyDescent="0.25">
      <c r="H514" s="31" t="e">
        <f>H512+1</f>
        <v>#N/A</v>
      </c>
      <c r="I514" s="243" t="e">
        <f>VLOOKUP(H512+1,G518:K524,2,FALSE)</f>
        <v>#N/A</v>
      </c>
      <c r="J514" s="244" t="e">
        <f>VLOOKUP(I514,H518:K524,2,FALSE)</f>
        <v>#N/A</v>
      </c>
      <c r="K514" s="244" t="e">
        <f>VLOOKUP(I514,H518:K524,3,FALSE)</f>
        <v>#N/A</v>
      </c>
      <c r="L514" s="242"/>
      <c r="M514" s="31" t="e">
        <f>M512+1</f>
        <v>#N/A</v>
      </c>
      <c r="N514" s="243" t="e">
        <f>VLOOKUP(M512+1,L518:P524,2,FALSE)</f>
        <v>#N/A</v>
      </c>
      <c r="O514" s="244" t="e">
        <f>VLOOKUP(N514,M518:P524,2,FALSE)</f>
        <v>#N/A</v>
      </c>
      <c r="P514" s="244" t="e">
        <f>VLOOKUP(N514,M518:P524,3,FALSE)</f>
        <v>#N/A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 t="e">
        <f>I513+J513</f>
        <v>#N/A</v>
      </c>
      <c r="S520" s="246" t="e">
        <f>N513+O513</f>
        <v>#N/A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 t="e">
        <f>I531+J531</f>
        <v>#N/A</v>
      </c>
      <c r="S521" s="246" t="e">
        <f>N531+O531</f>
        <v>#N/A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 t="e">
        <f>I546+J546</f>
        <v>#N/A</v>
      </c>
      <c r="S522" s="247" t="e">
        <f>N546+O546</f>
        <v>#N/A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 t="e">
        <f>VLOOKUP(I530,H536:K540,4,FALSE)</f>
        <v>#N/A</v>
      </c>
      <c r="I530" s="243" t="e">
        <f>VLOOKUP(I531,H536:K540,1,TRUE)</f>
        <v>#N/A</v>
      </c>
      <c r="J530" s="248" t="e">
        <f>VLOOKUP(I530,H536:J540,2,FALSE)</f>
        <v>#N/A</v>
      </c>
      <c r="K530" s="248" t="e">
        <f>VLOOKUP(I530,H518:K540,3,FALSE)</f>
        <v>#N/A</v>
      </c>
      <c r="L530" s="242"/>
      <c r="M530" s="31" t="e">
        <f>VLOOKUP(N530,M536:P540,4,FALSE)</f>
        <v>#N/A</v>
      </c>
      <c r="N530" s="243" t="e">
        <f>VLOOKUP(N531,M536:P540,1,TRUE)</f>
        <v>#N/A</v>
      </c>
      <c r="O530" s="248" t="e">
        <f>VLOOKUP(N530,M536:P540,2,FALSE)</f>
        <v>#N/A</v>
      </c>
      <c r="P530" s="248" t="e">
        <f>VLOOKUP(N530,M536:P540,3,FALSE)</f>
        <v>#N/A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datos!H350</f>
        <v>0</v>
      </c>
      <c r="J531" s="249" t="e">
        <f>(J532-J530)/(I532-I530)*(I531-I530)+J530</f>
        <v>#N/A</v>
      </c>
      <c r="K531" s="249" t="e">
        <f>(K532-K530)/(I532-I530)*(I531-I530)+K530</f>
        <v>#N/A</v>
      </c>
      <c r="L531" s="242"/>
      <c r="M531" s="243"/>
      <c r="N531" s="32">
        <f>datos!I350</f>
        <v>0</v>
      </c>
      <c r="O531" s="249" t="e">
        <f>(O532-O530)/(N532-N530)*(N531-N530)+O530</f>
        <v>#N/A</v>
      </c>
      <c r="P531" s="249" t="e">
        <f>(P532-P530)/(O532-O530)*(O531-O530)+P530</f>
        <v>#N/A</v>
      </c>
      <c r="Q531" s="242"/>
      <c r="R531" s="242"/>
      <c r="S531" s="242"/>
      <c r="T531" s="242"/>
      <c r="U531" s="242"/>
    </row>
    <row r="532" spans="7:21" hidden="1" x14ac:dyDescent="0.25">
      <c r="H532" s="31" t="e">
        <f>H530+1</f>
        <v>#N/A</v>
      </c>
      <c r="I532" s="243" t="e">
        <f>VLOOKUP(H530+1,G536:J540,2,FALSE)</f>
        <v>#N/A</v>
      </c>
      <c r="J532" s="248" t="e">
        <f>VLOOKUP(I532,H536:K540,2,FALSE)</f>
        <v>#N/A</v>
      </c>
      <c r="K532" s="248" t="e">
        <f>VLOOKUP(I532,H536:K540,3,FALSE)</f>
        <v>#N/A</v>
      </c>
      <c r="L532" s="242"/>
      <c r="M532" s="31" t="e">
        <f>M530+1</f>
        <v>#N/A</v>
      </c>
      <c r="N532" s="243" t="e">
        <f>VLOOKUP(M530+1,L536:O540,2,FALSE)</f>
        <v>#N/A</v>
      </c>
      <c r="O532" s="248" t="e">
        <f>VLOOKUP(N532,M536:P540,2,FALSE)</f>
        <v>#N/A</v>
      </c>
      <c r="P532" s="248" t="e">
        <f>VLOOKUP(N532,M536:P540,3,FALSE)</f>
        <v>#N/A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 t="e">
        <f>VLOOKUP(I545,H550:K556,4,FALSE)</f>
        <v>#N/A</v>
      </c>
      <c r="I545" s="452" t="e">
        <f>VLOOKUP(I546,H550:K556,1,TRUE)</f>
        <v>#N/A</v>
      </c>
      <c r="J545" s="453" t="e">
        <f>VLOOKUP(I545,H550:K556,2,FALSE)</f>
        <v>#N/A</v>
      </c>
      <c r="K545" s="453" t="e">
        <f>VLOOKUP(I545,H550:K556,3,FALSE)</f>
        <v>#N/A</v>
      </c>
      <c r="L545" s="445"/>
      <c r="M545" s="422" t="e">
        <f>VLOOKUP(N545,M550:P556,4,FALSE)</f>
        <v>#N/A</v>
      </c>
      <c r="N545" s="452" t="e">
        <f>VLOOKUP(N546,M550:P556,1,TRUE)</f>
        <v>#N/A</v>
      </c>
      <c r="O545" s="453" t="e">
        <f>VLOOKUP(N545,M550:P556,2,FALSE)</f>
        <v>#N/A</v>
      </c>
      <c r="P545" s="453" t="e">
        <f>VLOOKUP(N545,M550:P556,3,FALSE)</f>
        <v>#N/A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datos!H351*100</f>
        <v>0</v>
      </c>
      <c r="J546" s="453" t="e">
        <f>(J547-J545)/(I547-I545)*(I546-I545)+J545</f>
        <v>#N/A</v>
      </c>
      <c r="K546" s="453" t="e">
        <f>(K547-K545)/(I547-I545)*(I546-I545)+K545</f>
        <v>#N/A</v>
      </c>
      <c r="L546" s="445"/>
      <c r="M546" s="422"/>
      <c r="N546" s="452">
        <f>datos!I351*100</f>
        <v>0</v>
      </c>
      <c r="O546" s="453" t="e">
        <f>(O547-O545)/(N547-N545)*(N546-N545)+O545</f>
        <v>#N/A</v>
      </c>
      <c r="P546" s="453" t="e">
        <f>(P547-P545)/(N547-N545)*(N546-N545)+P545</f>
        <v>#N/A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 t="e">
        <f>H545+1</f>
        <v>#N/A</v>
      </c>
      <c r="I547" s="452" t="e">
        <f>VLOOKUP(H545+1,G550:J556,2,FALSE)</f>
        <v>#N/A</v>
      </c>
      <c r="J547" s="453" t="e">
        <f>VLOOKUP(I547,H550:K556,2,FALSE)</f>
        <v>#N/A</v>
      </c>
      <c r="K547" s="453" t="e">
        <f>VLOOKUP(I547,H550:K556,3,FALSE)</f>
        <v>#N/A</v>
      </c>
      <c r="L547" s="445"/>
      <c r="M547" s="422" t="e">
        <f>M545+1</f>
        <v>#N/A</v>
      </c>
      <c r="N547" s="452" t="e">
        <f>VLOOKUP(M545+1,L550:O556,2,FALSE)</f>
        <v>#N/A</v>
      </c>
      <c r="O547" s="453" t="e">
        <f>VLOOKUP(N547,M550:P556,2,FALSE)</f>
        <v>#N/A</v>
      </c>
      <c r="P547" s="453" t="e">
        <f>VLOOKUP(N547,M550:P556,3,FALSE)</f>
        <v>#N/A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baseColWidth="10"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34"/>
    </row>
    <row r="3" spans="2:5" x14ac:dyDescent="0.3">
      <c r="B3" s="535" t="s">
        <v>751</v>
      </c>
      <c r="C3" s="535" t="s">
        <v>752</v>
      </c>
      <c r="D3" s="535" t="s">
        <v>753</v>
      </c>
      <c r="E3" s="535" t="s">
        <v>754</v>
      </c>
    </row>
    <row r="4" spans="2:5" x14ac:dyDescent="0.3">
      <c r="B4" s="536">
        <f>datos!T8</f>
        <v>0</v>
      </c>
      <c r="C4" s="537">
        <f>datos!T6</f>
        <v>0</v>
      </c>
      <c r="D4" s="538">
        <f>datos!T7</f>
        <v>0</v>
      </c>
      <c r="E4" s="538" t="str">
        <f>'DA Individual (g-mg)'!M10</f>
        <v>NI-MC-M-2056-2024</v>
      </c>
    </row>
    <row r="6" spans="2:5" x14ac:dyDescent="0.3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76"/>
  <sheetViews>
    <sheetView view="pageLayout" topLeftCell="A2" zoomScaleNormal="100" zoomScaleSheetLayoutView="100" workbookViewId="0">
      <selection activeCell="S28" sqref="S28:T28"/>
    </sheetView>
  </sheetViews>
  <sheetFormatPr baseColWidth="10" defaultColWidth="11.44140625" defaultRowHeight="14.4" x14ac:dyDescent="0.3"/>
  <cols>
    <col min="1" max="1" width="5.21875" customWidth="1"/>
    <col min="2" max="2" width="3.109375" customWidth="1"/>
    <col min="3" max="3" width="0.109375" hidden="1" customWidth="1"/>
    <col min="4" max="4" width="6.77734375" customWidth="1"/>
    <col min="5" max="5" width="5.33203125" bestFit="1" customWidth="1"/>
    <col min="6" max="6" width="3.6640625" customWidth="1"/>
    <col min="7" max="7" width="7.21875" customWidth="1"/>
    <col min="8" max="9" width="3" customWidth="1"/>
    <col min="10" max="10" width="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4.1093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655" t="str">
        <f>datos!D5</f>
        <v>NI-MC-M-2056-2024</v>
      </c>
      <c r="O9" s="655"/>
      <c r="P9" s="655"/>
      <c r="Q9" s="655"/>
      <c r="R9" s="655"/>
      <c r="S9" s="655"/>
      <c r="T9" s="655"/>
      <c r="U9" s="655"/>
      <c r="V9" s="655"/>
      <c r="W9" s="655"/>
    </row>
    <row r="10" spans="1:23" x14ac:dyDescent="0.3">
      <c r="A10" s="472" t="s">
        <v>786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datos!H8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3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631" t="str">
        <f>datos!H7</f>
        <v>2024-02-23</v>
      </c>
      <c r="O11" s="631"/>
      <c r="P11" s="631"/>
      <c r="Q11" s="631"/>
      <c r="R11" s="631"/>
      <c r="S11" s="631"/>
      <c r="T11" s="631"/>
      <c r="U11" s="631"/>
      <c r="V11" s="631"/>
      <c r="W11" s="631"/>
    </row>
    <row r="12" spans="1:23" x14ac:dyDescent="0.3">
      <c r="A12" s="472" t="s">
        <v>743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631">
        <f ca="1">NOW()</f>
        <v>45509.436688657406</v>
      </c>
      <c r="O12" s="631"/>
      <c r="P12" s="631"/>
      <c r="Q12" s="631"/>
      <c r="R12" s="510"/>
      <c r="S12" s="510"/>
      <c r="T12" s="510"/>
      <c r="U12" s="510"/>
      <c r="V12" s="510"/>
      <c r="W12" s="510"/>
    </row>
    <row r="13" spans="1:23" x14ac:dyDescent="0.3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632" t="str">
        <f>datos!D7</f>
        <v>Masa Patrón</v>
      </c>
      <c r="O13" s="630"/>
      <c r="P13" s="630"/>
      <c r="Q13" s="630"/>
      <c r="R13" s="630"/>
      <c r="S13" s="630"/>
      <c r="T13" s="630"/>
      <c r="U13" s="630"/>
      <c r="V13" s="630"/>
      <c r="W13" s="630"/>
    </row>
    <row r="14" spans="1:23" x14ac:dyDescent="0.3">
      <c r="A14" s="472" t="s">
        <v>699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632" t="str">
        <f>datos!D8</f>
        <v>Mettler Toledo</v>
      </c>
      <c r="O14" s="630"/>
      <c r="P14" s="630"/>
      <c r="Q14" s="630"/>
      <c r="R14" s="630"/>
      <c r="S14" s="630"/>
      <c r="T14" s="630"/>
      <c r="U14" s="630"/>
      <c r="V14" s="630"/>
      <c r="W14" s="630"/>
    </row>
    <row r="15" spans="1:23" x14ac:dyDescent="0.3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630">
        <f>'Salida de datos'!D8</f>
        <v>0</v>
      </c>
      <c r="O15" s="630"/>
      <c r="P15" s="630"/>
      <c r="Q15" s="630"/>
      <c r="R15" s="630"/>
      <c r="S15" s="630"/>
      <c r="T15" s="630"/>
      <c r="U15" s="630"/>
      <c r="V15" s="630"/>
      <c r="W15" s="630"/>
    </row>
    <row r="16" spans="1:23" x14ac:dyDescent="0.3">
      <c r="A16" s="472" t="s">
        <v>700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632" t="str">
        <f>datos!D9</f>
        <v>N/A</v>
      </c>
      <c r="O16" s="630"/>
      <c r="P16" s="630"/>
      <c r="Q16" s="630"/>
      <c r="R16" s="630"/>
      <c r="S16" s="630"/>
      <c r="T16" s="630"/>
      <c r="U16" s="630"/>
      <c r="V16" s="630"/>
      <c r="W16" s="630"/>
    </row>
    <row r="17" spans="1:23" x14ac:dyDescent="0.3">
      <c r="A17" s="472" t="s">
        <v>712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640">
        <f>'Salida de datos'!G8</f>
        <v>0</v>
      </c>
      <c r="O17" s="640"/>
      <c r="P17" s="640"/>
      <c r="Q17" s="564" t="str">
        <f>'Salida de datos'!H8</f>
        <v>g</v>
      </c>
      <c r="R17" s="215"/>
      <c r="S17" s="215"/>
      <c r="T17" s="215"/>
      <c r="U17" s="215"/>
      <c r="V17" s="215"/>
      <c r="W17" s="215"/>
    </row>
    <row r="18" spans="1:23" x14ac:dyDescent="0.3">
      <c r="A18" s="472" t="s">
        <v>701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630">
        <f>'Salida de datos'!D8</f>
        <v>0</v>
      </c>
      <c r="O18" s="630"/>
      <c r="P18" s="630"/>
      <c r="Q18" s="630"/>
      <c r="R18" s="630"/>
      <c r="S18" s="630"/>
      <c r="T18" s="630"/>
      <c r="U18" s="630"/>
      <c r="V18" s="630"/>
      <c r="W18" s="630"/>
    </row>
    <row r="19" spans="1:23" x14ac:dyDescent="0.3">
      <c r="A19" s="472" t="s">
        <v>355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630" t="str">
        <f>datos!D6</f>
        <v>Instituto Nicaraguense de Energía, INE</v>
      </c>
      <c r="O19" s="630"/>
      <c r="P19" s="630"/>
      <c r="Q19" s="630"/>
      <c r="R19" s="630"/>
      <c r="S19" s="630"/>
      <c r="T19" s="630"/>
      <c r="U19" s="630"/>
      <c r="V19" s="630"/>
      <c r="W19" s="630"/>
    </row>
    <row r="20" spans="1:23" x14ac:dyDescent="0.3">
      <c r="A20" s="489" t="s">
        <v>357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810" t="str">
        <f>datos!H5</f>
        <v>Frente al portón Lugo Renta Car, Bolonia</v>
      </c>
      <c r="O20" s="810"/>
      <c r="P20" s="810"/>
      <c r="Q20" s="810"/>
      <c r="R20" s="810"/>
      <c r="S20" s="810"/>
      <c r="T20" s="810"/>
      <c r="U20" s="810"/>
      <c r="V20" s="810"/>
      <c r="W20" s="810"/>
    </row>
    <row r="21" spans="1:23" ht="14.4" customHeight="1" x14ac:dyDescent="0.3">
      <c r="A21" s="472" t="s">
        <v>702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810" t="str">
        <f>datos!H6</f>
        <v>Laboratorio #2 Metrocal</v>
      </c>
      <c r="O21" s="810"/>
      <c r="P21" s="810"/>
      <c r="Q21" s="810"/>
      <c r="R21" s="810"/>
      <c r="S21" s="810"/>
      <c r="T21" s="810"/>
      <c r="U21" s="810"/>
      <c r="V21" s="810"/>
      <c r="W21" s="810"/>
    </row>
    <row r="22" spans="1:23" ht="14.4" customHeight="1" x14ac:dyDescent="0.3">
      <c r="A22" s="472"/>
      <c r="N22" s="471"/>
      <c r="O22" s="471"/>
      <c r="P22" s="471"/>
      <c r="Q22" s="471"/>
      <c r="R22" s="471"/>
      <c r="S22" s="471"/>
      <c r="T22" s="471"/>
      <c r="U22" s="471"/>
      <c r="V22" s="471"/>
      <c r="W22" s="471"/>
    </row>
    <row r="23" spans="1:23" x14ac:dyDescent="0.3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3">
      <c r="A24" s="472" t="s">
        <v>703</v>
      </c>
      <c r="C24" s="486"/>
      <c r="D24" s="486"/>
      <c r="E24" s="486"/>
      <c r="F24" s="486"/>
    </row>
    <row r="25" spans="1:23" x14ac:dyDescent="0.3">
      <c r="A25" s="215"/>
      <c r="B25" s="215"/>
      <c r="C25" s="215"/>
      <c r="D25" s="497"/>
      <c r="E25" s="497"/>
      <c r="F25" s="497"/>
      <c r="G25" s="497"/>
      <c r="H25" s="497"/>
      <c r="I25" s="497"/>
      <c r="J25" s="497"/>
      <c r="K25" s="497"/>
      <c r="L25" s="497"/>
      <c r="M25" s="497"/>
      <c r="N25" s="497"/>
      <c r="O25" s="497"/>
      <c r="P25" s="497"/>
      <c r="Q25" s="497"/>
      <c r="R25" s="497"/>
      <c r="S25" s="497"/>
      <c r="T25" s="497"/>
      <c r="U25" s="497"/>
      <c r="V25" s="497"/>
    </row>
    <row r="26" spans="1:23" ht="15" customHeight="1" x14ac:dyDescent="0.3">
      <c r="A26" s="215"/>
      <c r="B26" s="498"/>
      <c r="C26" s="498"/>
      <c r="D26" s="633" t="s">
        <v>465</v>
      </c>
      <c r="E26" s="633" t="s">
        <v>468</v>
      </c>
      <c r="F26" s="633"/>
      <c r="G26" s="633" t="s">
        <v>466</v>
      </c>
      <c r="H26" s="633"/>
      <c r="I26" s="634" t="s">
        <v>467</v>
      </c>
      <c r="J26" s="635"/>
      <c r="K26" s="635"/>
      <c r="L26" s="635"/>
      <c r="M26" s="635"/>
      <c r="N26" s="635"/>
      <c r="O26" s="635"/>
      <c r="P26" s="635"/>
      <c r="Q26" s="635"/>
      <c r="R26" s="636"/>
      <c r="S26" s="633" t="s">
        <v>732</v>
      </c>
      <c r="T26" s="633"/>
      <c r="U26" s="633"/>
      <c r="V26" s="633"/>
    </row>
    <row r="27" spans="1:23" ht="14.25" customHeight="1" x14ac:dyDescent="0.3">
      <c r="A27" s="215"/>
      <c r="B27" s="498"/>
      <c r="C27" s="498"/>
      <c r="D27" s="633"/>
      <c r="E27" s="633"/>
      <c r="F27" s="633"/>
      <c r="G27" s="633"/>
      <c r="H27" s="633"/>
      <c r="I27" s="637"/>
      <c r="J27" s="638"/>
      <c r="K27" s="638"/>
      <c r="L27" s="638"/>
      <c r="M27" s="638"/>
      <c r="N27" s="638"/>
      <c r="O27" s="638"/>
      <c r="P27" s="638"/>
      <c r="Q27" s="638"/>
      <c r="R27" s="639"/>
      <c r="S27" s="633"/>
      <c r="T27" s="633"/>
      <c r="U27" s="633"/>
      <c r="V27" s="633"/>
    </row>
    <row r="28" spans="1:23" x14ac:dyDescent="0.3">
      <c r="A28" s="215"/>
      <c r="B28" s="498"/>
      <c r="C28" s="498"/>
      <c r="D28" s="499">
        <f>'Salida de datos'!C8</f>
        <v>1</v>
      </c>
      <c r="E28" s="647">
        <f>'Salida de datos'!D8</f>
        <v>0</v>
      </c>
      <c r="F28" s="647"/>
      <c r="G28" s="500">
        <f>'Salida de datos'!E8</f>
        <v>0</v>
      </c>
      <c r="H28" s="500" t="str">
        <f>'Salida de datos'!F8</f>
        <v>g</v>
      </c>
      <c r="I28" s="649">
        <f>'Salida de datos'!G8</f>
        <v>0</v>
      </c>
      <c r="J28" s="649"/>
      <c r="K28" s="649" t="str">
        <f>'Salida de datos'!H8</f>
        <v>g</v>
      </c>
      <c r="L28" s="650"/>
      <c r="M28" s="500" t="e">
        <f>'Salida de datos'!I8</f>
        <v>#N/A</v>
      </c>
      <c r="N28" s="651" t="e">
        <f>'Salida de datos'!J8</f>
        <v>#N/A</v>
      </c>
      <c r="O28" s="651"/>
      <c r="P28" s="651"/>
      <c r="Q28" s="651" t="str">
        <f>'Salida de datos'!K8</f>
        <v>mg</v>
      </c>
      <c r="R28" s="651"/>
      <c r="S28" s="651" t="e">
        <f>'Salida de datos'!L8</f>
        <v>#N/A</v>
      </c>
      <c r="T28" s="651"/>
      <c r="U28" s="650" t="str">
        <f>'Salida de datos'!M8</f>
        <v>mg</v>
      </c>
      <c r="V28" s="650"/>
    </row>
    <row r="29" spans="1:23" hidden="1" x14ac:dyDescent="0.3">
      <c r="A29" s="215"/>
      <c r="B29" s="498"/>
      <c r="C29" s="498"/>
      <c r="D29" s="499">
        <f>'Salida de datos'!C9</f>
        <v>2</v>
      </c>
      <c r="E29" s="647">
        <f>'Salida de datos'!D9</f>
        <v>0</v>
      </c>
      <c r="F29" s="647"/>
      <c r="G29" s="500">
        <f>'Salida de datos'!E9</f>
        <v>0</v>
      </c>
      <c r="H29" s="500" t="str">
        <f>'Salida de datos'!F9</f>
        <v>g</v>
      </c>
      <c r="I29" s="649">
        <f>'Salida de datos'!G9</f>
        <v>0</v>
      </c>
      <c r="J29" s="649"/>
      <c r="K29" s="649" t="str">
        <f>'Salida de datos'!H9</f>
        <v>g</v>
      </c>
      <c r="L29" s="650"/>
      <c r="M29" s="500" t="e">
        <f>'Salida de datos'!I9</f>
        <v>#N/A</v>
      </c>
      <c r="N29" s="809" t="e">
        <f>'Salida de datos'!J9</f>
        <v>#N/A</v>
      </c>
      <c r="O29" s="809"/>
      <c r="P29" s="809"/>
      <c r="Q29" s="651" t="str">
        <f>'Salida de datos'!K9</f>
        <v>mg</v>
      </c>
      <c r="R29" s="651"/>
      <c r="S29" s="651" t="e">
        <f>'Salida de datos'!L9</f>
        <v>#N/A</v>
      </c>
      <c r="T29" s="651"/>
      <c r="U29" s="650" t="str">
        <f>'Salida de datos'!M9</f>
        <v>mg</v>
      </c>
      <c r="V29" s="650"/>
    </row>
    <row r="30" spans="1:23" x14ac:dyDescent="0.3">
      <c r="A30" s="215"/>
      <c r="B30" s="215"/>
      <c r="C30" s="215"/>
      <c r="D30" s="490"/>
      <c r="U30" s="490"/>
      <c r="V30" s="490"/>
    </row>
    <row r="31" spans="1:23" x14ac:dyDescent="0.3">
      <c r="A31" s="472" t="s">
        <v>713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472" t="s">
        <v>714</v>
      </c>
      <c r="P31" s="215"/>
      <c r="Q31" s="215"/>
      <c r="R31" s="215"/>
      <c r="S31" s="215"/>
      <c r="T31" s="215"/>
      <c r="U31" s="215"/>
      <c r="V31" s="215"/>
      <c r="W31" s="215"/>
    </row>
    <row r="32" spans="1:23" x14ac:dyDescent="0.3">
      <c r="A32" s="641" t="s">
        <v>715</v>
      </c>
      <c r="B32" s="641"/>
      <c r="C32" s="641"/>
      <c r="D32" s="641"/>
      <c r="E32" s="491" t="e">
        <f>AVERAGE(datos!H26:I26)</f>
        <v>#DIV/0!</v>
      </c>
      <c r="F32" s="480" t="s">
        <v>716</v>
      </c>
      <c r="G32" s="492">
        <v>0.5</v>
      </c>
      <c r="H32" s="475" t="s">
        <v>7</v>
      </c>
      <c r="I32" s="215"/>
      <c r="J32" s="215"/>
      <c r="K32" s="630"/>
      <c r="L32" s="630"/>
      <c r="M32" s="215"/>
      <c r="N32" s="215"/>
      <c r="O32" s="641" t="s">
        <v>717</v>
      </c>
      <c r="P32" s="641"/>
      <c r="Q32" s="641"/>
      <c r="R32" s="215" t="e">
        <f>AVERAGE(datos!H28:I28)</f>
        <v>#DIV/0!</v>
      </c>
      <c r="S32" s="480" t="s">
        <v>718</v>
      </c>
      <c r="T32" s="480" t="s">
        <v>120</v>
      </c>
      <c r="U32" s="491">
        <v>1.5</v>
      </c>
      <c r="V32" s="215" t="s">
        <v>718</v>
      </c>
      <c r="W32" s="215"/>
    </row>
    <row r="33" spans="1:24" x14ac:dyDescent="0.3">
      <c r="A33" s="641" t="s">
        <v>719</v>
      </c>
      <c r="B33" s="641"/>
      <c r="C33" s="641"/>
      <c r="D33" s="641"/>
      <c r="E33" s="491" t="e">
        <f>AVERAGE(datos!H27:I27)</f>
        <v>#DIV/0!</v>
      </c>
      <c r="F33" s="480" t="s">
        <v>720</v>
      </c>
      <c r="G33" s="492">
        <v>3.6</v>
      </c>
      <c r="H33" s="643" t="s">
        <v>721</v>
      </c>
      <c r="I33" s="643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</row>
    <row r="34" spans="1:24" x14ac:dyDescent="0.3">
      <c r="A34" s="475"/>
      <c r="B34" s="475"/>
      <c r="C34" s="475"/>
      <c r="D34" s="475"/>
      <c r="E34" s="491"/>
      <c r="F34" s="480"/>
      <c r="G34" s="492"/>
      <c r="H34" s="480"/>
      <c r="I34" s="215"/>
      <c r="J34" s="215"/>
      <c r="K34" s="215"/>
      <c r="Q34" s="215"/>
      <c r="R34" s="215"/>
      <c r="U34" s="215"/>
      <c r="V34" s="215"/>
      <c r="W34" s="215"/>
    </row>
    <row r="35" spans="1:24" x14ac:dyDescent="0.3">
      <c r="A35" s="472" t="s">
        <v>704</v>
      </c>
      <c r="B35" s="215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V35" s="215"/>
    </row>
    <row r="36" spans="1:24" ht="15" customHeight="1" x14ac:dyDescent="0.3">
      <c r="A36" s="493" t="s">
        <v>722</v>
      </c>
      <c r="B36" s="473"/>
      <c r="C36" s="473"/>
      <c r="D36" s="49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</row>
    <row r="37" spans="1:24" ht="15" customHeight="1" x14ac:dyDescent="0.3">
      <c r="A37" s="493"/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3">
      <c r="A38" s="472" t="s">
        <v>705</v>
      </c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3">
      <c r="A39" s="644" t="s">
        <v>723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4"/>
      <c r="T39" s="644"/>
      <c r="U39" s="644"/>
      <c r="V39" s="644"/>
      <c r="W39" s="644"/>
    </row>
    <row r="40" spans="1:24" ht="15" customHeight="1" x14ac:dyDescent="0.3">
      <c r="A40" s="644"/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4"/>
      <c r="T40" s="644"/>
      <c r="U40" s="644"/>
      <c r="V40" s="644"/>
      <c r="W40" s="644"/>
    </row>
    <row r="41" spans="1:24" x14ac:dyDescent="0.3">
      <c r="A41" s="644"/>
      <c r="B41" s="644"/>
      <c r="C41" s="644"/>
      <c r="D41" s="644"/>
      <c r="E41" s="644"/>
      <c r="F41" s="644"/>
      <c r="G41" s="644"/>
      <c r="H41" s="644"/>
      <c r="I41" s="644"/>
      <c r="J41" s="644"/>
      <c r="K41" s="644"/>
      <c r="L41" s="644"/>
      <c r="M41" s="644"/>
      <c r="N41" s="644"/>
      <c r="O41" s="644"/>
      <c r="P41" s="644"/>
      <c r="Q41" s="644"/>
      <c r="R41" s="644"/>
      <c r="S41" s="644"/>
      <c r="T41" s="644"/>
      <c r="U41" s="644"/>
      <c r="V41" s="644"/>
      <c r="W41" s="644"/>
    </row>
    <row r="42" spans="1:24" x14ac:dyDescent="0.3">
      <c r="A42" s="644"/>
      <c r="B42" s="644"/>
      <c r="C42" s="644"/>
      <c r="D42" s="644"/>
      <c r="E42" s="644"/>
      <c r="F42" s="644"/>
      <c r="G42" s="644"/>
      <c r="H42" s="644"/>
      <c r="I42" s="644"/>
      <c r="J42" s="644"/>
      <c r="K42" s="644"/>
      <c r="L42" s="644"/>
      <c r="M42" s="644"/>
      <c r="N42" s="644"/>
      <c r="O42" s="644"/>
      <c r="P42" s="644"/>
      <c r="Q42" s="644"/>
      <c r="R42" s="644"/>
      <c r="S42" s="644"/>
      <c r="T42" s="644"/>
      <c r="U42" s="644"/>
      <c r="V42" s="644"/>
      <c r="W42" s="644"/>
    </row>
    <row r="43" spans="1:24" x14ac:dyDescent="0.3">
      <c r="A43" s="644"/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644"/>
      <c r="T43" s="644"/>
      <c r="U43" s="644"/>
      <c r="V43" s="644"/>
      <c r="W43" s="644"/>
    </row>
    <row r="44" spans="1:24" x14ac:dyDescent="0.3">
      <c r="A44" s="472" t="s">
        <v>706</v>
      </c>
      <c r="B44" s="215"/>
      <c r="C44" s="215"/>
      <c r="D44" s="215"/>
      <c r="E44" s="215"/>
      <c r="F44" s="215"/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</row>
    <row r="45" spans="1:24" x14ac:dyDescent="0.3">
      <c r="A45" s="473"/>
      <c r="B45" s="473"/>
      <c r="C45" s="473"/>
      <c r="D45" s="473"/>
      <c r="E45" s="473"/>
      <c r="F45" s="473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</row>
    <row r="46" spans="1:24" x14ac:dyDescent="0.3">
      <c r="A46" s="645" t="s">
        <v>724</v>
      </c>
      <c r="B46" s="645"/>
      <c r="C46" s="645"/>
      <c r="D46" s="645"/>
      <c r="E46" s="645" t="s">
        <v>1</v>
      </c>
      <c r="F46" s="645"/>
      <c r="G46" s="645"/>
      <c r="H46" s="645"/>
      <c r="I46" s="645"/>
      <c r="J46" s="645"/>
      <c r="K46" s="646" t="s">
        <v>15</v>
      </c>
      <c r="L46" s="646"/>
      <c r="M46" s="646"/>
      <c r="N46" s="646"/>
      <c r="O46" s="646"/>
      <c r="P46" s="646"/>
      <c r="Q46" s="645" t="s">
        <v>725</v>
      </c>
      <c r="R46" s="645"/>
      <c r="S46" s="645"/>
      <c r="T46" s="645"/>
      <c r="U46" s="646" t="s">
        <v>726</v>
      </c>
      <c r="V46" s="646"/>
      <c r="W46" s="646"/>
      <c r="X46" s="646"/>
    </row>
    <row r="47" spans="1:24" x14ac:dyDescent="0.3">
      <c r="A47" s="642"/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  <c r="O47" s="642"/>
      <c r="P47" s="642"/>
      <c r="Q47" s="642"/>
      <c r="R47" s="642"/>
      <c r="S47" s="642"/>
      <c r="T47" s="642"/>
      <c r="U47" s="656"/>
      <c r="V47" s="656"/>
      <c r="W47" s="656"/>
      <c r="X47" s="656"/>
    </row>
    <row r="48" spans="1:24" x14ac:dyDescent="0.3">
      <c r="A48" s="642"/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642"/>
      <c r="U48" s="656"/>
      <c r="V48" s="656"/>
      <c r="W48" s="656"/>
      <c r="X48" s="656"/>
    </row>
    <row r="49" spans="1:23" x14ac:dyDescent="0.3">
      <c r="A49" s="476"/>
      <c r="B49" s="476"/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6"/>
      <c r="O49" s="476"/>
      <c r="P49" s="476"/>
      <c r="Q49" s="476"/>
      <c r="R49" s="476"/>
      <c r="S49" s="476"/>
      <c r="T49" s="476"/>
      <c r="U49" s="476"/>
      <c r="V49" s="476"/>
      <c r="W49" s="476"/>
    </row>
    <row r="50" spans="1:23" x14ac:dyDescent="0.3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3" x14ac:dyDescent="0.3">
      <c r="A51" s="475"/>
      <c r="B51" s="475"/>
      <c r="C51" s="475"/>
      <c r="D51" s="475"/>
      <c r="E51" s="491"/>
      <c r="F51" s="480"/>
      <c r="G51" s="492"/>
      <c r="H51" s="480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</row>
    <row r="52" spans="1:23" x14ac:dyDescent="0.3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3" x14ac:dyDescent="0.3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3" x14ac:dyDescent="0.3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3" x14ac:dyDescent="0.3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3" x14ac:dyDescent="0.3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3" x14ac:dyDescent="0.3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3" x14ac:dyDescent="0.3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3" x14ac:dyDescent="0.3">
      <c r="A59" s="472" t="s">
        <v>352</v>
      </c>
      <c r="B59" s="215"/>
      <c r="C59" s="486"/>
      <c r="D59" s="487"/>
      <c r="E59" s="487"/>
      <c r="F59" s="487"/>
      <c r="G59" s="215"/>
      <c r="H59" s="215"/>
      <c r="I59" s="215"/>
      <c r="J59" s="215"/>
      <c r="K59" s="215"/>
      <c r="L59" s="215"/>
      <c r="M59" s="215"/>
      <c r="N59" s="655" t="str">
        <f>N9</f>
        <v>NI-MC-M-2056-2024</v>
      </c>
      <c r="O59" s="655"/>
      <c r="P59" s="655"/>
      <c r="Q59" s="655"/>
      <c r="R59" s="655"/>
      <c r="S59" s="655"/>
      <c r="T59" s="655"/>
      <c r="U59" s="655"/>
      <c r="V59" s="655"/>
      <c r="W59" s="655"/>
    </row>
    <row r="60" spans="1:23" x14ac:dyDescent="0.3">
      <c r="A60" s="472"/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494"/>
      <c r="O60" s="494"/>
      <c r="P60" s="494"/>
      <c r="Q60" s="494"/>
      <c r="R60" s="494"/>
      <c r="S60" s="494"/>
      <c r="T60" s="494"/>
      <c r="U60" s="494"/>
      <c r="V60" s="494"/>
      <c r="W60" s="494"/>
    </row>
    <row r="61" spans="1:23" x14ac:dyDescent="0.3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3" ht="15" customHeight="1" x14ac:dyDescent="0.3">
      <c r="A62" s="472" t="s">
        <v>707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3" x14ac:dyDescent="0.3">
      <c r="A63" s="495" t="s">
        <v>708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3" x14ac:dyDescent="0.3">
      <c r="A64" s="495" t="s">
        <v>727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3">
      <c r="A65" s="495" t="s">
        <v>728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3">
      <c r="A66" s="215" t="s">
        <v>741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3">
      <c r="A67" s="215" t="s">
        <v>742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3">
      <c r="X68" s="215"/>
    </row>
    <row r="69" spans="1:24" x14ac:dyDescent="0.3">
      <c r="X69" s="215"/>
    </row>
    <row r="72" spans="1:24" x14ac:dyDescent="0.3">
      <c r="I72" s="654" t="s">
        <v>542</v>
      </c>
      <c r="J72" s="654"/>
      <c r="K72" s="654"/>
      <c r="L72" s="654"/>
      <c r="M72" s="654"/>
      <c r="N72" s="654"/>
      <c r="O72" s="654"/>
      <c r="P72" s="654"/>
    </row>
    <row r="73" spans="1:24" x14ac:dyDescent="0.3">
      <c r="I73" s="652" t="str">
        <f>IF($I$72=[3]Generales!F1,[3]Generales!F6,[3]Generales!F5)</f>
        <v>Director Técnico</v>
      </c>
      <c r="J73" s="652"/>
      <c r="K73" s="652"/>
      <c r="L73" s="652"/>
      <c r="M73" s="652"/>
      <c r="N73" s="652"/>
      <c r="O73" s="652"/>
      <c r="P73" s="652"/>
    </row>
    <row r="74" spans="1:24" x14ac:dyDescent="0.3">
      <c r="I74" s="653" t="s">
        <v>709</v>
      </c>
      <c r="J74" s="653"/>
      <c r="K74" s="653"/>
      <c r="L74" s="653"/>
      <c r="M74" s="653"/>
      <c r="N74" s="653"/>
      <c r="O74" s="653"/>
      <c r="P74" s="653"/>
    </row>
    <row r="76" spans="1:24" x14ac:dyDescent="0.3">
      <c r="I76" s="643" t="s">
        <v>731</v>
      </c>
      <c r="J76" s="643"/>
      <c r="K76" s="643"/>
      <c r="L76" s="643"/>
      <c r="M76" s="643"/>
      <c r="N76" s="643"/>
      <c r="O76" s="643"/>
      <c r="P76" s="643"/>
    </row>
  </sheetData>
  <mergeCells count="57">
    <mergeCell ref="N16:W16"/>
    <mergeCell ref="N9:W9"/>
    <mergeCell ref="N11:W11"/>
    <mergeCell ref="N13:W13"/>
    <mergeCell ref="N14:W14"/>
    <mergeCell ref="N15:W15"/>
    <mergeCell ref="N12:Q12"/>
    <mergeCell ref="D26:D27"/>
    <mergeCell ref="E26:F27"/>
    <mergeCell ref="G26:H27"/>
    <mergeCell ref="I26:R27"/>
    <mergeCell ref="S26:V27"/>
    <mergeCell ref="N18:W18"/>
    <mergeCell ref="N19:W19"/>
    <mergeCell ref="N20:W20"/>
    <mergeCell ref="N17:P17"/>
    <mergeCell ref="N21:W21"/>
    <mergeCell ref="U28:V28"/>
    <mergeCell ref="E29:F29"/>
    <mergeCell ref="I29:J29"/>
    <mergeCell ref="K29:L29"/>
    <mergeCell ref="N29:P29"/>
    <mergeCell ref="Q29:R29"/>
    <mergeCell ref="S29:T29"/>
    <mergeCell ref="U29:V29"/>
    <mergeCell ref="E28:F28"/>
    <mergeCell ref="I28:J28"/>
    <mergeCell ref="K28:L28"/>
    <mergeCell ref="N28:P28"/>
    <mergeCell ref="Q28:R28"/>
    <mergeCell ref="S28:T28"/>
    <mergeCell ref="I76:P76"/>
    <mergeCell ref="K32:L32"/>
    <mergeCell ref="O32:Q32"/>
    <mergeCell ref="A33:D33"/>
    <mergeCell ref="H33:I33"/>
    <mergeCell ref="A47:D47"/>
    <mergeCell ref="E47:J47"/>
    <mergeCell ref="K47:P47"/>
    <mergeCell ref="Q47:T47"/>
    <mergeCell ref="A39:W43"/>
    <mergeCell ref="U47:X47"/>
    <mergeCell ref="A46:D46"/>
    <mergeCell ref="E46:J46"/>
    <mergeCell ref="K46:P46"/>
    <mergeCell ref="Q46:T46"/>
    <mergeCell ref="U46:X46"/>
    <mergeCell ref="U48:X48"/>
    <mergeCell ref="N59:W59"/>
    <mergeCell ref="I72:P72"/>
    <mergeCell ref="I73:P73"/>
    <mergeCell ref="I74:P74"/>
    <mergeCell ref="A32:D32"/>
    <mergeCell ref="A48:D48"/>
    <mergeCell ref="E48:J48"/>
    <mergeCell ref="K48:P48"/>
    <mergeCell ref="Q48:T48"/>
  </mergeCells>
  <conditionalFormatting sqref="A66">
    <cfRule type="cellIs" priority="1" operator="equal">
      <formula>$D$24</formula>
    </cfRule>
  </conditionalFormatting>
  <conditionalFormatting sqref="A67">
    <cfRule type="cellIs" priority="2" operator="equal">
      <formula>$F$25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I72:P72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topLeftCell="A22" workbookViewId="0">
      <selection activeCell="G11" sqref="G11"/>
    </sheetView>
  </sheetViews>
  <sheetFormatPr baseColWidth="10"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811" t="s">
        <v>544</v>
      </c>
      <c r="B2" s="811"/>
      <c r="C2" s="811"/>
    </row>
    <row r="3" spans="1:3" x14ac:dyDescent="0.3">
      <c r="B3" s="812" t="s">
        <v>545</v>
      </c>
      <c r="C3" s="812"/>
    </row>
    <row r="4" spans="1:3" ht="7.2" customHeight="1" x14ac:dyDescent="0.3">
      <c r="B4" s="470"/>
      <c r="C4" s="470"/>
    </row>
    <row r="5" spans="1:3" x14ac:dyDescent="0.3">
      <c r="A5" s="558" t="s">
        <v>546</v>
      </c>
      <c r="B5" s="559" t="s">
        <v>543</v>
      </c>
      <c r="C5" s="559" t="s">
        <v>1350</v>
      </c>
    </row>
    <row r="6" spans="1:3" x14ac:dyDescent="0.3">
      <c r="A6" s="560">
        <v>1</v>
      </c>
      <c r="B6" s="548" t="s">
        <v>837</v>
      </c>
      <c r="C6" s="548" t="s">
        <v>547</v>
      </c>
    </row>
    <row r="7" spans="1:3" x14ac:dyDescent="0.3">
      <c r="A7" s="560">
        <v>2</v>
      </c>
      <c r="B7" s="550" t="s">
        <v>838</v>
      </c>
      <c r="C7" s="548" t="s">
        <v>839</v>
      </c>
    </row>
    <row r="8" spans="1:3" x14ac:dyDescent="0.3">
      <c r="A8" s="560">
        <v>3</v>
      </c>
      <c r="B8" s="548" t="s">
        <v>558</v>
      </c>
      <c r="C8" s="548" t="s">
        <v>559</v>
      </c>
    </row>
    <row r="9" spans="1:3" x14ac:dyDescent="0.3">
      <c r="A9" s="560">
        <v>4</v>
      </c>
      <c r="B9" s="548" t="s">
        <v>840</v>
      </c>
      <c r="C9" s="548" t="s">
        <v>841</v>
      </c>
    </row>
    <row r="10" spans="1:3" x14ac:dyDescent="0.3">
      <c r="A10" s="560">
        <v>5</v>
      </c>
      <c r="B10" s="548" t="s">
        <v>548</v>
      </c>
      <c r="C10" s="548" t="s">
        <v>549</v>
      </c>
    </row>
    <row r="11" spans="1:3" x14ac:dyDescent="0.3">
      <c r="A11" s="560">
        <v>6</v>
      </c>
      <c r="B11" s="551" t="s">
        <v>842</v>
      </c>
      <c r="C11" s="551" t="s">
        <v>843</v>
      </c>
    </row>
    <row r="12" spans="1:3" x14ac:dyDescent="0.3">
      <c r="A12" s="560">
        <v>7</v>
      </c>
      <c r="B12" s="548" t="s">
        <v>844</v>
      </c>
      <c r="C12" s="548" t="s">
        <v>845</v>
      </c>
    </row>
    <row r="13" spans="1:3" x14ac:dyDescent="0.3">
      <c r="A13" s="560">
        <v>8</v>
      </c>
      <c r="B13" s="548" t="s">
        <v>561</v>
      </c>
      <c r="C13" s="548" t="s">
        <v>562</v>
      </c>
    </row>
    <row r="14" spans="1:3" x14ac:dyDescent="0.3">
      <c r="A14" s="560">
        <v>9</v>
      </c>
      <c r="B14" s="548" t="s">
        <v>550</v>
      </c>
      <c r="C14" s="548" t="s">
        <v>551</v>
      </c>
    </row>
    <row r="15" spans="1:3" x14ac:dyDescent="0.3">
      <c r="A15" s="560">
        <v>10</v>
      </c>
      <c r="B15" s="548" t="s">
        <v>554</v>
      </c>
      <c r="C15" s="548" t="s">
        <v>555</v>
      </c>
    </row>
    <row r="16" spans="1:3" x14ac:dyDescent="0.3">
      <c r="A16" s="560">
        <v>11</v>
      </c>
      <c r="B16" s="215" t="s">
        <v>846</v>
      </c>
      <c r="C16" s="551" t="s">
        <v>847</v>
      </c>
    </row>
    <row r="17" spans="1:3" x14ac:dyDescent="0.3">
      <c r="A17" s="560">
        <v>12</v>
      </c>
      <c r="B17" s="548" t="s">
        <v>848</v>
      </c>
      <c r="C17" s="548" t="s">
        <v>849</v>
      </c>
    </row>
    <row r="18" spans="1:3" x14ac:dyDescent="0.3">
      <c r="A18" s="560">
        <v>13</v>
      </c>
      <c r="B18" s="548" t="s">
        <v>552</v>
      </c>
      <c r="C18" s="548" t="s">
        <v>553</v>
      </c>
    </row>
    <row r="19" spans="1:3" x14ac:dyDescent="0.3">
      <c r="A19" s="560">
        <v>14</v>
      </c>
      <c r="B19" s="548" t="s">
        <v>850</v>
      </c>
      <c r="C19" s="548" t="s">
        <v>609</v>
      </c>
    </row>
    <row r="20" spans="1:3" x14ac:dyDescent="0.3">
      <c r="A20" s="560">
        <v>15</v>
      </c>
      <c r="B20" s="548" t="s">
        <v>851</v>
      </c>
      <c r="C20" s="548" t="s">
        <v>852</v>
      </c>
    </row>
    <row r="21" spans="1:3" x14ac:dyDescent="0.3">
      <c r="A21" s="560">
        <v>16</v>
      </c>
      <c r="B21" s="548" t="s">
        <v>853</v>
      </c>
      <c r="C21" s="548" t="s">
        <v>563</v>
      </c>
    </row>
    <row r="22" spans="1:3" ht="26.4" x14ac:dyDescent="0.3">
      <c r="A22" s="560">
        <v>17</v>
      </c>
      <c r="B22" s="548" t="s">
        <v>854</v>
      </c>
      <c r="C22" s="548" t="s">
        <v>855</v>
      </c>
    </row>
    <row r="23" spans="1:3" x14ac:dyDescent="0.3">
      <c r="A23" s="560">
        <v>18</v>
      </c>
      <c r="B23" s="548" t="s">
        <v>856</v>
      </c>
      <c r="C23" s="548" t="s">
        <v>857</v>
      </c>
    </row>
    <row r="24" spans="1:3" x14ac:dyDescent="0.3">
      <c r="A24" s="560">
        <v>19</v>
      </c>
      <c r="B24" s="548" t="s">
        <v>390</v>
      </c>
      <c r="C24" s="548" t="s">
        <v>858</v>
      </c>
    </row>
    <row r="25" spans="1:3" x14ac:dyDescent="0.3">
      <c r="A25" s="560">
        <v>20</v>
      </c>
      <c r="B25" s="548" t="s">
        <v>859</v>
      </c>
      <c r="C25" s="548" t="s">
        <v>860</v>
      </c>
    </row>
    <row r="26" spans="1:3" x14ac:dyDescent="0.3">
      <c r="A26" s="560">
        <v>21</v>
      </c>
      <c r="B26" s="548" t="s">
        <v>861</v>
      </c>
      <c r="C26" s="548" t="s">
        <v>862</v>
      </c>
    </row>
    <row r="27" spans="1:3" x14ac:dyDescent="0.3">
      <c r="A27" s="560">
        <v>22</v>
      </c>
      <c r="B27" s="548" t="s">
        <v>863</v>
      </c>
      <c r="C27" s="548" t="s">
        <v>864</v>
      </c>
    </row>
    <row r="28" spans="1:3" x14ac:dyDescent="0.3">
      <c r="A28" s="560">
        <v>23</v>
      </c>
      <c r="B28" s="548" t="s">
        <v>865</v>
      </c>
      <c r="C28" s="548" t="s">
        <v>866</v>
      </c>
    </row>
    <row r="29" spans="1:3" x14ac:dyDescent="0.3">
      <c r="A29" s="560">
        <v>24</v>
      </c>
      <c r="B29" s="548" t="s">
        <v>867</v>
      </c>
      <c r="C29" s="548" t="s">
        <v>556</v>
      </c>
    </row>
    <row r="30" spans="1:3" x14ac:dyDescent="0.3">
      <c r="A30" s="560">
        <v>25</v>
      </c>
      <c r="B30" s="548" t="s">
        <v>868</v>
      </c>
      <c r="C30" s="548" t="s">
        <v>560</v>
      </c>
    </row>
    <row r="31" spans="1:3" x14ac:dyDescent="0.3">
      <c r="A31" s="560">
        <v>26</v>
      </c>
      <c r="B31" s="548" t="s">
        <v>869</v>
      </c>
      <c r="C31" s="548" t="s">
        <v>870</v>
      </c>
    </row>
    <row r="32" spans="1:3" x14ac:dyDescent="0.3">
      <c r="A32" s="560">
        <v>27</v>
      </c>
      <c r="B32" s="548" t="s">
        <v>871</v>
      </c>
      <c r="C32" s="548" t="s">
        <v>872</v>
      </c>
    </row>
    <row r="33" spans="1:3" x14ac:dyDescent="0.3">
      <c r="A33" s="560">
        <v>28</v>
      </c>
      <c r="B33" s="548" t="s">
        <v>557</v>
      </c>
      <c r="C33" s="550" t="s">
        <v>873</v>
      </c>
    </row>
    <row r="34" spans="1:3" x14ac:dyDescent="0.3">
      <c r="A34" s="560">
        <v>29</v>
      </c>
      <c r="B34" s="548" t="s">
        <v>874</v>
      </c>
      <c r="C34" s="548" t="s">
        <v>804</v>
      </c>
    </row>
    <row r="35" spans="1:3" x14ac:dyDescent="0.3">
      <c r="A35" s="560">
        <v>30</v>
      </c>
      <c r="B35" s="548" t="s">
        <v>875</v>
      </c>
      <c r="C35" s="548" t="s">
        <v>876</v>
      </c>
    </row>
    <row r="36" spans="1:3" x14ac:dyDescent="0.3">
      <c r="A36" s="560">
        <v>31</v>
      </c>
      <c r="B36" s="548" t="s">
        <v>877</v>
      </c>
      <c r="C36" s="548" t="s">
        <v>878</v>
      </c>
    </row>
    <row r="37" spans="1:3" x14ac:dyDescent="0.3">
      <c r="A37" s="560">
        <v>32</v>
      </c>
      <c r="B37" s="548" t="s">
        <v>564</v>
      </c>
      <c r="C37" s="548" t="s">
        <v>565</v>
      </c>
    </row>
    <row r="38" spans="1:3" x14ac:dyDescent="0.3">
      <c r="A38" s="560">
        <v>33</v>
      </c>
      <c r="B38" s="548" t="s">
        <v>879</v>
      </c>
      <c r="C38" s="548" t="s">
        <v>880</v>
      </c>
    </row>
    <row r="39" spans="1:3" x14ac:dyDescent="0.3">
      <c r="A39" s="560">
        <v>34</v>
      </c>
      <c r="B39" s="548" t="s">
        <v>881</v>
      </c>
      <c r="C39" s="548" t="s">
        <v>882</v>
      </c>
    </row>
    <row r="40" spans="1:3" x14ac:dyDescent="0.3">
      <c r="A40" s="560">
        <v>35</v>
      </c>
      <c r="B40" s="215" t="s">
        <v>883</v>
      </c>
      <c r="C40" s="548" t="s">
        <v>884</v>
      </c>
    </row>
    <row r="41" spans="1:3" x14ac:dyDescent="0.3">
      <c r="A41" s="560">
        <v>36</v>
      </c>
      <c r="B41" s="548" t="s">
        <v>805</v>
      </c>
      <c r="C41" s="548" t="s">
        <v>806</v>
      </c>
    </row>
    <row r="42" spans="1:3" x14ac:dyDescent="0.3">
      <c r="A42" s="560">
        <v>37</v>
      </c>
      <c r="B42" s="552" t="s">
        <v>836</v>
      </c>
      <c r="C42" s="548" t="s">
        <v>885</v>
      </c>
    </row>
    <row r="43" spans="1:3" x14ac:dyDescent="0.3">
      <c r="A43" s="560">
        <v>38</v>
      </c>
      <c r="B43" s="548" t="s">
        <v>886</v>
      </c>
      <c r="C43" s="548" t="s">
        <v>887</v>
      </c>
    </row>
    <row r="44" spans="1:3" x14ac:dyDescent="0.3">
      <c r="A44" s="560">
        <v>39</v>
      </c>
      <c r="B44" s="548" t="s">
        <v>888</v>
      </c>
      <c r="C44" s="548" t="s">
        <v>889</v>
      </c>
    </row>
    <row r="45" spans="1:3" x14ac:dyDescent="0.3">
      <c r="A45" s="560">
        <v>40</v>
      </c>
      <c r="B45" s="548" t="s">
        <v>890</v>
      </c>
      <c r="C45" s="548" t="s">
        <v>891</v>
      </c>
    </row>
    <row r="46" spans="1:3" x14ac:dyDescent="0.3">
      <c r="A46" s="560">
        <v>41</v>
      </c>
      <c r="B46" s="548" t="s">
        <v>892</v>
      </c>
      <c r="C46" s="548" t="s">
        <v>569</v>
      </c>
    </row>
    <row r="47" spans="1:3" x14ac:dyDescent="0.3">
      <c r="A47" s="560">
        <v>42</v>
      </c>
      <c r="B47" s="548" t="s">
        <v>893</v>
      </c>
      <c r="C47" s="548" t="s">
        <v>566</v>
      </c>
    </row>
    <row r="48" spans="1:3" x14ac:dyDescent="0.3">
      <c r="A48" s="560">
        <v>43</v>
      </c>
      <c r="B48" s="548" t="s">
        <v>894</v>
      </c>
      <c r="C48" s="548" t="s">
        <v>567</v>
      </c>
    </row>
    <row r="49" spans="1:3" x14ac:dyDescent="0.3">
      <c r="A49" s="560">
        <v>44</v>
      </c>
      <c r="B49" s="548" t="s">
        <v>570</v>
      </c>
      <c r="C49" s="548" t="s">
        <v>571</v>
      </c>
    </row>
    <row r="50" spans="1:3" x14ac:dyDescent="0.3">
      <c r="A50" s="560">
        <v>45</v>
      </c>
      <c r="B50" s="548" t="s">
        <v>895</v>
      </c>
      <c r="C50" s="548" t="s">
        <v>896</v>
      </c>
    </row>
    <row r="51" spans="1:3" x14ac:dyDescent="0.3">
      <c r="A51" s="560">
        <v>46</v>
      </c>
      <c r="B51" s="548" t="s">
        <v>897</v>
      </c>
      <c r="C51" s="548" t="s">
        <v>898</v>
      </c>
    </row>
    <row r="52" spans="1:3" x14ac:dyDescent="0.3">
      <c r="A52" s="560"/>
      <c r="B52" s="548" t="s">
        <v>899</v>
      </c>
      <c r="C52" s="548" t="s">
        <v>900</v>
      </c>
    </row>
    <row r="53" spans="1:3" x14ac:dyDescent="0.3">
      <c r="A53" s="560">
        <v>47</v>
      </c>
      <c r="B53" s="548" t="s">
        <v>901</v>
      </c>
      <c r="C53" s="548" t="s">
        <v>574</v>
      </c>
    </row>
    <row r="54" spans="1:3" x14ac:dyDescent="0.3">
      <c r="A54" s="560">
        <v>48</v>
      </c>
      <c r="B54" s="548" t="s">
        <v>902</v>
      </c>
      <c r="C54" s="548" t="s">
        <v>903</v>
      </c>
    </row>
    <row r="55" spans="1:3" x14ac:dyDescent="0.3">
      <c r="A55" s="560">
        <v>49</v>
      </c>
      <c r="B55" s="548" t="s">
        <v>904</v>
      </c>
      <c r="C55" s="548" t="s">
        <v>905</v>
      </c>
    </row>
    <row r="56" spans="1:3" x14ac:dyDescent="0.3">
      <c r="A56" s="560">
        <v>50</v>
      </c>
      <c r="B56" s="548" t="s">
        <v>906</v>
      </c>
      <c r="C56" s="548" t="s">
        <v>572</v>
      </c>
    </row>
    <row r="57" spans="1:3" x14ac:dyDescent="0.3">
      <c r="A57" s="560">
        <v>51</v>
      </c>
      <c r="B57" s="548" t="s">
        <v>907</v>
      </c>
      <c r="C57" s="548" t="s">
        <v>573</v>
      </c>
    </row>
    <row r="58" spans="1:3" x14ac:dyDescent="0.3">
      <c r="A58" s="560">
        <v>52</v>
      </c>
      <c r="B58" s="548" t="s">
        <v>908</v>
      </c>
      <c r="C58" s="548" t="s">
        <v>577</v>
      </c>
    </row>
    <row r="59" spans="1:3" x14ac:dyDescent="0.3">
      <c r="A59" s="560">
        <v>53</v>
      </c>
      <c r="B59" s="548" t="s">
        <v>909</v>
      </c>
      <c r="C59" s="548" t="s">
        <v>577</v>
      </c>
    </row>
    <row r="60" spans="1:3" x14ac:dyDescent="0.3">
      <c r="A60" s="560">
        <v>54</v>
      </c>
      <c r="B60" s="548" t="s">
        <v>910</v>
      </c>
      <c r="C60" s="548" t="s">
        <v>577</v>
      </c>
    </row>
    <row r="61" spans="1:3" x14ac:dyDescent="0.3">
      <c r="A61" s="560">
        <v>55</v>
      </c>
      <c r="B61" s="548" t="s">
        <v>911</v>
      </c>
      <c r="C61" s="548" t="s">
        <v>912</v>
      </c>
    </row>
    <row r="62" spans="1:3" x14ac:dyDescent="0.3">
      <c r="A62" s="560">
        <v>56</v>
      </c>
      <c r="B62" s="548" t="s">
        <v>913</v>
      </c>
      <c r="C62" s="548" t="s">
        <v>580</v>
      </c>
    </row>
    <row r="63" spans="1:3" x14ac:dyDescent="0.3">
      <c r="A63" s="560">
        <v>57</v>
      </c>
      <c r="B63" s="548" t="s">
        <v>914</v>
      </c>
      <c r="C63" s="548" t="s">
        <v>915</v>
      </c>
    </row>
    <row r="64" spans="1:3" x14ac:dyDescent="0.3">
      <c r="A64" s="560">
        <v>58</v>
      </c>
      <c r="B64" s="548" t="s">
        <v>916</v>
      </c>
      <c r="C64" s="548" t="s">
        <v>579</v>
      </c>
    </row>
    <row r="65" spans="1:3" x14ac:dyDescent="0.3">
      <c r="A65" s="560">
        <v>59</v>
      </c>
      <c r="B65" s="548" t="s">
        <v>917</v>
      </c>
      <c r="C65" s="553" t="s">
        <v>918</v>
      </c>
    </row>
    <row r="66" spans="1:3" x14ac:dyDescent="0.3">
      <c r="A66" s="560">
        <v>60</v>
      </c>
      <c r="B66" s="548" t="s">
        <v>919</v>
      </c>
      <c r="C66" s="553" t="s">
        <v>920</v>
      </c>
    </row>
    <row r="67" spans="1:3" x14ac:dyDescent="0.3">
      <c r="A67" s="560">
        <v>61</v>
      </c>
      <c r="B67" s="554" t="s">
        <v>921</v>
      </c>
      <c r="C67" s="554" t="s">
        <v>578</v>
      </c>
    </row>
    <row r="68" spans="1:3" x14ac:dyDescent="0.3">
      <c r="A68" s="560">
        <v>62</v>
      </c>
      <c r="B68" s="548" t="s">
        <v>922</v>
      </c>
      <c r="C68" s="548" t="s">
        <v>923</v>
      </c>
    </row>
    <row r="69" spans="1:3" x14ac:dyDescent="0.3">
      <c r="A69" s="560">
        <v>63</v>
      </c>
      <c r="B69" s="548" t="s">
        <v>924</v>
      </c>
      <c r="C69" s="548" t="s">
        <v>884</v>
      </c>
    </row>
    <row r="70" spans="1:3" x14ac:dyDescent="0.3">
      <c r="A70" s="560">
        <v>64</v>
      </c>
      <c r="B70" s="548" t="s">
        <v>925</v>
      </c>
      <c r="C70" s="548" t="s">
        <v>581</v>
      </c>
    </row>
    <row r="71" spans="1:3" x14ac:dyDescent="0.3">
      <c r="A71" s="560">
        <v>65</v>
      </c>
      <c r="B71" s="548" t="s">
        <v>926</v>
      </c>
      <c r="C71" s="548" t="s">
        <v>927</v>
      </c>
    </row>
    <row r="72" spans="1:3" x14ac:dyDescent="0.3">
      <c r="A72" s="560">
        <v>66</v>
      </c>
      <c r="B72" s="548" t="s">
        <v>582</v>
      </c>
      <c r="C72" s="548" t="s">
        <v>860</v>
      </c>
    </row>
    <row r="73" spans="1:3" x14ac:dyDescent="0.3">
      <c r="A73" s="560">
        <v>67</v>
      </c>
      <c r="B73" s="548" t="s">
        <v>928</v>
      </c>
      <c r="C73" s="548" t="s">
        <v>929</v>
      </c>
    </row>
    <row r="74" spans="1:3" x14ac:dyDescent="0.3">
      <c r="A74" s="560">
        <v>68</v>
      </c>
      <c r="B74" s="548" t="s">
        <v>930</v>
      </c>
      <c r="C74" s="548" t="s">
        <v>583</v>
      </c>
    </row>
    <row r="75" spans="1:3" x14ac:dyDescent="0.3">
      <c r="A75" s="560">
        <v>69</v>
      </c>
      <c r="B75" s="548" t="s">
        <v>931</v>
      </c>
      <c r="C75" s="548" t="s">
        <v>932</v>
      </c>
    </row>
    <row r="76" spans="1:3" x14ac:dyDescent="0.3">
      <c r="A76" s="560">
        <v>70</v>
      </c>
      <c r="B76" s="548" t="s">
        <v>933</v>
      </c>
      <c r="C76" s="548" t="s">
        <v>934</v>
      </c>
    </row>
    <row r="77" spans="1:3" x14ac:dyDescent="0.3">
      <c r="A77" s="560"/>
      <c r="B77" s="548" t="s">
        <v>935</v>
      </c>
      <c r="C77" s="548" t="s">
        <v>936</v>
      </c>
    </row>
    <row r="78" spans="1:3" x14ac:dyDescent="0.3">
      <c r="A78" s="560">
        <v>71</v>
      </c>
      <c r="B78" s="548" t="s">
        <v>937</v>
      </c>
      <c r="C78" s="548" t="s">
        <v>860</v>
      </c>
    </row>
    <row r="79" spans="1:3" x14ac:dyDescent="0.3">
      <c r="A79" s="560">
        <v>72</v>
      </c>
      <c r="B79" s="548" t="s">
        <v>938</v>
      </c>
      <c r="C79" s="548" t="s">
        <v>939</v>
      </c>
    </row>
    <row r="80" spans="1:3" x14ac:dyDescent="0.3">
      <c r="A80" s="560">
        <v>73</v>
      </c>
      <c r="B80" s="548" t="s">
        <v>940</v>
      </c>
      <c r="C80" s="548" t="s">
        <v>941</v>
      </c>
    </row>
    <row r="81" spans="1:3" x14ac:dyDescent="0.3">
      <c r="A81" s="560">
        <v>74</v>
      </c>
      <c r="B81" s="548" t="s">
        <v>584</v>
      </c>
      <c r="C81" s="548" t="s">
        <v>942</v>
      </c>
    </row>
    <row r="82" spans="1:3" x14ac:dyDescent="0.3">
      <c r="A82" s="560">
        <v>75</v>
      </c>
      <c r="B82" s="548" t="s">
        <v>808</v>
      </c>
      <c r="C82" s="548" t="s">
        <v>943</v>
      </c>
    </row>
    <row r="83" spans="1:3" x14ac:dyDescent="0.3">
      <c r="A83" s="560">
        <v>76</v>
      </c>
      <c r="B83" s="548" t="s">
        <v>944</v>
      </c>
      <c r="C83" s="548" t="s">
        <v>945</v>
      </c>
    </row>
    <row r="84" spans="1:3" x14ac:dyDescent="0.3">
      <c r="A84" s="560">
        <v>77</v>
      </c>
      <c r="B84" s="548" t="s">
        <v>946</v>
      </c>
      <c r="C84" s="548" t="s">
        <v>947</v>
      </c>
    </row>
    <row r="85" spans="1:3" x14ac:dyDescent="0.3">
      <c r="A85" s="560">
        <v>78</v>
      </c>
      <c r="B85" s="548" t="s">
        <v>948</v>
      </c>
      <c r="C85" s="548" t="s">
        <v>949</v>
      </c>
    </row>
    <row r="86" spans="1:3" x14ac:dyDescent="0.3">
      <c r="A86" s="560">
        <v>79</v>
      </c>
      <c r="B86" s="548" t="s">
        <v>950</v>
      </c>
      <c r="C86" s="215" t="s">
        <v>951</v>
      </c>
    </row>
    <row r="87" spans="1:3" x14ac:dyDescent="0.3">
      <c r="A87" s="560">
        <v>80</v>
      </c>
      <c r="B87" s="548" t="s">
        <v>952</v>
      </c>
      <c r="C87" s="548" t="s">
        <v>953</v>
      </c>
    </row>
    <row r="88" spans="1:3" x14ac:dyDescent="0.3">
      <c r="A88" s="560">
        <v>81</v>
      </c>
      <c r="B88" s="548" t="s">
        <v>954</v>
      </c>
      <c r="C88" s="548" t="s">
        <v>585</v>
      </c>
    </row>
    <row r="89" spans="1:3" x14ac:dyDescent="0.3">
      <c r="A89" s="560">
        <v>82</v>
      </c>
      <c r="B89" s="548" t="s">
        <v>955</v>
      </c>
      <c r="C89" s="548" t="s">
        <v>956</v>
      </c>
    </row>
    <row r="90" spans="1:3" x14ac:dyDescent="0.3">
      <c r="A90" s="560">
        <v>83</v>
      </c>
      <c r="B90" s="548" t="s">
        <v>957</v>
      </c>
      <c r="C90" s="548" t="s">
        <v>958</v>
      </c>
    </row>
    <row r="91" spans="1:3" x14ac:dyDescent="0.3">
      <c r="A91" s="560">
        <v>84</v>
      </c>
      <c r="B91" s="548" t="s">
        <v>959</v>
      </c>
      <c r="C91" s="548" t="s">
        <v>586</v>
      </c>
    </row>
    <row r="92" spans="1:3" x14ac:dyDescent="0.3">
      <c r="A92" s="560">
        <v>85</v>
      </c>
      <c r="B92" s="548" t="s">
        <v>809</v>
      </c>
      <c r="C92" s="548" t="s">
        <v>810</v>
      </c>
    </row>
    <row r="93" spans="1:3" x14ac:dyDescent="0.3">
      <c r="A93" s="560">
        <v>86</v>
      </c>
      <c r="B93" s="548" t="s">
        <v>960</v>
      </c>
      <c r="C93" s="548" t="s">
        <v>961</v>
      </c>
    </row>
    <row r="94" spans="1:3" x14ac:dyDescent="0.3">
      <c r="A94" s="560">
        <v>87</v>
      </c>
      <c r="B94" s="548" t="s">
        <v>962</v>
      </c>
      <c r="C94" s="548" t="s">
        <v>807</v>
      </c>
    </row>
    <row r="95" spans="1:3" x14ac:dyDescent="0.3">
      <c r="A95" s="560">
        <v>88</v>
      </c>
      <c r="B95" s="548" t="s">
        <v>963</v>
      </c>
      <c r="C95" s="548" t="s">
        <v>964</v>
      </c>
    </row>
    <row r="96" spans="1:3" x14ac:dyDescent="0.3">
      <c r="A96" s="560">
        <v>89</v>
      </c>
      <c r="B96" s="548" t="s">
        <v>965</v>
      </c>
      <c r="C96" s="548" t="s">
        <v>966</v>
      </c>
    </row>
    <row r="97" spans="1:3" x14ac:dyDescent="0.3">
      <c r="A97" s="560">
        <v>90</v>
      </c>
      <c r="B97" s="548" t="s">
        <v>967</v>
      </c>
      <c r="C97" s="548" t="s">
        <v>968</v>
      </c>
    </row>
    <row r="98" spans="1:3" x14ac:dyDescent="0.3">
      <c r="A98" s="560"/>
      <c r="B98" s="548" t="s">
        <v>969</v>
      </c>
      <c r="C98" s="548" t="s">
        <v>970</v>
      </c>
    </row>
    <row r="99" spans="1:3" x14ac:dyDescent="0.3">
      <c r="A99" s="560">
        <v>91</v>
      </c>
      <c r="B99" s="548" t="s">
        <v>971</v>
      </c>
      <c r="C99" s="548" t="s">
        <v>972</v>
      </c>
    </row>
    <row r="100" spans="1:3" x14ac:dyDescent="0.3">
      <c r="A100" s="560"/>
      <c r="B100" s="548" t="s">
        <v>973</v>
      </c>
      <c r="C100" s="548" t="s">
        <v>974</v>
      </c>
    </row>
    <row r="101" spans="1:3" x14ac:dyDescent="0.3">
      <c r="A101" s="560">
        <v>92</v>
      </c>
      <c r="B101" s="548" t="s">
        <v>975</v>
      </c>
      <c r="C101" s="548" t="s">
        <v>587</v>
      </c>
    </row>
    <row r="102" spans="1:3" x14ac:dyDescent="0.3">
      <c r="A102" s="560">
        <v>93</v>
      </c>
      <c r="B102" s="548" t="s">
        <v>976</v>
      </c>
      <c r="C102" s="548" t="s">
        <v>977</v>
      </c>
    </row>
    <row r="103" spans="1:3" x14ac:dyDescent="0.3">
      <c r="A103" s="560">
        <v>94</v>
      </c>
      <c r="B103" s="548" t="s">
        <v>978</v>
      </c>
      <c r="C103" s="548" t="s">
        <v>979</v>
      </c>
    </row>
    <row r="104" spans="1:3" x14ac:dyDescent="0.3">
      <c r="A104" s="560">
        <v>95</v>
      </c>
      <c r="B104" s="548" t="s">
        <v>980</v>
      </c>
      <c r="C104" s="548" t="s">
        <v>981</v>
      </c>
    </row>
    <row r="105" spans="1:3" x14ac:dyDescent="0.3">
      <c r="A105" s="560">
        <v>96</v>
      </c>
      <c r="B105" s="548" t="s">
        <v>982</v>
      </c>
      <c r="C105" s="548" t="s">
        <v>983</v>
      </c>
    </row>
    <row r="106" spans="1:3" x14ac:dyDescent="0.3">
      <c r="A106" s="560">
        <v>97</v>
      </c>
      <c r="B106" s="548" t="s">
        <v>984</v>
      </c>
      <c r="C106" s="548" t="s">
        <v>588</v>
      </c>
    </row>
    <row r="107" spans="1:3" x14ac:dyDescent="0.3">
      <c r="A107" s="560">
        <v>98</v>
      </c>
      <c r="B107" s="548" t="s">
        <v>985</v>
      </c>
      <c r="C107" s="548" t="s">
        <v>986</v>
      </c>
    </row>
    <row r="108" spans="1:3" x14ac:dyDescent="0.3">
      <c r="A108" s="560">
        <v>99</v>
      </c>
      <c r="B108" s="548" t="s">
        <v>987</v>
      </c>
      <c r="C108" s="548"/>
    </row>
    <row r="109" spans="1:3" x14ac:dyDescent="0.3">
      <c r="A109" s="560">
        <v>100</v>
      </c>
      <c r="B109" s="548" t="s">
        <v>419</v>
      </c>
      <c r="C109" s="548" t="s">
        <v>988</v>
      </c>
    </row>
    <row r="110" spans="1:3" x14ac:dyDescent="0.3">
      <c r="A110" s="560">
        <v>101</v>
      </c>
      <c r="B110" s="548" t="s">
        <v>989</v>
      </c>
      <c r="C110" s="548" t="s">
        <v>990</v>
      </c>
    </row>
    <row r="111" spans="1:3" x14ac:dyDescent="0.3">
      <c r="A111" s="560">
        <v>102</v>
      </c>
      <c r="B111" s="548" t="s">
        <v>991</v>
      </c>
      <c r="C111" s="548" t="s">
        <v>992</v>
      </c>
    </row>
    <row r="112" spans="1:3" x14ac:dyDescent="0.3">
      <c r="A112" s="560">
        <v>103</v>
      </c>
      <c r="B112" s="548" t="s">
        <v>589</v>
      </c>
      <c r="C112" s="548" t="s">
        <v>590</v>
      </c>
    </row>
    <row r="113" spans="1:3" x14ac:dyDescent="0.3">
      <c r="A113" s="560">
        <v>104</v>
      </c>
      <c r="B113" s="548" t="s">
        <v>993</v>
      </c>
      <c r="C113" s="548" t="s">
        <v>994</v>
      </c>
    </row>
    <row r="114" spans="1:3" x14ac:dyDescent="0.3">
      <c r="A114" s="560">
        <v>105</v>
      </c>
      <c r="B114" s="548" t="s">
        <v>995</v>
      </c>
      <c r="C114" s="548" t="s">
        <v>996</v>
      </c>
    </row>
    <row r="115" spans="1:3" x14ac:dyDescent="0.3">
      <c r="A115" s="560">
        <v>106</v>
      </c>
      <c r="B115" s="548" t="s">
        <v>997</v>
      </c>
      <c r="C115" s="548" t="s">
        <v>998</v>
      </c>
    </row>
    <row r="116" spans="1:3" x14ac:dyDescent="0.3">
      <c r="A116" s="560">
        <v>107</v>
      </c>
      <c r="B116" s="548" t="s">
        <v>999</v>
      </c>
      <c r="C116" s="548" t="s">
        <v>1000</v>
      </c>
    </row>
    <row r="117" spans="1:3" x14ac:dyDescent="0.3">
      <c r="A117" s="560">
        <v>108</v>
      </c>
      <c r="B117" s="548" t="s">
        <v>421</v>
      </c>
      <c r="C117" s="548" t="s">
        <v>1001</v>
      </c>
    </row>
    <row r="118" spans="1:3" x14ac:dyDescent="0.3">
      <c r="A118" s="560">
        <v>109</v>
      </c>
      <c r="B118" s="548" t="s">
        <v>1002</v>
      </c>
      <c r="C118" s="548" t="s">
        <v>591</v>
      </c>
    </row>
    <row r="119" spans="1:3" x14ac:dyDescent="0.3">
      <c r="A119" s="560">
        <v>110</v>
      </c>
      <c r="B119" s="548" t="s">
        <v>593</v>
      </c>
      <c r="C119" s="548" t="s">
        <v>594</v>
      </c>
    </row>
    <row r="120" spans="1:3" x14ac:dyDescent="0.3">
      <c r="A120" s="560">
        <v>111</v>
      </c>
      <c r="B120" s="548" t="s">
        <v>1003</v>
      </c>
      <c r="C120" s="548" t="s">
        <v>592</v>
      </c>
    </row>
    <row r="121" spans="1:3" x14ac:dyDescent="0.3">
      <c r="A121" s="560">
        <v>112</v>
      </c>
      <c r="B121" s="548" t="s">
        <v>1004</v>
      </c>
      <c r="C121" s="548" t="s">
        <v>1005</v>
      </c>
    </row>
    <row r="122" spans="1:3" x14ac:dyDescent="0.3">
      <c r="A122" s="560">
        <v>113</v>
      </c>
      <c r="B122" s="548" t="s">
        <v>1006</v>
      </c>
      <c r="C122" s="548" t="s">
        <v>595</v>
      </c>
    </row>
    <row r="123" spans="1:3" x14ac:dyDescent="0.3">
      <c r="A123" s="560">
        <v>114</v>
      </c>
      <c r="B123" s="548" t="s">
        <v>1007</v>
      </c>
      <c r="C123" s="548" t="s">
        <v>1008</v>
      </c>
    </row>
    <row r="124" spans="1:3" x14ac:dyDescent="0.3">
      <c r="A124" s="560">
        <v>115</v>
      </c>
      <c r="B124" s="548" t="s">
        <v>1009</v>
      </c>
      <c r="C124" s="548" t="s">
        <v>1010</v>
      </c>
    </row>
    <row r="125" spans="1:3" x14ac:dyDescent="0.3">
      <c r="A125" s="560">
        <v>116</v>
      </c>
      <c r="B125" s="548" t="s">
        <v>1011</v>
      </c>
      <c r="C125" s="548" t="s">
        <v>1012</v>
      </c>
    </row>
    <row r="126" spans="1:3" x14ac:dyDescent="0.3">
      <c r="A126" s="560">
        <v>117</v>
      </c>
      <c r="B126" s="548" t="s">
        <v>596</v>
      </c>
      <c r="C126" s="548" t="s">
        <v>597</v>
      </c>
    </row>
    <row r="127" spans="1:3" x14ac:dyDescent="0.3">
      <c r="A127" s="560">
        <v>118</v>
      </c>
      <c r="B127" s="548" t="s">
        <v>1013</v>
      </c>
      <c r="C127" s="548" t="s">
        <v>1014</v>
      </c>
    </row>
    <row r="128" spans="1:3" x14ac:dyDescent="0.3">
      <c r="A128" s="560">
        <v>119</v>
      </c>
      <c r="B128" s="548" t="s">
        <v>1015</v>
      </c>
      <c r="C128" s="548" t="s">
        <v>1016</v>
      </c>
    </row>
    <row r="129" spans="1:3" x14ac:dyDescent="0.3">
      <c r="A129" s="560">
        <v>120</v>
      </c>
      <c r="B129" s="548" t="s">
        <v>1017</v>
      </c>
      <c r="C129" s="548" t="s">
        <v>1018</v>
      </c>
    </row>
    <row r="130" spans="1:3" x14ac:dyDescent="0.3">
      <c r="A130" s="560">
        <v>121</v>
      </c>
      <c r="B130" s="548" t="s">
        <v>1019</v>
      </c>
      <c r="C130" s="548" t="s">
        <v>1020</v>
      </c>
    </row>
    <row r="131" spans="1:3" x14ac:dyDescent="0.3">
      <c r="A131" s="560">
        <v>122</v>
      </c>
      <c r="B131" s="548" t="s">
        <v>812</v>
      </c>
      <c r="C131" s="548" t="s">
        <v>1021</v>
      </c>
    </row>
    <row r="132" spans="1:3" x14ac:dyDescent="0.3">
      <c r="A132" s="560"/>
      <c r="B132" s="548" t="s">
        <v>1022</v>
      </c>
      <c r="C132" s="548" t="s">
        <v>1023</v>
      </c>
    </row>
    <row r="133" spans="1:3" x14ac:dyDescent="0.3">
      <c r="A133" s="560">
        <v>123</v>
      </c>
      <c r="B133" s="548" t="s">
        <v>1024</v>
      </c>
      <c r="C133" s="548" t="s">
        <v>598</v>
      </c>
    </row>
    <row r="134" spans="1:3" x14ac:dyDescent="0.3">
      <c r="A134" s="560">
        <v>124</v>
      </c>
      <c r="B134" s="548" t="s">
        <v>1025</v>
      </c>
      <c r="C134" s="548" t="s">
        <v>1026</v>
      </c>
    </row>
    <row r="135" spans="1:3" x14ac:dyDescent="0.3">
      <c r="A135" s="560">
        <v>125</v>
      </c>
      <c r="B135" s="548" t="s">
        <v>1027</v>
      </c>
      <c r="C135" s="548" t="s">
        <v>1028</v>
      </c>
    </row>
    <row r="136" spans="1:3" x14ac:dyDescent="0.3">
      <c r="A136" s="560">
        <v>126</v>
      </c>
      <c r="B136" s="548" t="s">
        <v>1029</v>
      </c>
      <c r="C136" s="548" t="s">
        <v>630</v>
      </c>
    </row>
    <row r="137" spans="1:3" x14ac:dyDescent="0.3">
      <c r="A137" s="560">
        <v>127</v>
      </c>
      <c r="B137" s="548" t="s">
        <v>1030</v>
      </c>
      <c r="C137" s="548" t="s">
        <v>599</v>
      </c>
    </row>
    <row r="138" spans="1:3" x14ac:dyDescent="0.3">
      <c r="A138" s="560">
        <v>128</v>
      </c>
      <c r="B138" s="548" t="s">
        <v>1031</v>
      </c>
      <c r="C138" s="548" t="s">
        <v>1032</v>
      </c>
    </row>
    <row r="139" spans="1:3" x14ac:dyDescent="0.3">
      <c r="A139" s="560">
        <v>129</v>
      </c>
      <c r="B139" s="548" t="s">
        <v>1033</v>
      </c>
      <c r="C139" s="548" t="s">
        <v>601</v>
      </c>
    </row>
    <row r="140" spans="1:3" ht="26.4" x14ac:dyDescent="0.3">
      <c r="A140" s="560">
        <v>130</v>
      </c>
      <c r="B140" s="548" t="s">
        <v>1034</v>
      </c>
      <c r="C140" s="548" t="s">
        <v>1035</v>
      </c>
    </row>
    <row r="141" spans="1:3" x14ac:dyDescent="0.3">
      <c r="A141" s="560"/>
      <c r="B141" s="548" t="s">
        <v>1036</v>
      </c>
      <c r="C141" s="548" t="s">
        <v>1037</v>
      </c>
    </row>
    <row r="142" spans="1:3" ht="26.4" x14ac:dyDescent="0.3">
      <c r="A142" s="560">
        <v>131</v>
      </c>
      <c r="B142" s="548" t="s">
        <v>1038</v>
      </c>
      <c r="C142" s="548" t="s">
        <v>1039</v>
      </c>
    </row>
    <row r="143" spans="1:3" x14ac:dyDescent="0.3">
      <c r="A143" s="560">
        <v>132</v>
      </c>
      <c r="B143" s="548" t="s">
        <v>1040</v>
      </c>
      <c r="C143" s="548" t="s">
        <v>1041</v>
      </c>
    </row>
    <row r="144" spans="1:3" x14ac:dyDescent="0.3">
      <c r="A144" s="560">
        <v>133</v>
      </c>
      <c r="B144" s="548" t="s">
        <v>1042</v>
      </c>
      <c r="C144" s="548" t="s">
        <v>1043</v>
      </c>
    </row>
    <row r="145" spans="1:3" x14ac:dyDescent="0.3">
      <c r="A145" s="560">
        <v>134</v>
      </c>
      <c r="B145" s="548" t="s">
        <v>1044</v>
      </c>
      <c r="C145" s="548" t="s">
        <v>1045</v>
      </c>
    </row>
    <row r="146" spans="1:3" x14ac:dyDescent="0.3">
      <c r="A146" s="560">
        <v>135</v>
      </c>
      <c r="B146" s="548" t="s">
        <v>1046</v>
      </c>
      <c r="C146" s="548" t="s">
        <v>606</v>
      </c>
    </row>
    <row r="147" spans="1:3" x14ac:dyDescent="0.3">
      <c r="A147" s="560">
        <v>136</v>
      </c>
      <c r="B147" s="548" t="s">
        <v>1047</v>
      </c>
      <c r="C147" s="548" t="s">
        <v>607</v>
      </c>
    </row>
    <row r="148" spans="1:3" x14ac:dyDescent="0.3">
      <c r="A148" s="560">
        <v>137</v>
      </c>
      <c r="B148" s="548" t="s">
        <v>1048</v>
      </c>
      <c r="C148" s="548" t="s">
        <v>1049</v>
      </c>
    </row>
    <row r="149" spans="1:3" x14ac:dyDescent="0.3">
      <c r="A149" s="560">
        <v>138</v>
      </c>
      <c r="B149" s="548" t="s">
        <v>1050</v>
      </c>
      <c r="C149" s="548" t="s">
        <v>860</v>
      </c>
    </row>
    <row r="150" spans="1:3" x14ac:dyDescent="0.3">
      <c r="A150" s="560">
        <v>139</v>
      </c>
      <c r="B150" s="548" t="s">
        <v>426</v>
      </c>
      <c r="C150" s="548" t="s">
        <v>603</v>
      </c>
    </row>
    <row r="151" spans="1:3" x14ac:dyDescent="0.3">
      <c r="A151" s="560">
        <v>140</v>
      </c>
      <c r="B151" s="548" t="s">
        <v>1051</v>
      </c>
      <c r="C151" s="548" t="s">
        <v>1052</v>
      </c>
    </row>
    <row r="152" spans="1:3" x14ac:dyDescent="0.3">
      <c r="A152" s="560">
        <v>141</v>
      </c>
      <c r="B152" s="548" t="s">
        <v>1053</v>
      </c>
      <c r="C152" s="548" t="s">
        <v>1052</v>
      </c>
    </row>
    <row r="153" spans="1:3" x14ac:dyDescent="0.3">
      <c r="A153" s="560">
        <v>142</v>
      </c>
      <c r="B153" s="548" t="s">
        <v>1054</v>
      </c>
      <c r="C153" s="548" t="s">
        <v>605</v>
      </c>
    </row>
    <row r="154" spans="1:3" x14ac:dyDescent="0.3">
      <c r="A154" s="560">
        <v>143</v>
      </c>
      <c r="B154" s="548" t="s">
        <v>1055</v>
      </c>
      <c r="C154" s="548" t="s">
        <v>1056</v>
      </c>
    </row>
    <row r="155" spans="1:3" x14ac:dyDescent="0.3">
      <c r="A155" s="560">
        <v>144</v>
      </c>
      <c r="B155" s="548" t="s">
        <v>1057</v>
      </c>
      <c r="C155" s="548" t="s">
        <v>811</v>
      </c>
    </row>
    <row r="156" spans="1:3" x14ac:dyDescent="0.3">
      <c r="A156" s="560">
        <v>145</v>
      </c>
      <c r="B156" s="548" t="s">
        <v>1058</v>
      </c>
      <c r="C156" s="548" t="s">
        <v>1059</v>
      </c>
    </row>
    <row r="157" spans="1:3" x14ac:dyDescent="0.3">
      <c r="A157" s="560">
        <v>146</v>
      </c>
      <c r="B157" s="548" t="s">
        <v>1060</v>
      </c>
      <c r="C157" s="548" t="s">
        <v>1061</v>
      </c>
    </row>
    <row r="158" spans="1:3" x14ac:dyDescent="0.3">
      <c r="A158" s="560"/>
      <c r="B158" s="548" t="s">
        <v>1062</v>
      </c>
      <c r="C158" s="548" t="s">
        <v>1063</v>
      </c>
    </row>
    <row r="159" spans="1:3" x14ac:dyDescent="0.3">
      <c r="A159" s="560">
        <v>147</v>
      </c>
      <c r="B159" s="548" t="s">
        <v>813</v>
      </c>
      <c r="C159" s="548" t="s">
        <v>814</v>
      </c>
    </row>
    <row r="160" spans="1:3" x14ac:dyDescent="0.3">
      <c r="A160" s="560">
        <v>148</v>
      </c>
      <c r="B160" s="548" t="s">
        <v>816</v>
      </c>
      <c r="C160" s="548" t="s">
        <v>604</v>
      </c>
    </row>
    <row r="161" spans="1:3" x14ac:dyDescent="0.3">
      <c r="A161" s="560">
        <v>149</v>
      </c>
      <c r="B161" s="548" t="s">
        <v>1064</v>
      </c>
      <c r="C161" s="548" t="s">
        <v>815</v>
      </c>
    </row>
    <row r="162" spans="1:3" x14ac:dyDescent="0.3">
      <c r="A162" s="560">
        <v>150</v>
      </c>
      <c r="B162" s="548" t="s">
        <v>1065</v>
      </c>
      <c r="C162" s="548" t="s">
        <v>860</v>
      </c>
    </row>
    <row r="163" spans="1:3" x14ac:dyDescent="0.3">
      <c r="A163" s="560">
        <v>151</v>
      </c>
      <c r="B163" s="548" t="s">
        <v>1066</v>
      </c>
      <c r="C163" s="548" t="s">
        <v>1067</v>
      </c>
    </row>
    <row r="164" spans="1:3" x14ac:dyDescent="0.3">
      <c r="A164" s="560">
        <v>152</v>
      </c>
      <c r="B164" s="548" t="s">
        <v>1068</v>
      </c>
      <c r="C164" s="548" t="s">
        <v>608</v>
      </c>
    </row>
    <row r="165" spans="1:3" x14ac:dyDescent="0.3">
      <c r="A165" s="560">
        <v>153</v>
      </c>
      <c r="B165" s="548" t="s">
        <v>1069</v>
      </c>
      <c r="C165" s="548" t="s">
        <v>1070</v>
      </c>
    </row>
    <row r="166" spans="1:3" x14ac:dyDescent="0.3">
      <c r="A166" s="560">
        <v>154</v>
      </c>
      <c r="B166" s="548" t="s">
        <v>1071</v>
      </c>
      <c r="C166" s="548" t="s">
        <v>1072</v>
      </c>
    </row>
    <row r="167" spans="1:3" x14ac:dyDescent="0.3">
      <c r="A167" s="560">
        <v>155</v>
      </c>
      <c r="B167" s="548" t="s">
        <v>610</v>
      </c>
      <c r="C167" s="548" t="s">
        <v>611</v>
      </c>
    </row>
    <row r="168" spans="1:3" x14ac:dyDescent="0.3">
      <c r="A168" s="560">
        <v>156</v>
      </c>
      <c r="B168" s="555" t="s">
        <v>1073</v>
      </c>
      <c r="C168" s="548" t="s">
        <v>817</v>
      </c>
    </row>
    <row r="169" spans="1:3" ht="26.4" x14ac:dyDescent="0.3">
      <c r="A169" s="560">
        <v>157</v>
      </c>
      <c r="B169" s="548" t="s">
        <v>1074</v>
      </c>
      <c r="C169" s="548" t="s">
        <v>1075</v>
      </c>
    </row>
    <row r="170" spans="1:3" x14ac:dyDescent="0.3">
      <c r="A170" s="560">
        <v>158</v>
      </c>
      <c r="B170" s="548" t="s">
        <v>818</v>
      </c>
      <c r="C170" s="548" t="s">
        <v>819</v>
      </c>
    </row>
    <row r="171" spans="1:3" x14ac:dyDescent="0.3">
      <c r="A171" s="560">
        <v>159</v>
      </c>
      <c r="B171" s="548" t="s">
        <v>1076</v>
      </c>
      <c r="C171" s="548" t="s">
        <v>1077</v>
      </c>
    </row>
    <row r="172" spans="1:3" x14ac:dyDescent="0.3">
      <c r="A172" s="560">
        <v>160</v>
      </c>
      <c r="B172" s="548" t="s">
        <v>1078</v>
      </c>
      <c r="C172" s="548" t="s">
        <v>1079</v>
      </c>
    </row>
    <row r="173" spans="1:3" x14ac:dyDescent="0.3">
      <c r="A173" s="560">
        <v>161</v>
      </c>
      <c r="B173" s="548" t="s">
        <v>1080</v>
      </c>
      <c r="C173" s="548" t="s">
        <v>845</v>
      </c>
    </row>
    <row r="174" spans="1:3" x14ac:dyDescent="0.3">
      <c r="A174" s="560">
        <v>162</v>
      </c>
      <c r="B174" s="548" t="s">
        <v>1081</v>
      </c>
      <c r="C174" s="548" t="s">
        <v>1082</v>
      </c>
    </row>
    <row r="175" spans="1:3" x14ac:dyDescent="0.3">
      <c r="A175" s="560">
        <v>163</v>
      </c>
      <c r="B175" s="548" t="s">
        <v>1083</v>
      </c>
      <c r="C175" s="548" t="s">
        <v>821</v>
      </c>
    </row>
    <row r="176" spans="1:3" x14ac:dyDescent="0.3">
      <c r="A176" s="560">
        <v>164</v>
      </c>
      <c r="B176" s="548" t="s">
        <v>1084</v>
      </c>
      <c r="C176" s="548" t="s">
        <v>1085</v>
      </c>
    </row>
    <row r="177" spans="1:3" x14ac:dyDescent="0.3">
      <c r="A177" s="560">
        <v>165</v>
      </c>
      <c r="B177" s="548" t="s">
        <v>1086</v>
      </c>
      <c r="C177" s="548" t="s">
        <v>1087</v>
      </c>
    </row>
    <row r="178" spans="1:3" x14ac:dyDescent="0.3">
      <c r="A178" s="560">
        <v>166</v>
      </c>
      <c r="B178" s="548" t="s">
        <v>1088</v>
      </c>
      <c r="C178" s="548" t="s">
        <v>1089</v>
      </c>
    </row>
    <row r="179" spans="1:3" x14ac:dyDescent="0.3">
      <c r="A179" s="560">
        <v>167</v>
      </c>
      <c r="B179" s="548" t="s">
        <v>1090</v>
      </c>
      <c r="C179" s="552" t="s">
        <v>1091</v>
      </c>
    </row>
    <row r="180" spans="1:3" x14ac:dyDescent="0.3">
      <c r="A180" s="560">
        <v>168</v>
      </c>
      <c r="B180" s="548" t="s">
        <v>1092</v>
      </c>
      <c r="C180" s="552" t="s">
        <v>1093</v>
      </c>
    </row>
    <row r="181" spans="1:3" x14ac:dyDescent="0.3">
      <c r="A181" s="560">
        <v>169</v>
      </c>
      <c r="B181" s="548" t="s">
        <v>1094</v>
      </c>
      <c r="C181" s="548" t="s">
        <v>1095</v>
      </c>
    </row>
    <row r="182" spans="1:3" x14ac:dyDescent="0.3">
      <c r="A182" s="560">
        <v>170</v>
      </c>
      <c r="B182" s="548" t="s">
        <v>617</v>
      </c>
      <c r="C182" s="548" t="s">
        <v>618</v>
      </c>
    </row>
    <row r="183" spans="1:3" x14ac:dyDescent="0.3">
      <c r="A183" s="560">
        <v>171</v>
      </c>
      <c r="B183" s="548" t="s">
        <v>1096</v>
      </c>
      <c r="C183" s="548" t="s">
        <v>1097</v>
      </c>
    </row>
    <row r="184" spans="1:3" x14ac:dyDescent="0.3">
      <c r="A184" s="560">
        <v>172</v>
      </c>
      <c r="B184" s="548" t="s">
        <v>1098</v>
      </c>
      <c r="C184" s="548" t="s">
        <v>1097</v>
      </c>
    </row>
    <row r="185" spans="1:3" x14ac:dyDescent="0.3">
      <c r="A185" s="560">
        <v>173</v>
      </c>
      <c r="B185" s="552" t="s">
        <v>1099</v>
      </c>
      <c r="C185" s="548" t="s">
        <v>1100</v>
      </c>
    </row>
    <row r="186" spans="1:3" x14ac:dyDescent="0.3">
      <c r="A186" s="560">
        <v>174</v>
      </c>
      <c r="B186" s="548" t="s">
        <v>1101</v>
      </c>
      <c r="C186" s="548" t="s">
        <v>621</v>
      </c>
    </row>
    <row r="187" spans="1:3" x14ac:dyDescent="0.3">
      <c r="A187" s="560">
        <v>175</v>
      </c>
      <c r="B187" s="548" t="s">
        <v>1102</v>
      </c>
      <c r="C187" s="548" t="s">
        <v>1103</v>
      </c>
    </row>
    <row r="188" spans="1:3" x14ac:dyDescent="0.3">
      <c r="A188" s="560">
        <v>176</v>
      </c>
      <c r="B188" s="548" t="s">
        <v>1104</v>
      </c>
      <c r="C188" s="548" t="s">
        <v>613</v>
      </c>
    </row>
    <row r="189" spans="1:3" x14ac:dyDescent="0.3">
      <c r="A189" s="560">
        <v>177</v>
      </c>
      <c r="B189" s="548" t="s">
        <v>1105</v>
      </c>
      <c r="C189" s="548" t="s">
        <v>1106</v>
      </c>
    </row>
    <row r="190" spans="1:3" x14ac:dyDescent="0.3">
      <c r="A190" s="560">
        <v>178</v>
      </c>
      <c r="B190" s="548" t="s">
        <v>576</v>
      </c>
      <c r="C190" s="548" t="s">
        <v>1107</v>
      </c>
    </row>
    <row r="191" spans="1:3" x14ac:dyDescent="0.3">
      <c r="A191" s="560">
        <v>179</v>
      </c>
      <c r="B191" s="548" t="s">
        <v>1108</v>
      </c>
      <c r="C191" s="548" t="s">
        <v>1109</v>
      </c>
    </row>
    <row r="192" spans="1:3" x14ac:dyDescent="0.3">
      <c r="A192" s="560">
        <v>180</v>
      </c>
      <c r="B192" s="548" t="s">
        <v>822</v>
      </c>
      <c r="C192" s="548" t="s">
        <v>622</v>
      </c>
    </row>
    <row r="193" spans="1:3" x14ac:dyDescent="0.3">
      <c r="A193" s="560">
        <v>181</v>
      </c>
      <c r="B193" s="548" t="s">
        <v>612</v>
      </c>
      <c r="C193" s="548" t="s">
        <v>1110</v>
      </c>
    </row>
    <row r="194" spans="1:3" x14ac:dyDescent="0.3">
      <c r="A194" s="560">
        <v>182</v>
      </c>
      <c r="B194" s="548" t="s">
        <v>1111</v>
      </c>
      <c r="C194" s="548" t="s">
        <v>1112</v>
      </c>
    </row>
    <row r="195" spans="1:3" x14ac:dyDescent="0.3">
      <c r="A195" s="560">
        <v>183</v>
      </c>
      <c r="B195" s="548" t="s">
        <v>1113</v>
      </c>
      <c r="C195" s="548" t="s">
        <v>1114</v>
      </c>
    </row>
    <row r="196" spans="1:3" x14ac:dyDescent="0.3">
      <c r="A196" s="560">
        <v>184</v>
      </c>
      <c r="B196" s="548" t="s">
        <v>1115</v>
      </c>
      <c r="C196" s="548" t="s">
        <v>614</v>
      </c>
    </row>
    <row r="197" spans="1:3" x14ac:dyDescent="0.3">
      <c r="A197" s="560">
        <v>185</v>
      </c>
      <c r="B197" s="548" t="s">
        <v>1116</v>
      </c>
      <c r="C197" s="548" t="s">
        <v>820</v>
      </c>
    </row>
    <row r="198" spans="1:3" x14ac:dyDescent="0.3">
      <c r="A198" s="560">
        <v>186</v>
      </c>
      <c r="B198" s="548" t="s">
        <v>1117</v>
      </c>
      <c r="C198" s="548" t="s">
        <v>1118</v>
      </c>
    </row>
    <row r="199" spans="1:3" x14ac:dyDescent="0.3">
      <c r="A199" s="560">
        <v>187</v>
      </c>
      <c r="B199" s="548" t="s">
        <v>1119</v>
      </c>
      <c r="C199" s="548" t="s">
        <v>1120</v>
      </c>
    </row>
    <row r="200" spans="1:3" x14ac:dyDescent="0.3">
      <c r="A200" s="560">
        <v>188</v>
      </c>
      <c r="B200" s="548" t="s">
        <v>1121</v>
      </c>
      <c r="C200" s="548" t="s">
        <v>615</v>
      </c>
    </row>
    <row r="201" spans="1:3" x14ac:dyDescent="0.3">
      <c r="A201" s="560">
        <v>189</v>
      </c>
      <c r="B201" s="548" t="s">
        <v>1122</v>
      </c>
      <c r="C201" s="548" t="s">
        <v>1123</v>
      </c>
    </row>
    <row r="202" spans="1:3" x14ac:dyDescent="0.3">
      <c r="A202" s="560">
        <v>190</v>
      </c>
      <c r="B202" s="548" t="s">
        <v>1124</v>
      </c>
      <c r="C202" s="548" t="s">
        <v>1125</v>
      </c>
    </row>
    <row r="203" spans="1:3" x14ac:dyDescent="0.3">
      <c r="A203" s="560">
        <v>191</v>
      </c>
      <c r="B203" s="548" t="s">
        <v>1126</v>
      </c>
      <c r="C203" s="548" t="s">
        <v>620</v>
      </c>
    </row>
    <row r="204" spans="1:3" ht="26.4" x14ac:dyDescent="0.3">
      <c r="A204" s="560">
        <v>192</v>
      </c>
      <c r="B204" s="548" t="s">
        <v>1127</v>
      </c>
      <c r="C204" s="548" t="s">
        <v>1128</v>
      </c>
    </row>
    <row r="205" spans="1:3" ht="26.4" x14ac:dyDescent="0.3">
      <c r="A205" s="560">
        <v>193</v>
      </c>
      <c r="B205" s="548" t="s">
        <v>1129</v>
      </c>
      <c r="C205" s="548" t="s">
        <v>1130</v>
      </c>
    </row>
    <row r="206" spans="1:3" x14ac:dyDescent="0.3">
      <c r="A206" s="560">
        <v>194</v>
      </c>
      <c r="B206" s="548" t="s">
        <v>1131</v>
      </c>
      <c r="C206" s="548" t="s">
        <v>616</v>
      </c>
    </row>
    <row r="207" spans="1:3" x14ac:dyDescent="0.3">
      <c r="A207" s="560">
        <v>195</v>
      </c>
      <c r="B207" s="548" t="s">
        <v>1132</v>
      </c>
      <c r="C207" s="548" t="s">
        <v>1133</v>
      </c>
    </row>
    <row r="208" spans="1:3" x14ac:dyDescent="0.3">
      <c r="A208" s="560">
        <v>196</v>
      </c>
      <c r="B208" s="552" t="s">
        <v>1134</v>
      </c>
      <c r="C208" s="548" t="s">
        <v>1135</v>
      </c>
    </row>
    <row r="209" spans="1:3" x14ac:dyDescent="0.3">
      <c r="A209" s="560">
        <v>197</v>
      </c>
      <c r="B209" s="552" t="s">
        <v>1136</v>
      </c>
      <c r="C209" s="548" t="s">
        <v>1137</v>
      </c>
    </row>
    <row r="210" spans="1:3" x14ac:dyDescent="0.3">
      <c r="A210" s="560">
        <v>198</v>
      </c>
      <c r="B210" s="548" t="s">
        <v>1138</v>
      </c>
      <c r="C210" s="548" t="s">
        <v>1139</v>
      </c>
    </row>
    <row r="211" spans="1:3" x14ac:dyDescent="0.3">
      <c r="A211" s="560">
        <v>199</v>
      </c>
      <c r="B211" s="548" t="s">
        <v>1140</v>
      </c>
      <c r="C211" s="548" t="s">
        <v>1141</v>
      </c>
    </row>
    <row r="212" spans="1:3" x14ac:dyDescent="0.3">
      <c r="A212" s="560">
        <v>200</v>
      </c>
      <c r="B212" s="548" t="s">
        <v>433</v>
      </c>
      <c r="C212" s="548" t="s">
        <v>1142</v>
      </c>
    </row>
    <row r="213" spans="1:3" x14ac:dyDescent="0.3">
      <c r="A213" s="560">
        <v>201</v>
      </c>
      <c r="B213" s="548" t="s">
        <v>1143</v>
      </c>
      <c r="C213" s="548" t="s">
        <v>1144</v>
      </c>
    </row>
    <row r="214" spans="1:3" x14ac:dyDescent="0.3">
      <c r="A214" s="560">
        <v>202</v>
      </c>
      <c r="B214" s="548" t="s">
        <v>1145</v>
      </c>
      <c r="C214" s="548" t="s">
        <v>1146</v>
      </c>
    </row>
    <row r="215" spans="1:3" x14ac:dyDescent="0.3">
      <c r="A215" s="560">
        <v>203</v>
      </c>
      <c r="B215" s="548" t="s">
        <v>1147</v>
      </c>
      <c r="C215" s="552" t="s">
        <v>824</v>
      </c>
    </row>
    <row r="216" spans="1:3" x14ac:dyDescent="0.3">
      <c r="A216" s="560">
        <v>204</v>
      </c>
      <c r="B216" s="548" t="s">
        <v>1148</v>
      </c>
      <c r="C216" s="548" t="s">
        <v>1149</v>
      </c>
    </row>
    <row r="217" spans="1:3" x14ac:dyDescent="0.3">
      <c r="A217" s="560">
        <v>205</v>
      </c>
      <c r="B217" s="548" t="s">
        <v>631</v>
      </c>
      <c r="C217" s="548" t="s">
        <v>1150</v>
      </c>
    </row>
    <row r="218" spans="1:3" x14ac:dyDescent="0.3">
      <c r="A218" s="560">
        <v>206</v>
      </c>
      <c r="B218" s="548" t="s">
        <v>1151</v>
      </c>
      <c r="C218" s="548" t="s">
        <v>1152</v>
      </c>
    </row>
    <row r="219" spans="1:3" x14ac:dyDescent="0.3">
      <c r="A219" s="560">
        <v>207</v>
      </c>
      <c r="B219" s="548" t="s">
        <v>632</v>
      </c>
      <c r="C219" s="548" t="s">
        <v>633</v>
      </c>
    </row>
    <row r="220" spans="1:3" x14ac:dyDescent="0.3">
      <c r="A220" s="560">
        <v>208</v>
      </c>
      <c r="B220" s="548" t="s">
        <v>1153</v>
      </c>
      <c r="C220" s="548" t="s">
        <v>1154</v>
      </c>
    </row>
    <row r="221" spans="1:3" x14ac:dyDescent="0.3">
      <c r="A221" s="560">
        <v>209</v>
      </c>
      <c r="B221" s="548" t="s">
        <v>1155</v>
      </c>
      <c r="C221" s="548" t="s">
        <v>1156</v>
      </c>
    </row>
    <row r="222" spans="1:3" ht="26.4" x14ac:dyDescent="0.3">
      <c r="A222" s="560">
        <v>210</v>
      </c>
      <c r="B222" s="548" t="s">
        <v>1157</v>
      </c>
      <c r="C222" s="548" t="s">
        <v>1158</v>
      </c>
    </row>
    <row r="223" spans="1:3" ht="26.4" x14ac:dyDescent="0.3">
      <c r="A223" s="560">
        <v>211</v>
      </c>
      <c r="B223" s="548" t="s">
        <v>627</v>
      </c>
      <c r="C223" s="548" t="s">
        <v>1158</v>
      </c>
    </row>
    <row r="224" spans="1:3" x14ac:dyDescent="0.3">
      <c r="A224" s="560">
        <v>212</v>
      </c>
      <c r="B224" s="548" t="s">
        <v>825</v>
      </c>
      <c r="C224" s="548" t="s">
        <v>826</v>
      </c>
    </row>
    <row r="225" spans="1:3" x14ac:dyDescent="0.3">
      <c r="A225" s="560">
        <v>213</v>
      </c>
      <c r="B225" s="548" t="s">
        <v>1159</v>
      </c>
      <c r="C225" s="548" t="s">
        <v>1160</v>
      </c>
    </row>
    <row r="226" spans="1:3" x14ac:dyDescent="0.3">
      <c r="A226" s="560">
        <v>214</v>
      </c>
      <c r="B226" s="548" t="s">
        <v>623</v>
      </c>
      <c r="C226" s="548" t="s">
        <v>624</v>
      </c>
    </row>
    <row r="227" spans="1:3" x14ac:dyDescent="0.3">
      <c r="A227" s="560">
        <v>215</v>
      </c>
      <c r="B227" s="548" t="s">
        <v>1161</v>
      </c>
      <c r="C227" s="548" t="s">
        <v>629</v>
      </c>
    </row>
    <row r="228" spans="1:3" x14ac:dyDescent="0.3">
      <c r="A228" s="560">
        <v>216</v>
      </c>
      <c r="B228" s="548" t="s">
        <v>1162</v>
      </c>
      <c r="C228" s="548" t="s">
        <v>823</v>
      </c>
    </row>
    <row r="229" spans="1:3" x14ac:dyDescent="0.3">
      <c r="A229" s="560">
        <v>217</v>
      </c>
      <c r="B229" s="548" t="s">
        <v>1163</v>
      </c>
      <c r="C229" s="548" t="s">
        <v>628</v>
      </c>
    </row>
    <row r="230" spans="1:3" x14ac:dyDescent="0.3">
      <c r="A230" s="560">
        <v>218</v>
      </c>
      <c r="B230" s="548" t="s">
        <v>1164</v>
      </c>
      <c r="C230" s="548" t="s">
        <v>1165</v>
      </c>
    </row>
    <row r="231" spans="1:3" x14ac:dyDescent="0.3">
      <c r="A231" s="560">
        <v>219</v>
      </c>
      <c r="B231" s="548" t="s">
        <v>1166</v>
      </c>
      <c r="C231" s="548" t="s">
        <v>1167</v>
      </c>
    </row>
    <row r="232" spans="1:3" x14ac:dyDescent="0.3">
      <c r="A232" s="560"/>
      <c r="B232" s="548" t="s">
        <v>1168</v>
      </c>
      <c r="C232" s="548" t="s">
        <v>1169</v>
      </c>
    </row>
    <row r="233" spans="1:3" x14ac:dyDescent="0.3">
      <c r="A233" s="560">
        <v>220</v>
      </c>
      <c r="B233" s="548" t="s">
        <v>1170</v>
      </c>
      <c r="C233" s="548" t="s">
        <v>1171</v>
      </c>
    </row>
    <row r="234" spans="1:3" x14ac:dyDescent="0.3">
      <c r="A234" s="560">
        <v>221</v>
      </c>
      <c r="B234" s="548" t="s">
        <v>1172</v>
      </c>
      <c r="C234" s="548" t="s">
        <v>1173</v>
      </c>
    </row>
    <row r="235" spans="1:3" x14ac:dyDescent="0.3">
      <c r="A235" s="560"/>
      <c r="B235" s="548" t="s">
        <v>1174</v>
      </c>
      <c r="C235" s="548" t="s">
        <v>1175</v>
      </c>
    </row>
    <row r="236" spans="1:3" x14ac:dyDescent="0.3">
      <c r="A236" s="560">
        <v>222</v>
      </c>
      <c r="B236" s="548" t="s">
        <v>1176</v>
      </c>
      <c r="C236" s="548" t="s">
        <v>1177</v>
      </c>
    </row>
    <row r="237" spans="1:3" x14ac:dyDescent="0.3">
      <c r="A237" s="560">
        <v>223</v>
      </c>
      <c r="B237" s="550" t="s">
        <v>625</v>
      </c>
      <c r="C237" s="550" t="s">
        <v>626</v>
      </c>
    </row>
    <row r="238" spans="1:3" x14ac:dyDescent="0.3">
      <c r="A238" s="560">
        <v>224</v>
      </c>
      <c r="B238" s="548" t="s">
        <v>1178</v>
      </c>
      <c r="C238" s="548" t="s">
        <v>630</v>
      </c>
    </row>
    <row r="239" spans="1:3" x14ac:dyDescent="0.3">
      <c r="A239" s="560">
        <v>225</v>
      </c>
      <c r="B239" s="548" t="s">
        <v>1179</v>
      </c>
      <c r="C239" s="548" t="s">
        <v>1180</v>
      </c>
    </row>
    <row r="240" spans="1:3" x14ac:dyDescent="0.3">
      <c r="A240" s="560">
        <v>226</v>
      </c>
      <c r="B240" s="548" t="s">
        <v>1181</v>
      </c>
      <c r="C240" s="548" t="s">
        <v>1182</v>
      </c>
    </row>
    <row r="241" spans="1:3" ht="26.4" x14ac:dyDescent="0.3">
      <c r="A241" s="560">
        <v>227</v>
      </c>
      <c r="B241" s="548" t="s">
        <v>636</v>
      </c>
      <c r="C241" s="548" t="s">
        <v>637</v>
      </c>
    </row>
    <row r="242" spans="1:3" x14ac:dyDescent="0.3">
      <c r="A242" s="560">
        <v>228</v>
      </c>
      <c r="B242" s="548" t="s">
        <v>634</v>
      </c>
      <c r="C242" s="548" t="s">
        <v>635</v>
      </c>
    </row>
    <row r="243" spans="1:3" x14ac:dyDescent="0.3">
      <c r="A243" s="560">
        <v>229</v>
      </c>
      <c r="B243" s="548" t="s">
        <v>1183</v>
      </c>
      <c r="C243" s="548" t="s">
        <v>575</v>
      </c>
    </row>
    <row r="244" spans="1:3" x14ac:dyDescent="0.3">
      <c r="A244" s="560"/>
      <c r="B244" s="548" t="s">
        <v>1184</v>
      </c>
      <c r="C244" s="548" t="s">
        <v>1185</v>
      </c>
    </row>
    <row r="245" spans="1:3" ht="26.4" x14ac:dyDescent="0.3">
      <c r="A245" s="560">
        <v>230</v>
      </c>
      <c r="B245" s="548" t="s">
        <v>1186</v>
      </c>
      <c r="C245" s="548" t="s">
        <v>1187</v>
      </c>
    </row>
    <row r="246" spans="1:3" x14ac:dyDescent="0.3">
      <c r="A246" s="560">
        <v>231</v>
      </c>
      <c r="B246" s="548" t="s">
        <v>644</v>
      </c>
      <c r="C246" s="548" t="s">
        <v>645</v>
      </c>
    </row>
    <row r="247" spans="1:3" x14ac:dyDescent="0.3">
      <c r="A247" s="560">
        <v>232</v>
      </c>
      <c r="B247" s="548" t="s">
        <v>639</v>
      </c>
      <c r="C247" s="548" t="s">
        <v>638</v>
      </c>
    </row>
    <row r="248" spans="1:3" x14ac:dyDescent="0.3">
      <c r="A248" s="560">
        <v>233</v>
      </c>
      <c r="B248" s="548" t="s">
        <v>1188</v>
      </c>
      <c r="C248" s="548" t="s">
        <v>1189</v>
      </c>
    </row>
    <row r="249" spans="1:3" x14ac:dyDescent="0.3">
      <c r="A249" s="560">
        <v>234</v>
      </c>
      <c r="B249" s="548" t="s">
        <v>643</v>
      </c>
      <c r="C249" s="548" t="s">
        <v>1190</v>
      </c>
    </row>
    <row r="250" spans="1:3" x14ac:dyDescent="0.3">
      <c r="A250" s="560">
        <v>235</v>
      </c>
      <c r="B250" s="548" t="s">
        <v>641</v>
      </c>
      <c r="C250" s="548" t="s">
        <v>642</v>
      </c>
    </row>
    <row r="251" spans="1:3" x14ac:dyDescent="0.3">
      <c r="A251" s="560">
        <v>236</v>
      </c>
      <c r="B251" s="548" t="s">
        <v>1191</v>
      </c>
      <c r="C251" s="548" t="s">
        <v>568</v>
      </c>
    </row>
    <row r="252" spans="1:3" x14ac:dyDescent="0.3">
      <c r="A252" s="560">
        <v>237</v>
      </c>
      <c r="B252" s="548" t="s">
        <v>1192</v>
      </c>
      <c r="C252" s="548" t="s">
        <v>1193</v>
      </c>
    </row>
    <row r="253" spans="1:3" x14ac:dyDescent="0.3">
      <c r="A253" s="560">
        <v>238</v>
      </c>
      <c r="B253" s="548" t="s">
        <v>1194</v>
      </c>
      <c r="C253" s="548" t="s">
        <v>640</v>
      </c>
    </row>
    <row r="254" spans="1:3" x14ac:dyDescent="0.3">
      <c r="A254" s="560">
        <v>239</v>
      </c>
      <c r="B254" s="548" t="s">
        <v>1195</v>
      </c>
      <c r="C254" s="548" t="s">
        <v>1193</v>
      </c>
    </row>
    <row r="255" spans="1:3" x14ac:dyDescent="0.3">
      <c r="A255" s="560">
        <v>240</v>
      </c>
      <c r="B255" s="548" t="s">
        <v>1196</v>
      </c>
      <c r="C255" s="548" t="s">
        <v>860</v>
      </c>
    </row>
    <row r="256" spans="1:3" x14ac:dyDescent="0.3">
      <c r="A256" s="560">
        <v>241</v>
      </c>
      <c r="B256" s="548" t="s">
        <v>646</v>
      </c>
      <c r="C256" s="548" t="s">
        <v>647</v>
      </c>
    </row>
    <row r="257" spans="1:3" x14ac:dyDescent="0.3">
      <c r="A257" s="560">
        <v>242</v>
      </c>
      <c r="B257" s="548" t="s">
        <v>1197</v>
      </c>
      <c r="C257" s="548" t="s">
        <v>1198</v>
      </c>
    </row>
    <row r="258" spans="1:3" x14ac:dyDescent="0.3">
      <c r="A258" s="560">
        <v>243</v>
      </c>
      <c r="B258" s="548" t="s">
        <v>1199</v>
      </c>
      <c r="C258" s="548" t="s">
        <v>1200</v>
      </c>
    </row>
    <row r="259" spans="1:3" x14ac:dyDescent="0.3">
      <c r="A259" s="560">
        <v>244</v>
      </c>
      <c r="B259" s="548" t="s">
        <v>1201</v>
      </c>
      <c r="C259" s="548" t="s">
        <v>1202</v>
      </c>
    </row>
    <row r="260" spans="1:3" ht="26.4" x14ac:dyDescent="0.3">
      <c r="A260" s="560">
        <v>245</v>
      </c>
      <c r="B260" s="548" t="s">
        <v>648</v>
      </c>
      <c r="C260" s="548" t="s">
        <v>649</v>
      </c>
    </row>
    <row r="261" spans="1:3" x14ac:dyDescent="0.3">
      <c r="A261" s="560">
        <v>246</v>
      </c>
      <c r="B261" s="552" t="s">
        <v>1203</v>
      </c>
      <c r="C261" s="548" t="s">
        <v>1204</v>
      </c>
    </row>
    <row r="262" spans="1:3" x14ac:dyDescent="0.3">
      <c r="A262" s="560">
        <v>247</v>
      </c>
      <c r="B262" s="548" t="s">
        <v>652</v>
      </c>
      <c r="C262" s="548" t="s">
        <v>653</v>
      </c>
    </row>
    <row r="263" spans="1:3" x14ac:dyDescent="0.3">
      <c r="A263" s="560">
        <v>248</v>
      </c>
      <c r="B263" s="552" t="s">
        <v>650</v>
      </c>
      <c r="C263" s="548" t="s">
        <v>651</v>
      </c>
    </row>
    <row r="264" spans="1:3" x14ac:dyDescent="0.3">
      <c r="A264" s="560">
        <v>249</v>
      </c>
      <c r="B264" s="552" t="s">
        <v>1205</v>
      </c>
      <c r="C264" s="548" t="s">
        <v>835</v>
      </c>
    </row>
    <row r="265" spans="1:3" x14ac:dyDescent="0.3">
      <c r="A265" s="560">
        <v>250</v>
      </c>
      <c r="B265" s="552" t="s">
        <v>1206</v>
      </c>
      <c r="C265" s="548" t="s">
        <v>654</v>
      </c>
    </row>
    <row r="266" spans="1:3" x14ac:dyDescent="0.3">
      <c r="A266" s="560">
        <v>251</v>
      </c>
      <c r="B266" s="552" t="s">
        <v>1207</v>
      </c>
      <c r="C266" s="548" t="s">
        <v>1208</v>
      </c>
    </row>
    <row r="267" spans="1:3" x14ac:dyDescent="0.3">
      <c r="A267" s="560">
        <v>252</v>
      </c>
      <c r="B267" s="552" t="s">
        <v>1209</v>
      </c>
      <c r="C267" s="548" t="s">
        <v>655</v>
      </c>
    </row>
    <row r="268" spans="1:3" x14ac:dyDescent="0.3">
      <c r="A268" s="560">
        <v>253</v>
      </c>
      <c r="B268" s="552" t="s">
        <v>1210</v>
      </c>
      <c r="C268" s="548" t="s">
        <v>657</v>
      </c>
    </row>
    <row r="269" spans="1:3" x14ac:dyDescent="0.3">
      <c r="A269" s="560">
        <v>254</v>
      </c>
      <c r="B269" s="552" t="s">
        <v>656</v>
      </c>
      <c r="C269" s="548" t="s">
        <v>1211</v>
      </c>
    </row>
    <row r="270" spans="1:3" x14ac:dyDescent="0.3">
      <c r="A270" s="560">
        <v>255</v>
      </c>
      <c r="B270" s="552" t="s">
        <v>1212</v>
      </c>
      <c r="C270" s="548" t="s">
        <v>1213</v>
      </c>
    </row>
    <row r="271" spans="1:3" x14ac:dyDescent="0.3">
      <c r="A271" s="560">
        <v>256</v>
      </c>
      <c r="B271" s="552" t="s">
        <v>1214</v>
      </c>
      <c r="C271" s="548" t="s">
        <v>1215</v>
      </c>
    </row>
    <row r="272" spans="1:3" x14ac:dyDescent="0.3">
      <c r="A272" s="560"/>
      <c r="B272" s="556" t="s">
        <v>1216</v>
      </c>
      <c r="C272" s="548" t="s">
        <v>1217</v>
      </c>
    </row>
    <row r="273" spans="1:3" ht="26.4" x14ac:dyDescent="0.3">
      <c r="A273" s="560">
        <v>257</v>
      </c>
      <c r="B273" s="215" t="s">
        <v>1218</v>
      </c>
      <c r="C273" s="548" t="s">
        <v>1219</v>
      </c>
    </row>
    <row r="274" spans="1:3" x14ac:dyDescent="0.3">
      <c r="A274" s="560">
        <v>258</v>
      </c>
      <c r="B274" s="552" t="s">
        <v>1220</v>
      </c>
      <c r="C274" s="548" t="s">
        <v>1221</v>
      </c>
    </row>
    <row r="275" spans="1:3" x14ac:dyDescent="0.3">
      <c r="A275" s="560">
        <v>259</v>
      </c>
      <c r="B275" s="557" t="s">
        <v>356</v>
      </c>
      <c r="C275" s="550" t="s">
        <v>1222</v>
      </c>
    </row>
    <row r="276" spans="1:3" x14ac:dyDescent="0.3">
      <c r="A276" s="560">
        <v>260</v>
      </c>
      <c r="B276" s="557" t="s">
        <v>1223</v>
      </c>
      <c r="C276" s="550" t="s">
        <v>659</v>
      </c>
    </row>
    <row r="277" spans="1:3" x14ac:dyDescent="0.3">
      <c r="A277" s="560">
        <v>261</v>
      </c>
      <c r="B277" s="552" t="s">
        <v>1224</v>
      </c>
      <c r="C277" s="548" t="s">
        <v>1225</v>
      </c>
    </row>
    <row r="278" spans="1:3" x14ac:dyDescent="0.3">
      <c r="A278" s="560">
        <v>262</v>
      </c>
      <c r="B278" s="552" t="s">
        <v>1226</v>
      </c>
      <c r="C278" s="552" t="s">
        <v>1227</v>
      </c>
    </row>
    <row r="279" spans="1:3" x14ac:dyDescent="0.3">
      <c r="A279" s="560">
        <v>263</v>
      </c>
      <c r="B279" s="552" t="s">
        <v>1228</v>
      </c>
      <c r="C279" s="548" t="s">
        <v>1229</v>
      </c>
    </row>
    <row r="280" spans="1:3" x14ac:dyDescent="0.3">
      <c r="A280" s="560">
        <v>264</v>
      </c>
      <c r="B280" s="552" t="s">
        <v>1230</v>
      </c>
      <c r="C280" s="548" t="s">
        <v>663</v>
      </c>
    </row>
    <row r="281" spans="1:3" x14ac:dyDescent="0.3">
      <c r="A281" s="560">
        <v>265</v>
      </c>
      <c r="B281" s="552" t="s">
        <v>660</v>
      </c>
      <c r="C281" s="548" t="s">
        <v>661</v>
      </c>
    </row>
    <row r="282" spans="1:3" x14ac:dyDescent="0.3">
      <c r="A282" s="560">
        <v>266</v>
      </c>
      <c r="B282" s="552" t="s">
        <v>662</v>
      </c>
      <c r="C282" s="548" t="s">
        <v>1231</v>
      </c>
    </row>
    <row r="283" spans="1:3" x14ac:dyDescent="0.3">
      <c r="A283" s="560">
        <v>267</v>
      </c>
      <c r="B283" s="552" t="s">
        <v>1232</v>
      </c>
      <c r="C283" s="549" t="s">
        <v>1233</v>
      </c>
    </row>
    <row r="284" spans="1:3" x14ac:dyDescent="0.3">
      <c r="A284" s="560">
        <v>268</v>
      </c>
      <c r="B284" s="552" t="s">
        <v>1234</v>
      </c>
      <c r="C284" s="549" t="s">
        <v>1235</v>
      </c>
    </row>
    <row r="285" spans="1:3" x14ac:dyDescent="0.3">
      <c r="A285" s="560">
        <v>269</v>
      </c>
      <c r="B285" s="548" t="s">
        <v>1236</v>
      </c>
      <c r="C285" s="548" t="s">
        <v>619</v>
      </c>
    </row>
    <row r="286" spans="1:3" x14ac:dyDescent="0.3">
      <c r="A286" s="560">
        <v>270</v>
      </c>
      <c r="B286" s="552" t="s">
        <v>1237</v>
      </c>
      <c r="C286" s="548" t="s">
        <v>664</v>
      </c>
    </row>
    <row r="287" spans="1:3" x14ac:dyDescent="0.3">
      <c r="A287" s="560">
        <v>271</v>
      </c>
      <c r="B287" s="552" t="s">
        <v>1238</v>
      </c>
      <c r="C287" s="548" t="s">
        <v>1239</v>
      </c>
    </row>
    <row r="288" spans="1:3" x14ac:dyDescent="0.3">
      <c r="A288" s="560">
        <v>272</v>
      </c>
      <c r="B288" s="552" t="s">
        <v>1240</v>
      </c>
      <c r="C288" s="548" t="s">
        <v>1241</v>
      </c>
    </row>
    <row r="289" spans="1:3" x14ac:dyDescent="0.3">
      <c r="A289" s="560">
        <v>273</v>
      </c>
      <c r="B289" s="552" t="s">
        <v>668</v>
      </c>
      <c r="C289" s="548" t="s">
        <v>669</v>
      </c>
    </row>
    <row r="290" spans="1:3" x14ac:dyDescent="0.3">
      <c r="A290" s="560">
        <v>274</v>
      </c>
      <c r="B290" s="552" t="s">
        <v>1242</v>
      </c>
      <c r="C290" s="548" t="s">
        <v>1243</v>
      </c>
    </row>
    <row r="291" spans="1:3" x14ac:dyDescent="0.3">
      <c r="A291" s="560">
        <v>275</v>
      </c>
      <c r="B291" s="552" t="s">
        <v>451</v>
      </c>
      <c r="C291" s="548" t="s">
        <v>1244</v>
      </c>
    </row>
    <row r="292" spans="1:3" x14ac:dyDescent="0.3">
      <c r="A292" s="560">
        <v>276</v>
      </c>
      <c r="B292" s="552" t="s">
        <v>1245</v>
      </c>
      <c r="C292" s="548" t="s">
        <v>1246</v>
      </c>
    </row>
    <row r="293" spans="1:3" x14ac:dyDescent="0.3">
      <c r="A293" s="560">
        <v>277</v>
      </c>
      <c r="B293" s="552" t="s">
        <v>1247</v>
      </c>
      <c r="C293" s="548" t="s">
        <v>1248</v>
      </c>
    </row>
    <row r="294" spans="1:3" x14ac:dyDescent="0.3">
      <c r="A294" s="560">
        <v>278</v>
      </c>
      <c r="B294" s="548" t="s">
        <v>1249</v>
      </c>
      <c r="C294" s="548" t="s">
        <v>665</v>
      </c>
    </row>
    <row r="295" spans="1:3" x14ac:dyDescent="0.3">
      <c r="A295" s="560">
        <v>279</v>
      </c>
      <c r="B295" s="552" t="s">
        <v>1250</v>
      </c>
      <c r="C295" s="548" t="s">
        <v>1251</v>
      </c>
    </row>
    <row r="296" spans="1:3" x14ac:dyDescent="0.3">
      <c r="A296" s="560">
        <v>280</v>
      </c>
      <c r="B296" s="552" t="s">
        <v>1252</v>
      </c>
      <c r="C296" s="548" t="s">
        <v>829</v>
      </c>
    </row>
    <row r="297" spans="1:3" x14ac:dyDescent="0.3">
      <c r="A297" s="560">
        <v>281</v>
      </c>
      <c r="B297" s="552" t="s">
        <v>1253</v>
      </c>
      <c r="C297" s="548" t="s">
        <v>1089</v>
      </c>
    </row>
    <row r="298" spans="1:3" x14ac:dyDescent="0.3">
      <c r="A298" s="560">
        <v>282</v>
      </c>
      <c r="B298" s="552" t="s">
        <v>1254</v>
      </c>
      <c r="C298" s="548" t="s">
        <v>1255</v>
      </c>
    </row>
    <row r="299" spans="1:3" x14ac:dyDescent="0.3">
      <c r="A299" s="560">
        <v>283</v>
      </c>
      <c r="B299" s="552" t="s">
        <v>827</v>
      </c>
      <c r="C299" s="548" t="s">
        <v>828</v>
      </c>
    </row>
    <row r="300" spans="1:3" x14ac:dyDescent="0.3">
      <c r="A300" s="560">
        <v>284</v>
      </c>
      <c r="B300" s="552" t="s">
        <v>1256</v>
      </c>
      <c r="C300" s="548" t="s">
        <v>1257</v>
      </c>
    </row>
    <row r="301" spans="1:3" x14ac:dyDescent="0.3">
      <c r="A301" s="560">
        <v>285</v>
      </c>
      <c r="B301" s="552" t="s">
        <v>1258</v>
      </c>
      <c r="C301" s="548" t="s">
        <v>1259</v>
      </c>
    </row>
    <row r="302" spans="1:3" x14ac:dyDescent="0.3">
      <c r="A302" s="560">
        <v>286</v>
      </c>
      <c r="B302" s="552" t="s">
        <v>1260</v>
      </c>
      <c r="C302" s="548" t="s">
        <v>1261</v>
      </c>
    </row>
    <row r="303" spans="1:3" x14ac:dyDescent="0.3">
      <c r="A303" s="560">
        <v>287</v>
      </c>
      <c r="B303" s="552" t="s">
        <v>1262</v>
      </c>
      <c r="C303" s="548" t="s">
        <v>667</v>
      </c>
    </row>
    <row r="304" spans="1:3" x14ac:dyDescent="0.3">
      <c r="A304" s="560">
        <v>288</v>
      </c>
      <c r="B304" s="552" t="s">
        <v>1263</v>
      </c>
      <c r="C304" s="548" t="s">
        <v>666</v>
      </c>
    </row>
    <row r="305" spans="1:3" x14ac:dyDescent="0.3">
      <c r="A305" s="560">
        <v>289</v>
      </c>
      <c r="B305" s="552" t="s">
        <v>1264</v>
      </c>
      <c r="C305" s="548" t="s">
        <v>1265</v>
      </c>
    </row>
    <row r="306" spans="1:3" x14ac:dyDescent="0.3">
      <c r="A306" s="560">
        <v>290</v>
      </c>
      <c r="B306" s="552" t="s">
        <v>1266</v>
      </c>
      <c r="C306" s="548" t="s">
        <v>830</v>
      </c>
    </row>
    <row r="307" spans="1:3" x14ac:dyDescent="0.3">
      <c r="A307" s="560">
        <v>291</v>
      </c>
      <c r="B307" s="548" t="s">
        <v>1267</v>
      </c>
      <c r="C307" s="550" t="s">
        <v>1268</v>
      </c>
    </row>
    <row r="308" spans="1:3" x14ac:dyDescent="0.3">
      <c r="A308" s="560">
        <v>292</v>
      </c>
      <c r="B308" s="552" t="s">
        <v>1269</v>
      </c>
      <c r="C308" s="548" t="s">
        <v>1270</v>
      </c>
    </row>
    <row r="309" spans="1:3" x14ac:dyDescent="0.3">
      <c r="A309" s="560">
        <v>293</v>
      </c>
      <c r="B309" s="552" t="s">
        <v>670</v>
      </c>
      <c r="C309" s="548" t="s">
        <v>1271</v>
      </c>
    </row>
    <row r="310" spans="1:3" x14ac:dyDescent="0.3">
      <c r="A310" s="560">
        <v>294</v>
      </c>
      <c r="B310" s="552" t="s">
        <v>1272</v>
      </c>
      <c r="C310" s="548" t="s">
        <v>671</v>
      </c>
    </row>
    <row r="311" spans="1:3" x14ac:dyDescent="0.3">
      <c r="A311" s="560">
        <v>295</v>
      </c>
      <c r="B311" s="552" t="s">
        <v>1273</v>
      </c>
      <c r="C311" s="548" t="s">
        <v>560</v>
      </c>
    </row>
    <row r="312" spans="1:3" x14ac:dyDescent="0.3">
      <c r="A312" s="560">
        <v>296</v>
      </c>
      <c r="B312" s="552" t="s">
        <v>1274</v>
      </c>
      <c r="C312" s="548" t="s">
        <v>829</v>
      </c>
    </row>
    <row r="313" spans="1:3" x14ac:dyDescent="0.3">
      <c r="A313" s="560">
        <v>297</v>
      </c>
      <c r="B313" s="552" t="s">
        <v>1275</v>
      </c>
      <c r="C313" s="548" t="s">
        <v>1276</v>
      </c>
    </row>
    <row r="314" spans="1:3" x14ac:dyDescent="0.3">
      <c r="A314" s="560">
        <v>298</v>
      </c>
      <c r="B314" s="552" t="s">
        <v>1277</v>
      </c>
      <c r="C314" s="548" t="s">
        <v>1278</v>
      </c>
    </row>
    <row r="315" spans="1:3" x14ac:dyDescent="0.3">
      <c r="A315" s="560">
        <v>299</v>
      </c>
      <c r="B315" s="552" t="s">
        <v>1279</v>
      </c>
      <c r="C315" s="548" t="s">
        <v>1280</v>
      </c>
    </row>
    <row r="316" spans="1:3" x14ac:dyDescent="0.3">
      <c r="A316" s="560">
        <v>300</v>
      </c>
      <c r="B316" s="552" t="s">
        <v>1281</v>
      </c>
      <c r="C316" s="548" t="s">
        <v>1282</v>
      </c>
    </row>
    <row r="317" spans="1:3" ht="26.4" x14ac:dyDescent="0.3">
      <c r="A317" s="560">
        <v>301</v>
      </c>
      <c r="B317" s="552" t="s">
        <v>1283</v>
      </c>
      <c r="C317" s="548" t="s">
        <v>1284</v>
      </c>
    </row>
    <row r="318" spans="1:3" x14ac:dyDescent="0.3">
      <c r="A318" s="560">
        <v>302</v>
      </c>
      <c r="B318" s="552" t="s">
        <v>1285</v>
      </c>
      <c r="C318" s="548" t="s">
        <v>1286</v>
      </c>
    </row>
    <row r="319" spans="1:3" x14ac:dyDescent="0.3">
      <c r="A319" s="560">
        <v>303</v>
      </c>
      <c r="B319" s="552" t="s">
        <v>1287</v>
      </c>
      <c r="C319" s="548" t="s">
        <v>658</v>
      </c>
    </row>
    <row r="320" spans="1:3" x14ac:dyDescent="0.3">
      <c r="A320" s="560">
        <v>304</v>
      </c>
      <c r="B320" s="552" t="s">
        <v>1288</v>
      </c>
      <c r="C320" s="548" t="s">
        <v>595</v>
      </c>
    </row>
    <row r="321" spans="1:3" x14ac:dyDescent="0.3">
      <c r="A321" s="560">
        <v>305</v>
      </c>
      <c r="B321" s="552" t="s">
        <v>1289</v>
      </c>
      <c r="C321" s="548" t="s">
        <v>831</v>
      </c>
    </row>
    <row r="322" spans="1:3" x14ac:dyDescent="0.3">
      <c r="A322" s="560">
        <v>306</v>
      </c>
      <c r="B322" s="552" t="s">
        <v>1290</v>
      </c>
      <c r="C322" s="548" t="s">
        <v>1291</v>
      </c>
    </row>
    <row r="323" spans="1:3" ht="26.4" x14ac:dyDescent="0.3">
      <c r="A323" s="560">
        <v>307</v>
      </c>
      <c r="B323" s="552" t="s">
        <v>1292</v>
      </c>
      <c r="C323" s="548" t="s">
        <v>672</v>
      </c>
    </row>
    <row r="324" spans="1:3" x14ac:dyDescent="0.3">
      <c r="A324" s="560">
        <v>308</v>
      </c>
      <c r="B324" s="552" t="s">
        <v>1293</v>
      </c>
      <c r="C324" s="548" t="s">
        <v>1294</v>
      </c>
    </row>
    <row r="325" spans="1:3" x14ac:dyDescent="0.3">
      <c r="A325" s="560">
        <v>309</v>
      </c>
      <c r="B325" s="552" t="s">
        <v>1295</v>
      </c>
      <c r="C325" s="548" t="s">
        <v>832</v>
      </c>
    </row>
    <row r="326" spans="1:3" x14ac:dyDescent="0.3">
      <c r="A326" s="560">
        <v>310</v>
      </c>
      <c r="B326" s="552" t="s">
        <v>1296</v>
      </c>
      <c r="C326" s="548" t="s">
        <v>1297</v>
      </c>
    </row>
    <row r="327" spans="1:3" x14ac:dyDescent="0.3">
      <c r="A327" s="560">
        <v>311</v>
      </c>
      <c r="B327" s="552" t="s">
        <v>1298</v>
      </c>
      <c r="C327" s="548" t="s">
        <v>1299</v>
      </c>
    </row>
    <row r="328" spans="1:3" x14ac:dyDescent="0.3">
      <c r="A328" s="560">
        <v>312</v>
      </c>
      <c r="B328" s="552" t="s">
        <v>1300</v>
      </c>
      <c r="C328" s="548" t="s">
        <v>833</v>
      </c>
    </row>
    <row r="329" spans="1:3" x14ac:dyDescent="0.3">
      <c r="A329" s="560">
        <v>313</v>
      </c>
      <c r="B329" s="552" t="s">
        <v>1301</v>
      </c>
      <c r="C329" s="548" t="s">
        <v>1302</v>
      </c>
    </row>
    <row r="330" spans="1:3" x14ac:dyDescent="0.3">
      <c r="A330" s="560">
        <v>314</v>
      </c>
      <c r="B330" s="552" t="s">
        <v>1303</v>
      </c>
      <c r="C330" s="548" t="s">
        <v>1304</v>
      </c>
    </row>
    <row r="331" spans="1:3" x14ac:dyDescent="0.3">
      <c r="A331" s="560">
        <v>315</v>
      </c>
      <c r="B331" s="552" t="s">
        <v>673</v>
      </c>
      <c r="C331" s="548" t="s">
        <v>674</v>
      </c>
    </row>
    <row r="332" spans="1:3" x14ac:dyDescent="0.3">
      <c r="A332" s="560">
        <v>316</v>
      </c>
      <c r="B332" s="552" t="s">
        <v>1305</v>
      </c>
      <c r="C332" s="548" t="s">
        <v>1306</v>
      </c>
    </row>
    <row r="333" spans="1:3" x14ac:dyDescent="0.3">
      <c r="A333" s="560">
        <v>317</v>
      </c>
      <c r="B333" s="552" t="s">
        <v>1307</v>
      </c>
      <c r="C333" s="548" t="s">
        <v>1308</v>
      </c>
    </row>
    <row r="334" spans="1:3" x14ac:dyDescent="0.3">
      <c r="A334" s="560">
        <v>318</v>
      </c>
      <c r="B334" s="552" t="s">
        <v>678</v>
      </c>
      <c r="C334" s="548" t="s">
        <v>679</v>
      </c>
    </row>
    <row r="335" spans="1:3" x14ac:dyDescent="0.3">
      <c r="A335" s="560">
        <v>319</v>
      </c>
      <c r="B335" s="548" t="s">
        <v>1309</v>
      </c>
      <c r="C335" s="548" t="s">
        <v>573</v>
      </c>
    </row>
    <row r="336" spans="1:3" x14ac:dyDescent="0.3">
      <c r="A336" s="560">
        <v>320</v>
      </c>
      <c r="B336" s="548" t="s">
        <v>1310</v>
      </c>
      <c r="C336" s="548" t="s">
        <v>1311</v>
      </c>
    </row>
    <row r="337" spans="1:3" x14ac:dyDescent="0.3">
      <c r="A337" s="560">
        <v>321</v>
      </c>
      <c r="B337" s="548" t="s">
        <v>675</v>
      </c>
      <c r="C337" s="548" t="s">
        <v>676</v>
      </c>
    </row>
    <row r="338" spans="1:3" x14ac:dyDescent="0.3">
      <c r="A338" s="560">
        <v>322</v>
      </c>
      <c r="B338" s="552" t="s">
        <v>1312</v>
      </c>
      <c r="C338" s="548" t="s">
        <v>677</v>
      </c>
    </row>
    <row r="339" spans="1:3" ht="26.4" x14ac:dyDescent="0.3">
      <c r="A339" s="560"/>
      <c r="B339" s="552" t="s">
        <v>1313</v>
      </c>
      <c r="C339" s="548" t="s">
        <v>1314</v>
      </c>
    </row>
    <row r="340" spans="1:3" x14ac:dyDescent="0.3">
      <c r="A340" s="560">
        <v>323</v>
      </c>
      <c r="B340" s="552" t="s">
        <v>1315</v>
      </c>
      <c r="C340" s="548" t="s">
        <v>691</v>
      </c>
    </row>
    <row r="341" spans="1:3" x14ac:dyDescent="0.3">
      <c r="A341" s="560">
        <v>324</v>
      </c>
      <c r="B341" s="552" t="s">
        <v>1316</v>
      </c>
      <c r="C341" s="548" t="s">
        <v>1317</v>
      </c>
    </row>
    <row r="342" spans="1:3" x14ac:dyDescent="0.3">
      <c r="A342" s="560">
        <v>325</v>
      </c>
      <c r="B342" s="552" t="s">
        <v>1318</v>
      </c>
      <c r="C342" s="548" t="s">
        <v>688</v>
      </c>
    </row>
    <row r="343" spans="1:3" x14ac:dyDescent="0.3">
      <c r="A343" s="560">
        <v>326</v>
      </c>
      <c r="B343" s="552" t="s">
        <v>687</v>
      </c>
      <c r="C343" s="548" t="s">
        <v>602</v>
      </c>
    </row>
    <row r="344" spans="1:3" x14ac:dyDescent="0.3">
      <c r="A344" s="560">
        <v>327</v>
      </c>
      <c r="B344" s="552" t="s">
        <v>682</v>
      </c>
      <c r="C344" s="548" t="s">
        <v>683</v>
      </c>
    </row>
    <row r="345" spans="1:3" x14ac:dyDescent="0.3">
      <c r="A345" s="560">
        <v>328</v>
      </c>
      <c r="B345" s="552" t="s">
        <v>1319</v>
      </c>
      <c r="C345" s="548" t="s">
        <v>689</v>
      </c>
    </row>
    <row r="346" spans="1:3" x14ac:dyDescent="0.3">
      <c r="A346" s="560">
        <v>329</v>
      </c>
      <c r="B346" s="552" t="s">
        <v>1320</v>
      </c>
      <c r="C346" s="548" t="s">
        <v>680</v>
      </c>
    </row>
    <row r="347" spans="1:3" x14ac:dyDescent="0.3">
      <c r="A347" s="560">
        <v>330</v>
      </c>
      <c r="B347" s="552" t="s">
        <v>681</v>
      </c>
      <c r="C347" s="548" t="s">
        <v>1321</v>
      </c>
    </row>
    <row r="348" spans="1:3" x14ac:dyDescent="0.3">
      <c r="A348" s="560">
        <v>331</v>
      </c>
      <c r="B348" s="552" t="s">
        <v>1322</v>
      </c>
      <c r="C348" s="548" t="s">
        <v>803</v>
      </c>
    </row>
    <row r="349" spans="1:3" x14ac:dyDescent="0.3">
      <c r="A349" s="560">
        <v>332</v>
      </c>
      <c r="B349" s="552" t="s">
        <v>1323</v>
      </c>
      <c r="C349" s="548" t="s">
        <v>600</v>
      </c>
    </row>
    <row r="350" spans="1:3" x14ac:dyDescent="0.3">
      <c r="A350" s="560">
        <v>333</v>
      </c>
      <c r="B350" s="552" t="s">
        <v>1324</v>
      </c>
      <c r="C350" s="548" t="s">
        <v>1325</v>
      </c>
    </row>
    <row r="351" spans="1:3" x14ac:dyDescent="0.3">
      <c r="A351" s="560">
        <v>334</v>
      </c>
      <c r="B351" s="552" t="s">
        <v>684</v>
      </c>
      <c r="C351" s="548" t="s">
        <v>1326</v>
      </c>
    </row>
    <row r="352" spans="1:3" x14ac:dyDescent="0.3">
      <c r="A352" s="560">
        <v>335</v>
      </c>
      <c r="B352" s="552" t="s">
        <v>1327</v>
      </c>
      <c r="C352" s="548" t="s">
        <v>1328</v>
      </c>
    </row>
    <row r="353" spans="1:3" x14ac:dyDescent="0.3">
      <c r="A353" s="560">
        <v>336</v>
      </c>
      <c r="B353" s="552" t="s">
        <v>685</v>
      </c>
      <c r="C353" s="548" t="s">
        <v>686</v>
      </c>
    </row>
    <row r="354" spans="1:3" x14ac:dyDescent="0.3">
      <c r="A354" s="560">
        <v>337</v>
      </c>
      <c r="B354" s="552" t="s">
        <v>690</v>
      </c>
      <c r="C354" s="548" t="s">
        <v>1329</v>
      </c>
    </row>
    <row r="355" spans="1:3" x14ac:dyDescent="0.3">
      <c r="A355" s="560">
        <v>338</v>
      </c>
      <c r="B355" s="552" t="s">
        <v>462</v>
      </c>
      <c r="C355" s="548" t="s">
        <v>1330</v>
      </c>
    </row>
    <row r="356" spans="1:3" x14ac:dyDescent="0.3">
      <c r="A356" s="560">
        <v>339</v>
      </c>
      <c r="B356" s="552" t="s">
        <v>1331</v>
      </c>
      <c r="C356" s="548" t="s">
        <v>1332</v>
      </c>
    </row>
    <row r="357" spans="1:3" x14ac:dyDescent="0.3">
      <c r="A357" s="560">
        <v>340</v>
      </c>
      <c r="B357" s="552" t="s">
        <v>1333</v>
      </c>
      <c r="C357" s="548" t="s">
        <v>834</v>
      </c>
    </row>
    <row r="358" spans="1:3" x14ac:dyDescent="0.3">
      <c r="A358" s="560">
        <v>341</v>
      </c>
      <c r="B358" s="552" t="s">
        <v>694</v>
      </c>
      <c r="C358" s="548" t="s">
        <v>695</v>
      </c>
    </row>
    <row r="359" spans="1:3" x14ac:dyDescent="0.3">
      <c r="A359" s="560">
        <v>342</v>
      </c>
      <c r="B359" s="552" t="s">
        <v>1334</v>
      </c>
      <c r="C359" s="552" t="s">
        <v>693</v>
      </c>
    </row>
    <row r="360" spans="1:3" x14ac:dyDescent="0.3">
      <c r="A360" s="560">
        <v>343</v>
      </c>
      <c r="B360" s="552" t="s">
        <v>1335</v>
      </c>
      <c r="C360" s="552" t="s">
        <v>1336</v>
      </c>
    </row>
    <row r="361" spans="1:3" x14ac:dyDescent="0.3">
      <c r="A361" s="560">
        <v>344</v>
      </c>
      <c r="B361" s="552" t="s">
        <v>1337</v>
      </c>
      <c r="C361" s="552" t="s">
        <v>692</v>
      </c>
    </row>
    <row r="362" spans="1:3" x14ac:dyDescent="0.3">
      <c r="A362" s="560">
        <v>345</v>
      </c>
      <c r="B362" s="552" t="s">
        <v>1338</v>
      </c>
      <c r="C362" s="552" t="s">
        <v>1339</v>
      </c>
    </row>
    <row r="363" spans="1:3" x14ac:dyDescent="0.3">
      <c r="A363" s="560"/>
      <c r="B363" s="552" t="s">
        <v>1340</v>
      </c>
      <c r="C363" s="552" t="s">
        <v>956</v>
      </c>
    </row>
    <row r="364" spans="1:3" x14ac:dyDescent="0.3">
      <c r="A364" s="560"/>
      <c r="B364" s="552" t="s">
        <v>1341</v>
      </c>
      <c r="C364" s="552" t="s">
        <v>1342</v>
      </c>
    </row>
    <row r="365" spans="1:3" x14ac:dyDescent="0.3">
      <c r="A365" s="560">
        <v>346</v>
      </c>
      <c r="B365" s="552" t="s">
        <v>1343</v>
      </c>
      <c r="C365" s="552" t="s">
        <v>1344</v>
      </c>
    </row>
    <row r="366" spans="1:3" x14ac:dyDescent="0.3">
      <c r="A366" s="560">
        <v>347</v>
      </c>
      <c r="B366" s="552" t="s">
        <v>1345</v>
      </c>
      <c r="C366" s="552" t="s">
        <v>696</v>
      </c>
    </row>
    <row r="367" spans="1:3" x14ac:dyDescent="0.3">
      <c r="A367" s="560">
        <v>348</v>
      </c>
      <c r="B367" s="552" t="s">
        <v>463</v>
      </c>
      <c r="C367" s="552" t="s">
        <v>697</v>
      </c>
    </row>
    <row r="368" spans="1:3" x14ac:dyDescent="0.3">
      <c r="A368" s="560"/>
      <c r="B368" s="552" t="s">
        <v>1346</v>
      </c>
      <c r="C368" s="552" t="s">
        <v>860</v>
      </c>
    </row>
    <row r="369" spans="1:3" x14ac:dyDescent="0.3">
      <c r="A369" s="560"/>
      <c r="B369" s="552" t="s">
        <v>1347</v>
      </c>
      <c r="C369" s="552" t="s">
        <v>1348</v>
      </c>
    </row>
    <row r="370" spans="1:3" x14ac:dyDescent="0.3">
      <c r="A370" s="560">
        <v>349</v>
      </c>
      <c r="B370" s="469" t="s">
        <v>1349</v>
      </c>
      <c r="C370" s="469" t="s">
        <v>860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zoomScaleNormal="100" workbookViewId="0">
      <selection activeCell="U18" sqref="U18:X18"/>
    </sheetView>
  </sheetViews>
  <sheetFormatPr baseColWidth="10" defaultColWidth="11.44140625" defaultRowHeight="14.4" x14ac:dyDescent="0.3"/>
  <cols>
    <col min="1" max="1" width="4.33203125" style="456" customWidth="1"/>
    <col min="2" max="2" width="5.33203125" style="456" customWidth="1"/>
    <col min="3" max="3" width="3.5546875" style="456" customWidth="1"/>
    <col min="4" max="4" width="4.88671875" style="456" customWidth="1"/>
    <col min="5" max="5" width="6.44140625" style="456" customWidth="1"/>
    <col min="6" max="6" width="3.109375" style="456" customWidth="1"/>
    <col min="7" max="7" width="2.33203125" style="456" customWidth="1"/>
    <col min="8" max="8" width="2.5546875" style="456" customWidth="1"/>
    <col min="9" max="9" width="1.88671875" style="456" customWidth="1"/>
    <col min="10" max="10" width="2" style="456" customWidth="1"/>
    <col min="11" max="11" width="4.5546875" style="456" customWidth="1"/>
    <col min="12" max="12" width="4.109375" style="456" customWidth="1"/>
    <col min="13" max="13" width="2.6640625" style="456" customWidth="1"/>
    <col min="14" max="14" width="3.5546875" style="456" customWidth="1"/>
    <col min="15" max="15" width="2.88671875" style="456" customWidth="1"/>
    <col min="16" max="16" width="5.33203125" style="456" customWidth="1"/>
    <col min="17" max="17" width="3.5546875" style="456" customWidth="1"/>
    <col min="18" max="18" width="3.33203125" style="456" customWidth="1"/>
    <col min="19" max="19" width="3.109375" style="456" customWidth="1"/>
    <col min="20" max="21" width="3.88671875" style="456" customWidth="1"/>
    <col min="22" max="22" width="2.88671875" style="456" customWidth="1"/>
    <col min="23" max="23" width="4.109375" style="456" customWidth="1"/>
    <col min="24" max="24" width="3" style="456" customWidth="1"/>
    <col min="25" max="16384" width="11.44140625" style="456"/>
  </cols>
  <sheetData>
    <row r="3" spans="1:24" x14ac:dyDescent="0.3">
      <c r="A3" s="813" t="s">
        <v>787</v>
      </c>
      <c r="B3" s="813"/>
      <c r="C3" s="813"/>
      <c r="D3" s="813"/>
      <c r="E3" s="813"/>
      <c r="F3" s="813"/>
      <c r="G3" s="813"/>
      <c r="H3" s="813"/>
      <c r="I3" s="813"/>
      <c r="J3" s="813"/>
      <c r="K3" s="813"/>
      <c r="L3" s="813"/>
      <c r="M3" s="813"/>
      <c r="N3" s="813"/>
      <c r="O3" s="813"/>
      <c r="P3" s="813"/>
      <c r="Q3" s="813"/>
      <c r="R3" s="813"/>
      <c r="S3" s="813"/>
      <c r="T3" s="813"/>
      <c r="U3" s="813"/>
      <c r="V3" s="813"/>
      <c r="W3" s="813"/>
      <c r="X3" s="813"/>
    </row>
    <row r="5" spans="1:24" x14ac:dyDescent="0.3">
      <c r="A5" s="472" t="s">
        <v>706</v>
      </c>
    </row>
    <row r="7" spans="1:24" x14ac:dyDescent="0.3">
      <c r="A7" s="645" t="s">
        <v>724</v>
      </c>
      <c r="B7" s="645"/>
      <c r="C7" s="645"/>
      <c r="D7" s="645"/>
      <c r="E7" s="645" t="s">
        <v>1</v>
      </c>
      <c r="F7" s="645"/>
      <c r="G7" s="645"/>
      <c r="H7" s="645"/>
      <c r="I7" s="645"/>
      <c r="J7" s="645"/>
      <c r="K7" s="646" t="s">
        <v>15</v>
      </c>
      <c r="L7" s="646"/>
      <c r="M7" s="646"/>
      <c r="N7" s="646"/>
      <c r="O7" s="646"/>
      <c r="P7" s="646"/>
      <c r="Q7" s="645" t="s">
        <v>725</v>
      </c>
      <c r="R7" s="645"/>
      <c r="S7" s="645"/>
      <c r="T7" s="645"/>
      <c r="U7" s="646" t="s">
        <v>726</v>
      </c>
      <c r="V7" s="646"/>
      <c r="W7" s="646"/>
      <c r="X7" s="646"/>
    </row>
    <row r="8" spans="1:24" hidden="1" x14ac:dyDescent="0.3">
      <c r="A8" s="642" t="s">
        <v>788</v>
      </c>
      <c r="B8" s="642"/>
      <c r="C8" s="642"/>
      <c r="D8" s="642"/>
      <c r="E8" s="642" t="s">
        <v>8</v>
      </c>
      <c r="F8" s="642"/>
      <c r="G8" s="642"/>
      <c r="H8" s="642"/>
      <c r="I8" s="642"/>
      <c r="J8" s="642"/>
      <c r="K8" s="642" t="s">
        <v>789</v>
      </c>
      <c r="L8" s="642"/>
      <c r="M8" s="642"/>
      <c r="N8" s="642"/>
      <c r="O8" s="642"/>
      <c r="P8" s="642"/>
      <c r="Q8" s="642" t="s">
        <v>790</v>
      </c>
      <c r="R8" s="642"/>
      <c r="S8" s="642"/>
      <c r="T8" s="642"/>
      <c r="U8" s="656">
        <v>44158</v>
      </c>
      <c r="V8" s="656"/>
      <c r="W8" s="656"/>
      <c r="X8" s="656"/>
    </row>
    <row r="9" spans="1:24" x14ac:dyDescent="0.3">
      <c r="A9" s="642" t="s">
        <v>788</v>
      </c>
      <c r="B9" s="642"/>
      <c r="C9" s="642"/>
      <c r="D9" s="642"/>
      <c r="E9" s="642" t="s">
        <v>9</v>
      </c>
      <c r="F9" s="642"/>
      <c r="G9" s="642"/>
      <c r="H9" s="642"/>
      <c r="I9" s="642"/>
      <c r="J9" s="642"/>
      <c r="K9" s="642" t="s">
        <v>791</v>
      </c>
      <c r="L9" s="642"/>
      <c r="M9" s="642"/>
      <c r="N9" s="642"/>
      <c r="O9" s="642"/>
      <c r="P9" s="642"/>
      <c r="Q9" s="642" t="s">
        <v>790</v>
      </c>
      <c r="R9" s="642"/>
      <c r="S9" s="642"/>
      <c r="T9" s="642"/>
      <c r="U9" s="656">
        <v>44331</v>
      </c>
      <c r="V9" s="656"/>
      <c r="W9" s="656"/>
      <c r="X9" s="656"/>
    </row>
    <row r="10" spans="1:24" hidden="1" x14ac:dyDescent="0.3">
      <c r="A10" s="642" t="s">
        <v>788</v>
      </c>
      <c r="B10" s="642"/>
      <c r="C10" s="642"/>
      <c r="D10" s="642"/>
      <c r="E10" s="642" t="s">
        <v>11</v>
      </c>
      <c r="F10" s="642"/>
      <c r="G10" s="642"/>
      <c r="H10" s="642"/>
      <c r="I10" s="642"/>
      <c r="J10" s="642"/>
      <c r="K10" s="642" t="s">
        <v>746</v>
      </c>
      <c r="L10" s="642"/>
      <c r="M10" s="642"/>
      <c r="N10" s="642"/>
      <c r="O10" s="642"/>
      <c r="P10" s="642"/>
      <c r="Q10" s="642" t="s">
        <v>790</v>
      </c>
      <c r="R10" s="642"/>
      <c r="S10" s="642"/>
      <c r="T10" s="642"/>
      <c r="U10" s="656">
        <v>44331</v>
      </c>
      <c r="V10" s="656"/>
      <c r="W10" s="656"/>
      <c r="X10" s="656"/>
    </row>
    <row r="11" spans="1:24" x14ac:dyDescent="0.3">
      <c r="A11" s="642" t="s">
        <v>788</v>
      </c>
      <c r="B11" s="642"/>
      <c r="C11" s="642"/>
      <c r="D11" s="642"/>
      <c r="E11" s="642" t="s">
        <v>735</v>
      </c>
      <c r="F11" s="642"/>
      <c r="G11" s="642"/>
      <c r="H11" s="642"/>
      <c r="I11" s="642"/>
      <c r="J11" s="642"/>
      <c r="K11" s="642" t="s">
        <v>1353</v>
      </c>
      <c r="L11" s="642"/>
      <c r="M11" s="642"/>
      <c r="N11" s="642"/>
      <c r="O11" s="642"/>
      <c r="P11" s="642"/>
      <c r="Q11" s="642" t="s">
        <v>790</v>
      </c>
      <c r="R11" s="642"/>
      <c r="S11" s="642"/>
      <c r="T11" s="642"/>
      <c r="U11" s="656">
        <v>45935</v>
      </c>
      <c r="V11" s="656"/>
      <c r="W11" s="656"/>
      <c r="X11" s="656"/>
    </row>
    <row r="12" spans="1:24" x14ac:dyDescent="0.3">
      <c r="A12" s="642" t="s">
        <v>788</v>
      </c>
      <c r="B12" s="642"/>
      <c r="C12" s="642"/>
      <c r="D12" s="642"/>
      <c r="E12" s="642" t="s">
        <v>736</v>
      </c>
      <c r="F12" s="642"/>
      <c r="G12" s="642"/>
      <c r="H12" s="642"/>
      <c r="I12" s="642"/>
      <c r="J12" s="642"/>
      <c r="K12" s="642" t="s">
        <v>1354</v>
      </c>
      <c r="L12" s="642"/>
      <c r="M12" s="642"/>
      <c r="N12" s="642"/>
      <c r="O12" s="642"/>
      <c r="P12" s="642"/>
      <c r="Q12" s="642" t="s">
        <v>790</v>
      </c>
      <c r="R12" s="642"/>
      <c r="S12" s="642"/>
      <c r="T12" s="642"/>
      <c r="U12" s="656">
        <v>45935</v>
      </c>
      <c r="V12" s="656"/>
      <c r="W12" s="656"/>
      <c r="X12" s="656"/>
    </row>
    <row r="13" spans="1:24" x14ac:dyDescent="0.3">
      <c r="A13" s="642" t="s">
        <v>798</v>
      </c>
      <c r="B13" s="642"/>
      <c r="C13" s="642"/>
      <c r="D13" s="642"/>
      <c r="E13" s="642" t="s">
        <v>799</v>
      </c>
      <c r="F13" s="642"/>
      <c r="G13" s="642"/>
      <c r="H13" s="642"/>
      <c r="I13" s="642"/>
      <c r="J13" s="642"/>
      <c r="K13" s="642" t="s">
        <v>1355</v>
      </c>
      <c r="L13" s="642"/>
      <c r="M13" s="642"/>
      <c r="N13" s="642"/>
      <c r="O13" s="642"/>
      <c r="P13" s="642"/>
      <c r="Q13" s="642" t="s">
        <v>801</v>
      </c>
      <c r="R13" s="642"/>
      <c r="S13" s="642"/>
      <c r="T13" s="642"/>
      <c r="U13" s="656">
        <v>45794</v>
      </c>
      <c r="V13" s="656"/>
      <c r="W13" s="656"/>
      <c r="X13" s="656"/>
    </row>
    <row r="14" spans="1:24" x14ac:dyDescent="0.3">
      <c r="A14" s="642" t="s">
        <v>798</v>
      </c>
      <c r="B14" s="642"/>
      <c r="C14" s="642"/>
      <c r="D14" s="642"/>
      <c r="E14" s="642" t="s">
        <v>800</v>
      </c>
      <c r="F14" s="642"/>
      <c r="G14" s="642"/>
      <c r="H14" s="642"/>
      <c r="I14" s="642"/>
      <c r="J14" s="642"/>
      <c r="K14" s="642" t="s">
        <v>1356</v>
      </c>
      <c r="L14" s="642"/>
      <c r="M14" s="642"/>
      <c r="N14" s="642"/>
      <c r="O14" s="642"/>
      <c r="P14" s="642"/>
      <c r="Q14" s="642" t="s">
        <v>801</v>
      </c>
      <c r="R14" s="642"/>
      <c r="S14" s="642"/>
      <c r="T14" s="642"/>
      <c r="U14" s="656">
        <v>46588</v>
      </c>
      <c r="V14" s="656"/>
      <c r="W14" s="656"/>
      <c r="X14" s="656"/>
    </row>
    <row r="15" spans="1:24" x14ac:dyDescent="0.3">
      <c r="A15" s="642" t="s">
        <v>793</v>
      </c>
      <c r="B15" s="642"/>
      <c r="C15" s="642"/>
      <c r="D15" s="642"/>
      <c r="E15" s="642" t="s">
        <v>796</v>
      </c>
      <c r="F15" s="642"/>
      <c r="G15" s="642"/>
      <c r="H15" s="642"/>
      <c r="I15" s="642"/>
      <c r="J15" s="642"/>
      <c r="K15" s="642" t="s">
        <v>1357</v>
      </c>
      <c r="L15" s="642"/>
      <c r="M15" s="642"/>
      <c r="N15" s="642"/>
      <c r="O15" s="642"/>
      <c r="P15" s="642"/>
      <c r="Q15" s="642" t="s">
        <v>801</v>
      </c>
      <c r="R15" s="642"/>
      <c r="S15" s="642"/>
      <c r="T15" s="642"/>
      <c r="U15" s="656">
        <v>46589</v>
      </c>
      <c r="V15" s="656"/>
      <c r="W15" s="656"/>
      <c r="X15" s="656"/>
    </row>
    <row r="16" spans="1:24" x14ac:dyDescent="0.3">
      <c r="A16" s="642" t="s">
        <v>793</v>
      </c>
      <c r="B16" s="642"/>
      <c r="C16" s="642"/>
      <c r="D16" s="642"/>
      <c r="E16" s="642" t="s">
        <v>797</v>
      </c>
      <c r="F16" s="642"/>
      <c r="G16" s="642"/>
      <c r="H16" s="642"/>
      <c r="I16" s="642"/>
      <c r="J16" s="642"/>
      <c r="K16" s="642" t="s">
        <v>1358</v>
      </c>
      <c r="L16" s="642"/>
      <c r="M16" s="642"/>
      <c r="N16" s="642"/>
      <c r="O16" s="642"/>
      <c r="P16" s="642"/>
      <c r="Q16" s="642" t="s">
        <v>801</v>
      </c>
      <c r="R16" s="642"/>
      <c r="S16" s="642"/>
      <c r="T16" s="642"/>
      <c r="U16" s="656">
        <v>46589</v>
      </c>
      <c r="V16" s="656"/>
      <c r="W16" s="656"/>
      <c r="X16" s="656"/>
    </row>
    <row r="17" spans="1:24" x14ac:dyDescent="0.3">
      <c r="A17" s="642" t="s">
        <v>793</v>
      </c>
      <c r="B17" s="642"/>
      <c r="C17" s="642"/>
      <c r="D17" s="642"/>
      <c r="E17" s="642" t="s">
        <v>794</v>
      </c>
      <c r="F17" s="642"/>
      <c r="G17" s="642"/>
      <c r="H17" s="642"/>
      <c r="I17" s="642"/>
      <c r="J17" s="642"/>
      <c r="K17" s="642" t="s">
        <v>1359</v>
      </c>
      <c r="L17" s="642"/>
      <c r="M17" s="642"/>
      <c r="N17" s="642"/>
      <c r="O17" s="642"/>
      <c r="P17" s="642"/>
      <c r="Q17" s="642" t="s">
        <v>801</v>
      </c>
      <c r="R17" s="642"/>
      <c r="S17" s="642"/>
      <c r="T17" s="642"/>
      <c r="U17" s="656">
        <v>46586</v>
      </c>
      <c r="V17" s="656"/>
      <c r="W17" s="656"/>
      <c r="X17" s="656"/>
    </row>
    <row r="18" spans="1:24" x14ac:dyDescent="0.3">
      <c r="A18" s="642" t="s">
        <v>793</v>
      </c>
      <c r="B18" s="642"/>
      <c r="C18" s="642"/>
      <c r="D18" s="642"/>
      <c r="E18" s="642" t="s">
        <v>795</v>
      </c>
      <c r="F18" s="642"/>
      <c r="G18" s="642"/>
      <c r="H18" s="642"/>
      <c r="I18" s="642"/>
      <c r="J18" s="642"/>
      <c r="K18" s="642" t="s">
        <v>1360</v>
      </c>
      <c r="L18" s="642"/>
      <c r="M18" s="642"/>
      <c r="N18" s="642"/>
      <c r="O18" s="642"/>
      <c r="P18" s="642"/>
      <c r="Q18" s="642" t="s">
        <v>801</v>
      </c>
      <c r="R18" s="642"/>
      <c r="S18" s="642"/>
      <c r="T18" s="642"/>
      <c r="U18" s="656">
        <v>46586</v>
      </c>
      <c r="V18" s="656"/>
      <c r="W18" s="656"/>
      <c r="X18" s="656"/>
    </row>
  </sheetData>
  <mergeCells count="61">
    <mergeCell ref="A14:D14"/>
    <mergeCell ref="E14:J14"/>
    <mergeCell ref="K14:P14"/>
    <mergeCell ref="Q14:T14"/>
    <mergeCell ref="U14:X14"/>
    <mergeCell ref="A18:D18"/>
    <mergeCell ref="E18:J18"/>
    <mergeCell ref="K18:P18"/>
    <mergeCell ref="Q18:T18"/>
    <mergeCell ref="U18:X18"/>
    <mergeCell ref="A13:D13"/>
    <mergeCell ref="E13:J13"/>
    <mergeCell ref="K13:P13"/>
    <mergeCell ref="Q13:T13"/>
    <mergeCell ref="U13:X13"/>
    <mergeCell ref="A16:D16"/>
    <mergeCell ref="E16:J16"/>
    <mergeCell ref="K16:P16"/>
    <mergeCell ref="Q16:T16"/>
    <mergeCell ref="U16:X16"/>
    <mergeCell ref="A17:D17"/>
    <mergeCell ref="E17:J17"/>
    <mergeCell ref="K17:P17"/>
    <mergeCell ref="Q17:T17"/>
    <mergeCell ref="U17:X17"/>
    <mergeCell ref="A12:D12"/>
    <mergeCell ref="E12:J12"/>
    <mergeCell ref="K12:P12"/>
    <mergeCell ref="Q12:T12"/>
    <mergeCell ref="U12:X12"/>
    <mergeCell ref="A15:D15"/>
    <mergeCell ref="E15:J15"/>
    <mergeCell ref="K15:P15"/>
    <mergeCell ref="Q15:T15"/>
    <mergeCell ref="U15:X15"/>
    <mergeCell ref="A10:D10"/>
    <mergeCell ref="E10:J10"/>
    <mergeCell ref="K10:P10"/>
    <mergeCell ref="Q10:T10"/>
    <mergeCell ref="U10:X10"/>
    <mergeCell ref="A11:D11"/>
    <mergeCell ref="E11:J11"/>
    <mergeCell ref="K11:P11"/>
    <mergeCell ref="Q11:T11"/>
    <mergeCell ref="U11:X11"/>
    <mergeCell ref="A9:D9"/>
    <mergeCell ref="E9:J9"/>
    <mergeCell ref="K9:P9"/>
    <mergeCell ref="Q9:T9"/>
    <mergeCell ref="U9:X9"/>
    <mergeCell ref="A3:X3"/>
    <mergeCell ref="A7:D7"/>
    <mergeCell ref="E7:J7"/>
    <mergeCell ref="K7:P7"/>
    <mergeCell ref="Q7:T7"/>
    <mergeCell ref="U7:X7"/>
    <mergeCell ref="A8:D8"/>
    <mergeCell ref="E8:J8"/>
    <mergeCell ref="K8:P8"/>
    <mergeCell ref="Q8:T8"/>
    <mergeCell ref="U8:X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11</vt:i4>
      </vt:variant>
    </vt:vector>
  </HeadingPairs>
  <TitlesOfParts>
    <vt:vector size="39" baseType="lpstr">
      <vt:lpstr>datos</vt:lpstr>
      <vt:lpstr>DA Individual (g-mg)</vt:lpstr>
      <vt:lpstr>CMC's</vt:lpstr>
      <vt:lpstr>Salida de datos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FA Individual (g-mg)</vt:lpstr>
      <vt:lpstr>Datos Clientes</vt:lpstr>
      <vt:lpstr>Trazabilidad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2024-08-05T16:28:50Z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