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1.xml" ContentType="application/vnd.openxmlformats-officedocument.drawing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drawings/drawing2.xml" ContentType="application/vnd.openxmlformats-officedocument.drawing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maGuevooooo\Desktop\Regxi\Metrocal-admin-backend\src\modules\mail\templates\excels\"/>
    </mc:Choice>
  </mc:AlternateContent>
  <xr:revisionPtr revIDLastSave="0" documentId="13_ncr:1_{DB0B1660-0E6F-4925-9EB0-E70DB16C640A}" xr6:coauthVersionLast="47" xr6:coauthVersionMax="47" xr10:uidLastSave="{00000000-0000-0000-0000-000000000000}"/>
  <bookViews>
    <workbookView xWindow="-108" yWindow="-108" windowWidth="23256" windowHeight="12456" firstSheet="1" activeTab="4" xr2:uid="{5A1D50F8-DF69-4C6E-BCD1-E0277A316BEF}"/>
  </bookViews>
  <sheets>
    <sheet name="General" sheetId="2" r:id="rId1"/>
    <sheet name="Calibración" sheetId="3" r:id="rId2"/>
    <sheet name="+ONA_kg" sheetId="5" r:id="rId3"/>
    <sheet name="+ONA_lb&amp;kg" sheetId="7" r:id="rId4"/>
    <sheet name="+ONA_kg&amp;lb" sheetId="13" r:id="rId5"/>
    <sheet name="-ONA_lb&amp;kg" sheetId="9" r:id="rId6"/>
    <sheet name="-ONA_kg" sheetId="8" r:id="rId7"/>
    <sheet name="BD Patron" sheetId="10" r:id="rId8"/>
    <sheet name="kU(E)" sheetId="4" r:id="rId9"/>
    <sheet name="CMC" sheetId="11" r:id="rId10"/>
    <sheet name="Etiqueta" sheetId="6" r:id="rId11"/>
    <sheet name="BD Clientes" sheetId="12" r:id="rId12"/>
  </sheets>
  <definedNames>
    <definedName name="BalanzaCode">General!$F$6</definedName>
    <definedName name="BalanzaExact">General!$F$18</definedName>
    <definedName name="BalanzaIncertid1">General!$F$16</definedName>
    <definedName name="BalanzaIncertid2">General!$F$17</definedName>
    <definedName name="BalanzaMarca">General!$F$8</definedName>
    <definedName name="BalanzaModelo">General!$F$9</definedName>
    <definedName name="BalanzaRango1">General!$F$12</definedName>
    <definedName name="BalanzaRango2">General!$F$13</definedName>
    <definedName name="BalanzaResol1">General!$F$14</definedName>
    <definedName name="BalanzaResol2">General!$F$15</definedName>
    <definedName name="BalanzaSerie">General!$F$10</definedName>
    <definedName name="BalanzaTipo">General!$F$7</definedName>
    <definedName name="CertCode">General!$F$4</definedName>
    <definedName name="CertDate">General!$F$5</definedName>
    <definedName name="CertHR">General!$I$13</definedName>
    <definedName name="CertHRIncerti">General!$I$14</definedName>
    <definedName name="CertNum">General!$F$3</definedName>
    <definedName name="CertPres">General!$I$18</definedName>
    <definedName name="CertPresIncert">General!$I$19</definedName>
    <definedName name="CertTempC">General!$I$8</definedName>
    <definedName name="CertTempIncerti">General!$I$9</definedName>
    <definedName name="Clases_masas">'BD Patron'!$X$16:$AD$16</definedName>
    <definedName name="ClientAdr">General!$L$4</definedName>
    <definedName name="ClientName">General!$L$3</definedName>
    <definedName name="ClientPlace">General!$L$5</definedName>
    <definedName name="decim">'kU(E)'!$G$4</definedName>
    <definedName name="deltaMconv">'BD Patron'!$AM$17:$AT$28</definedName>
    <definedName name="deltaT">'BD Patron'!$AM$16:$AT$16</definedName>
    <definedName name="ecc_error_max">Calibración!$C$52</definedName>
    <definedName name="gramo">'kU(E)'!$BT$10</definedName>
    <definedName name="kilogramo">'kU(E)'!$BT$11</definedName>
    <definedName name="libra">'kU(E)'!$BT$12</definedName>
    <definedName name="MnomDeltaT">'BD Patron'!$AL$17:$AL$28</definedName>
    <definedName name="num">tblCompPuntosCal[mN1],tblCompPuntosCal[mN2],tblCompPuntosCal[mN3],tblCompPuntosCal[mN4],tblCompPuntosCal[mN5],tblCompPuntosCal[mN6],tblCompPuntosCal[mN7],tblCompPuntosCal[mN8],tblCompPuntosCal[mN9],tblCompPuntosCal[mN10]</definedName>
    <definedName name="Patrons_List" localSheetId="4">tblCompPuntosCal[mN1],tblCompPuntosCal[mN2],tblCompPuntosCal[mN3],tblCompPuntosCal[mN4],tblCompPuntosCal[mN5],tblCompPuntosCal[mN6],tblCompPuntosCal[mN7],tblCompPuntosCal[mN8],tblCompPuntosCal[mN9],tblCompPuntosCal[mN10]</definedName>
    <definedName name="Patrons_List" localSheetId="3">tblCompPuntosCal[mN1],tblCompPuntosCal[mN2],tblCompPuntosCal[mN3],tblCompPuntosCal[mN4],tblCompPuntosCal[mN5],tblCompPuntosCal[mN6],tblCompPuntosCal[mN7],tblCompPuntosCal[mN8],tblCompPuntosCal[mN9],tblCompPuntosCal[mN10]</definedName>
    <definedName name="Patrons_List" localSheetId="6">tblCompPuntosCal[mN1],tblCompPuntosCal[mN2],tblCompPuntosCal[mN3],tblCompPuntosCal[mN4],tblCompPuntosCal[mN5],tblCompPuntosCal[mN6],tblCompPuntosCal[mN7],tblCompPuntosCal[mN8],tblCompPuntosCal[mN9],tblCompPuntosCal[mN10]</definedName>
    <definedName name="Patrons_List" localSheetId="5">tblCompPuntosCal[mN1],tblCompPuntosCal[mN2],tblCompPuntosCal[mN3],tblCompPuntosCal[mN4],tblCompPuntosCal[mN5],tblCompPuntosCal[mN6],tblCompPuntosCal[mN7],tblCompPuntosCal[mN8],tblCompPuntosCal[mN9],tblCompPuntosCal[mN10]</definedName>
    <definedName name="Patrons_List">tblCompPuntosCal[mN1],tblCompPuntosCal[mN2],tblCompPuntosCal[mN3],tblCompPuntosCal[mN4],tblCompPuntosCal[mN5],tblCompPuntosCal[mN6],tblCompPuntosCal[mN7],tblCompPuntosCal[mN8],tblCompPuntosCal[mN9],tblCompPuntosCal[mN10]</definedName>
    <definedName name="punto1">Calibración!$O$3</definedName>
    <definedName name="punto10">Calibración!$BZ$3</definedName>
    <definedName name="punto2">Calibración!$V$3</definedName>
    <definedName name="punto3">Calibración!$AC$3</definedName>
    <definedName name="punto4">Calibración!$AJ$3</definedName>
    <definedName name="punto5">Calibración!$AQ$3</definedName>
    <definedName name="punto6">Calibración!$AX$3</definedName>
    <definedName name="punto7">Calibración!$BE$3</definedName>
    <definedName name="punto8">Calibración!$BL$3</definedName>
    <definedName name="punto9">Calibración!$BS$3</definedName>
    <definedName name="PuntoEcc">Calibración!$C$48</definedName>
    <definedName name="PuntoRep">Calibración!$C$37</definedName>
    <definedName name="RngLinealidad">Calibración!$C$23:$C$33</definedName>
    <definedName name="sigma_b1">Calibración!$R$3</definedName>
    <definedName name="sigma_b10">Calibración!$CC$3</definedName>
    <definedName name="sigma_b2">Calibración!$Y$3</definedName>
    <definedName name="sigma_b3">Calibración!$AF$3</definedName>
    <definedName name="sigma_b4">Calibración!$AM$3</definedName>
    <definedName name="sigma_b5">Calibración!$AT$3</definedName>
    <definedName name="sigma_b6">Calibración!$BA$3</definedName>
    <definedName name="sigma_b7">Calibración!$BH$3</definedName>
    <definedName name="sigma_b8">Calibración!$BO$3</definedName>
    <definedName name="sigma_b9">Calibración!$BV$3</definedName>
    <definedName name="sigma_c1">Calibración!$P$3</definedName>
    <definedName name="sigma_c10">Calibración!$CA$3</definedName>
    <definedName name="sigma_c2">Calibración!$W$3</definedName>
    <definedName name="sigma_c3">Calibración!$AD$3</definedName>
    <definedName name="sigma_c4">Calibración!$AK$3</definedName>
    <definedName name="sigma_c5">Calibración!$AR$3</definedName>
    <definedName name="sigma_c6">Calibración!$AY$3</definedName>
    <definedName name="sigma_c7">Calibración!$BF$3</definedName>
    <definedName name="sigma_c8">Calibración!$BM$3</definedName>
    <definedName name="sigma_c9">Calibración!$BT$3</definedName>
    <definedName name="sigma_conv1">Calibración!$S$3</definedName>
    <definedName name="sigma_conv10">Calibración!$CD$3</definedName>
    <definedName name="sigma_conv2">Calibración!$Z$3</definedName>
    <definedName name="sigma_conv3">Calibración!$AG$3</definedName>
    <definedName name="sigma_conv4">Calibración!$AN$3</definedName>
    <definedName name="sigma_conv5">Calibración!$AU$3</definedName>
    <definedName name="sigma_conv6">Calibración!$BB$3</definedName>
    <definedName name="sigma_conv7">Calibración!$BI$3</definedName>
    <definedName name="sigma_conv8">Calibración!$BP$3</definedName>
    <definedName name="sigma_conv9">Calibración!$BW$3</definedName>
    <definedName name="sigma_D1">Calibración!$Q$3</definedName>
    <definedName name="sigma_D10">Calibración!$CB$3</definedName>
    <definedName name="sigma_D2">Calibración!$X$3</definedName>
    <definedName name="sigma_D3">Calibración!$AE$3</definedName>
    <definedName name="sigma_D4">Calibración!$AL$3</definedName>
    <definedName name="sigma_D5">Calibración!$AS$3</definedName>
    <definedName name="sigma_D6">Calibración!$AZ$3</definedName>
    <definedName name="sigma_D7">Calibración!$BG$3</definedName>
    <definedName name="sigma_D8">Calibración!$BN$3</definedName>
    <definedName name="sigma_D9">Calibración!$BU$3</definedName>
    <definedName name="switch">'kU(E)'!$A$11</definedName>
    <definedName name="tblComp_U" localSheetId="4">#REF!</definedName>
    <definedName name="tblComp_U" localSheetId="5">#REF!</definedName>
    <definedName name="tblComp_U">#REF!</definedName>
    <definedName name="tolerancia">'BD Patron'!$X$17:$AD$40</definedName>
    <definedName name="u_ecc">Calibración!$C$54</definedName>
    <definedName name="u_rep">Calibración!$G$45</definedName>
    <definedName name="UnidadEscala">Calibración!$C$15</definedName>
    <definedName name="UnidadPatron">Calibración!$C$40</definedName>
    <definedName name="Vnominal">'BD Patron'!$W$17:$W$40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52" i="13" l="1"/>
  <c r="F51" i="13"/>
  <c r="F50" i="13"/>
  <c r="F49" i="13"/>
  <c r="F48" i="13"/>
  <c r="F47" i="13"/>
  <c r="F46" i="13"/>
  <c r="D52" i="13"/>
  <c r="D51" i="13"/>
  <c r="D50" i="13"/>
  <c r="D49" i="13"/>
  <c r="D48" i="13"/>
  <c r="D47" i="13"/>
  <c r="D46" i="13"/>
  <c r="B52" i="13"/>
  <c r="B51" i="13"/>
  <c r="B50" i="13"/>
  <c r="B49" i="13"/>
  <c r="B48" i="13"/>
  <c r="B47" i="13"/>
  <c r="B46" i="13"/>
  <c r="B37" i="13"/>
  <c r="B36" i="13"/>
  <c r="B35" i="13"/>
  <c r="B34" i="13"/>
  <c r="B33" i="13"/>
  <c r="B32" i="13"/>
  <c r="B31" i="13"/>
  <c r="F52" i="7"/>
  <c r="F51" i="7"/>
  <c r="F50" i="7"/>
  <c r="F49" i="7"/>
  <c r="F48" i="7"/>
  <c r="F47" i="7"/>
  <c r="F46" i="7"/>
  <c r="D52" i="7"/>
  <c r="D51" i="7"/>
  <c r="D50" i="7"/>
  <c r="D49" i="7"/>
  <c r="D48" i="7"/>
  <c r="D47" i="7"/>
  <c r="D46" i="7"/>
  <c r="B52" i="7"/>
  <c r="B51" i="7"/>
  <c r="B50" i="7"/>
  <c r="B49" i="7"/>
  <c r="B48" i="7"/>
  <c r="B47" i="7"/>
  <c r="B46" i="7"/>
  <c r="F37" i="7"/>
  <c r="F36" i="7"/>
  <c r="F35" i="7"/>
  <c r="F34" i="7"/>
  <c r="F33" i="7"/>
  <c r="F32" i="7"/>
  <c r="F31" i="7"/>
  <c r="D37" i="7"/>
  <c r="D36" i="7"/>
  <c r="D35" i="7"/>
  <c r="D34" i="7"/>
  <c r="D33" i="7"/>
  <c r="D32" i="7"/>
  <c r="D31" i="7"/>
  <c r="B37" i="7"/>
  <c r="B36" i="7"/>
  <c r="B35" i="7"/>
  <c r="B34" i="7"/>
  <c r="B33" i="7"/>
  <c r="B32" i="7"/>
  <c r="B31" i="7"/>
  <c r="F37" i="5"/>
  <c r="F36" i="5"/>
  <c r="F35" i="5"/>
  <c r="F34" i="5"/>
  <c r="F33" i="5"/>
  <c r="F32" i="5"/>
  <c r="F31" i="5"/>
  <c r="D37" i="5"/>
  <c r="D36" i="5"/>
  <c r="D35" i="5"/>
  <c r="D34" i="5"/>
  <c r="D33" i="5"/>
  <c r="D32" i="5"/>
  <c r="D31" i="5"/>
  <c r="B37" i="5"/>
  <c r="B36" i="5"/>
  <c r="B35" i="5"/>
  <c r="B34" i="5"/>
  <c r="B33" i="5"/>
  <c r="B32" i="5"/>
  <c r="B31" i="5"/>
  <c r="L37" i="5"/>
  <c r="L36" i="5"/>
  <c r="L35" i="5"/>
  <c r="L34" i="5"/>
  <c r="L33" i="5"/>
  <c r="L32" i="5"/>
  <c r="L31" i="5"/>
  <c r="L52" i="13"/>
  <c r="L51" i="13"/>
  <c r="L50" i="13"/>
  <c r="L49" i="13"/>
  <c r="L48" i="13"/>
  <c r="L47" i="13"/>
  <c r="L46" i="13"/>
  <c r="L37" i="13"/>
  <c r="L36" i="13"/>
  <c r="L35" i="13"/>
  <c r="L34" i="13"/>
  <c r="L33" i="13"/>
  <c r="L32" i="13"/>
  <c r="L31" i="13"/>
  <c r="L52" i="7"/>
  <c r="L51" i="7"/>
  <c r="L50" i="7"/>
  <c r="L49" i="7"/>
  <c r="L48" i="7"/>
  <c r="L47" i="7"/>
  <c r="L46" i="7"/>
  <c r="L37" i="7"/>
  <c r="L36" i="7"/>
  <c r="L35" i="7"/>
  <c r="L34" i="7"/>
  <c r="L33" i="7"/>
  <c r="L32" i="7"/>
  <c r="L31" i="7"/>
  <c r="H9" i="13"/>
  <c r="H10" i="13"/>
  <c r="H11" i="13"/>
  <c r="H12" i="13"/>
  <c r="H13" i="13"/>
  <c r="H14" i="13"/>
  <c r="H15" i="13"/>
  <c r="H16" i="13"/>
  <c r="H17" i="13"/>
  <c r="H18" i="13"/>
  <c r="H19" i="13"/>
  <c r="H20" i="13"/>
  <c r="H22" i="13"/>
  <c r="B30" i="13"/>
  <c r="D30" i="13"/>
  <c r="F30" i="13"/>
  <c r="H30" i="13"/>
  <c r="J30" i="13"/>
  <c r="L30" i="13"/>
  <c r="L64" i="13"/>
  <c r="H79" i="13"/>
  <c r="B96" i="13"/>
  <c r="D96" i="13"/>
  <c r="E96" i="13"/>
  <c r="H96" i="13"/>
  <c r="L96" i="13"/>
  <c r="E97" i="13"/>
  <c r="D97" i="13" s="1"/>
  <c r="J16" i="11"/>
  <c r="L16" i="11" s="1"/>
  <c r="H15" i="10"/>
  <c r="M15" i="10"/>
  <c r="J15" i="10" s="1"/>
  <c r="K15" i="10" s="1"/>
  <c r="Q15" i="10"/>
  <c r="R15" i="10"/>
  <c r="H16" i="10"/>
  <c r="M16" i="10"/>
  <c r="S16" i="10" s="1"/>
  <c r="Q16" i="10"/>
  <c r="R16" i="10"/>
  <c r="H17" i="10"/>
  <c r="M17" i="10"/>
  <c r="J17" i="10" s="1"/>
  <c r="K17" i="10" s="1"/>
  <c r="Q17" i="10"/>
  <c r="R17" i="10"/>
  <c r="H18" i="10"/>
  <c r="M18" i="10"/>
  <c r="S18" i="10" s="1"/>
  <c r="Q18" i="10"/>
  <c r="R18" i="10"/>
  <c r="H19" i="10"/>
  <c r="M19" i="10"/>
  <c r="S19" i="10" s="1"/>
  <c r="Q19" i="10"/>
  <c r="R19" i="10"/>
  <c r="H20" i="10"/>
  <c r="M20" i="10"/>
  <c r="J20" i="10" s="1"/>
  <c r="K20" i="10" s="1"/>
  <c r="Q20" i="10"/>
  <c r="R20" i="10"/>
  <c r="H21" i="10"/>
  <c r="M21" i="10"/>
  <c r="J21" i="10" s="1"/>
  <c r="K21" i="10" s="1"/>
  <c r="Q21" i="10"/>
  <c r="R21" i="10"/>
  <c r="H22" i="10"/>
  <c r="M22" i="10"/>
  <c r="S22" i="10" s="1"/>
  <c r="Q22" i="10"/>
  <c r="R22" i="10"/>
  <c r="H23" i="10"/>
  <c r="M23" i="10"/>
  <c r="J23" i="10" s="1"/>
  <c r="K23" i="10" s="1"/>
  <c r="Q23" i="10"/>
  <c r="R23" i="10"/>
  <c r="H24" i="10"/>
  <c r="M24" i="10"/>
  <c r="S24" i="10" s="1"/>
  <c r="Q24" i="10"/>
  <c r="R24" i="10"/>
  <c r="H25" i="10"/>
  <c r="M25" i="10"/>
  <c r="T25" i="10" s="1"/>
  <c r="Q25" i="10"/>
  <c r="R25" i="10"/>
  <c r="H26" i="10"/>
  <c r="M26" i="10"/>
  <c r="J26" i="10" s="1"/>
  <c r="K26" i="10" s="1"/>
  <c r="Q26" i="10"/>
  <c r="R26" i="10"/>
  <c r="H27" i="10"/>
  <c r="M27" i="10"/>
  <c r="J27" i="10" s="1"/>
  <c r="K27" i="10" s="1"/>
  <c r="Q27" i="10"/>
  <c r="R27" i="10"/>
  <c r="H28" i="10"/>
  <c r="M28" i="10"/>
  <c r="T28" i="10" s="1"/>
  <c r="Q28" i="10"/>
  <c r="R28" i="10"/>
  <c r="H29" i="10"/>
  <c r="M29" i="10"/>
  <c r="J29" i="10" s="1"/>
  <c r="K29" i="10" s="1"/>
  <c r="Q29" i="10"/>
  <c r="R29" i="10"/>
  <c r="H30" i="10"/>
  <c r="M30" i="10"/>
  <c r="T30" i="10" s="1"/>
  <c r="Q30" i="10"/>
  <c r="R30" i="10"/>
  <c r="H31" i="10"/>
  <c r="M31" i="10"/>
  <c r="S31" i="10" s="1"/>
  <c r="Q31" i="10"/>
  <c r="R31" i="10"/>
  <c r="H32" i="10"/>
  <c r="M32" i="10"/>
  <c r="J32" i="10" s="1"/>
  <c r="K32" i="10" s="1"/>
  <c r="Q32" i="10"/>
  <c r="R32" i="10"/>
  <c r="H33" i="10"/>
  <c r="M33" i="10"/>
  <c r="S33" i="10" s="1"/>
  <c r="Q33" i="10"/>
  <c r="R33" i="10"/>
  <c r="H34" i="10"/>
  <c r="M34" i="10"/>
  <c r="J34" i="10" s="1"/>
  <c r="K34" i="10" s="1"/>
  <c r="Q34" i="10"/>
  <c r="R34" i="10"/>
  <c r="H35" i="10"/>
  <c r="M35" i="10"/>
  <c r="J35" i="10" s="1"/>
  <c r="K35" i="10" s="1"/>
  <c r="Q35" i="10"/>
  <c r="R35" i="10"/>
  <c r="H36" i="10"/>
  <c r="M36" i="10"/>
  <c r="S36" i="10" s="1"/>
  <c r="Q36" i="10"/>
  <c r="R36" i="10"/>
  <c r="H37" i="10"/>
  <c r="M37" i="10"/>
  <c r="S37" i="10" s="1"/>
  <c r="Q37" i="10"/>
  <c r="R37" i="10"/>
  <c r="H38" i="10"/>
  <c r="M38" i="10"/>
  <c r="J38" i="10" s="1"/>
  <c r="K38" i="10" s="1"/>
  <c r="Q38" i="10"/>
  <c r="R38" i="10"/>
  <c r="H39" i="10"/>
  <c r="M39" i="10"/>
  <c r="S39" i="10" s="1"/>
  <c r="Q39" i="10"/>
  <c r="R39" i="10"/>
  <c r="H40" i="10"/>
  <c r="M40" i="10"/>
  <c r="S40" i="10" s="1"/>
  <c r="Q40" i="10"/>
  <c r="R40" i="10"/>
  <c r="H41" i="10"/>
  <c r="M41" i="10"/>
  <c r="S41" i="10" s="1"/>
  <c r="Q41" i="10"/>
  <c r="R41" i="10"/>
  <c r="H42" i="10"/>
  <c r="M42" i="10"/>
  <c r="S42" i="10" s="1"/>
  <c r="Q42" i="10"/>
  <c r="R42" i="10"/>
  <c r="H43" i="10"/>
  <c r="M43" i="10"/>
  <c r="S43" i="10" s="1"/>
  <c r="Q43" i="10"/>
  <c r="R43" i="10"/>
  <c r="H44" i="10"/>
  <c r="M44" i="10"/>
  <c r="S44" i="10" s="1"/>
  <c r="Q44" i="10"/>
  <c r="R44" i="10"/>
  <c r="H45" i="10"/>
  <c r="M45" i="10"/>
  <c r="S45" i="10" s="1"/>
  <c r="Q45" i="10"/>
  <c r="R45" i="10"/>
  <c r="H46" i="10"/>
  <c r="M46" i="10"/>
  <c r="S46" i="10" s="1"/>
  <c r="Q46" i="10"/>
  <c r="R46" i="10"/>
  <c r="H47" i="10"/>
  <c r="M47" i="10"/>
  <c r="S47" i="10" s="1"/>
  <c r="Q47" i="10"/>
  <c r="R47" i="10"/>
  <c r="H48" i="10"/>
  <c r="M48" i="10"/>
  <c r="S48" i="10" s="1"/>
  <c r="Q48" i="10"/>
  <c r="R48" i="10"/>
  <c r="H49" i="10"/>
  <c r="M49" i="10"/>
  <c r="T49" i="10" s="1"/>
  <c r="Q49" i="10"/>
  <c r="R49" i="10"/>
  <c r="H50" i="10"/>
  <c r="M50" i="10"/>
  <c r="S50" i="10" s="1"/>
  <c r="Q50" i="10"/>
  <c r="R50" i="10"/>
  <c r="H51" i="10"/>
  <c r="M51" i="10"/>
  <c r="S51" i="10" s="1"/>
  <c r="Q51" i="10"/>
  <c r="R51" i="10"/>
  <c r="H52" i="10"/>
  <c r="M52" i="10"/>
  <c r="T52" i="10" s="1"/>
  <c r="Q52" i="10"/>
  <c r="R52" i="10"/>
  <c r="H53" i="10"/>
  <c r="M53" i="10"/>
  <c r="S53" i="10" s="1"/>
  <c r="Q53" i="10"/>
  <c r="R53" i="10"/>
  <c r="H54" i="10"/>
  <c r="M54" i="10"/>
  <c r="S54" i="10" s="1"/>
  <c r="Q54" i="10"/>
  <c r="R54" i="10"/>
  <c r="H55" i="10"/>
  <c r="M55" i="10"/>
  <c r="S55" i="10" s="1"/>
  <c r="Q55" i="10"/>
  <c r="R55" i="10"/>
  <c r="H56" i="10"/>
  <c r="M56" i="10"/>
  <c r="S56" i="10" s="1"/>
  <c r="Q56" i="10"/>
  <c r="R56" i="10"/>
  <c r="H57" i="10"/>
  <c r="M57" i="10"/>
  <c r="S57" i="10" s="1"/>
  <c r="Q57" i="10"/>
  <c r="R57" i="10"/>
  <c r="H58" i="10"/>
  <c r="M58" i="10"/>
  <c r="J58" i="10" s="1"/>
  <c r="K58" i="10" s="1"/>
  <c r="Q58" i="10"/>
  <c r="R58" i="10"/>
  <c r="H59" i="10"/>
  <c r="M59" i="10"/>
  <c r="Q59" i="10"/>
  <c r="R59" i="10"/>
  <c r="H60" i="10"/>
  <c r="M60" i="10"/>
  <c r="S60" i="10" s="1"/>
  <c r="Q60" i="10"/>
  <c r="R60" i="10"/>
  <c r="H61" i="10"/>
  <c r="M61" i="10"/>
  <c r="S61" i="10" s="1"/>
  <c r="Q61" i="10"/>
  <c r="R61" i="10"/>
  <c r="H62" i="10"/>
  <c r="M62" i="10"/>
  <c r="S62" i="10" s="1"/>
  <c r="Q62" i="10"/>
  <c r="R62" i="10"/>
  <c r="H63" i="10"/>
  <c r="M63" i="10"/>
  <c r="S63" i="10" s="1"/>
  <c r="Q63" i="10"/>
  <c r="R63" i="10"/>
  <c r="H64" i="10"/>
  <c r="M64" i="10"/>
  <c r="J64" i="10" s="1"/>
  <c r="K64" i="10" s="1"/>
  <c r="Q64" i="10"/>
  <c r="R64" i="10"/>
  <c r="H65" i="10"/>
  <c r="M65" i="10"/>
  <c r="S65" i="10" s="1"/>
  <c r="Q65" i="10"/>
  <c r="R65" i="10"/>
  <c r="H66" i="10"/>
  <c r="M66" i="10"/>
  <c r="S66" i="10" s="1"/>
  <c r="Q66" i="10"/>
  <c r="R66" i="10"/>
  <c r="H67" i="10"/>
  <c r="M67" i="10"/>
  <c r="S67" i="10" s="1"/>
  <c r="Q67" i="10"/>
  <c r="R67" i="10"/>
  <c r="H68" i="10"/>
  <c r="M68" i="10"/>
  <c r="S68" i="10" s="1"/>
  <c r="Q68" i="10"/>
  <c r="R68" i="10"/>
  <c r="H69" i="10"/>
  <c r="M69" i="10"/>
  <c r="S69" i="10" s="1"/>
  <c r="Q69" i="10"/>
  <c r="R69" i="10"/>
  <c r="H70" i="10"/>
  <c r="M70" i="10"/>
  <c r="J70" i="10" s="1"/>
  <c r="K70" i="10" s="1"/>
  <c r="Q70" i="10"/>
  <c r="R70" i="10"/>
  <c r="H71" i="10"/>
  <c r="M71" i="10"/>
  <c r="S71" i="10" s="1"/>
  <c r="Q71" i="10"/>
  <c r="R71" i="10"/>
  <c r="H72" i="10"/>
  <c r="M72" i="10"/>
  <c r="S72" i="10" s="1"/>
  <c r="Q72" i="10"/>
  <c r="R72" i="10"/>
  <c r="H73" i="10"/>
  <c r="M73" i="10"/>
  <c r="S73" i="10" s="1"/>
  <c r="Q73" i="10"/>
  <c r="R73" i="10"/>
  <c r="H74" i="10"/>
  <c r="M74" i="10"/>
  <c r="Q74" i="10"/>
  <c r="R74" i="10"/>
  <c r="H75" i="10"/>
  <c r="M75" i="10"/>
  <c r="S75" i="10" s="1"/>
  <c r="Q75" i="10"/>
  <c r="R75" i="10"/>
  <c r="H76" i="10"/>
  <c r="M76" i="10"/>
  <c r="J76" i="10" s="1"/>
  <c r="K76" i="10" s="1"/>
  <c r="Q76" i="10"/>
  <c r="R76" i="10"/>
  <c r="H77" i="10"/>
  <c r="M77" i="10"/>
  <c r="S77" i="10" s="1"/>
  <c r="Q77" i="10"/>
  <c r="R77" i="10"/>
  <c r="H78" i="10"/>
  <c r="M78" i="10"/>
  <c r="S78" i="10" s="1"/>
  <c r="Q78" i="10"/>
  <c r="R78" i="10"/>
  <c r="H79" i="10"/>
  <c r="M79" i="10"/>
  <c r="S79" i="10" s="1"/>
  <c r="Q79" i="10"/>
  <c r="R79" i="10"/>
  <c r="H80" i="10"/>
  <c r="M80" i="10"/>
  <c r="Q80" i="10"/>
  <c r="R80" i="10"/>
  <c r="H81" i="10"/>
  <c r="M81" i="10"/>
  <c r="S81" i="10" s="1"/>
  <c r="Q81" i="10"/>
  <c r="R81" i="10"/>
  <c r="H82" i="10"/>
  <c r="M82" i="10"/>
  <c r="S82" i="10" s="1"/>
  <c r="Q82" i="10"/>
  <c r="R82" i="10"/>
  <c r="H83" i="10"/>
  <c r="M83" i="10"/>
  <c r="J83" i="10" s="1"/>
  <c r="K83" i="10" s="1"/>
  <c r="Q83" i="10"/>
  <c r="R83" i="10"/>
  <c r="H84" i="10"/>
  <c r="M84" i="10"/>
  <c r="S84" i="10" s="1"/>
  <c r="Q84" i="10"/>
  <c r="R84" i="10"/>
  <c r="H85" i="10"/>
  <c r="M85" i="10"/>
  <c r="S85" i="10" s="1"/>
  <c r="Q85" i="10"/>
  <c r="R85" i="10"/>
  <c r="H86" i="10"/>
  <c r="M86" i="10"/>
  <c r="J86" i="10" s="1"/>
  <c r="K86" i="10" s="1"/>
  <c r="Q86" i="10"/>
  <c r="R86" i="10"/>
  <c r="H87" i="10"/>
  <c r="M87" i="10"/>
  <c r="S87" i="10" s="1"/>
  <c r="Q87" i="10"/>
  <c r="R87" i="10"/>
  <c r="H88" i="10"/>
  <c r="M88" i="10"/>
  <c r="S88" i="10" s="1"/>
  <c r="Q88" i="10"/>
  <c r="R88" i="10"/>
  <c r="H89" i="10"/>
  <c r="M89" i="10"/>
  <c r="J89" i="10" s="1"/>
  <c r="K89" i="10" s="1"/>
  <c r="Q89" i="10"/>
  <c r="R89" i="10"/>
  <c r="H90" i="10"/>
  <c r="M90" i="10"/>
  <c r="S90" i="10" s="1"/>
  <c r="Q90" i="10"/>
  <c r="R90" i="10"/>
  <c r="H91" i="10"/>
  <c r="M91" i="10"/>
  <c r="T91" i="10" s="1"/>
  <c r="Q91" i="10"/>
  <c r="R91" i="10"/>
  <c r="H92" i="10"/>
  <c r="M92" i="10"/>
  <c r="J92" i="10" s="1"/>
  <c r="K92" i="10" s="1"/>
  <c r="Q92" i="10"/>
  <c r="R92" i="10"/>
  <c r="H93" i="10"/>
  <c r="M93" i="10"/>
  <c r="S93" i="10" s="1"/>
  <c r="Q93" i="10"/>
  <c r="R93" i="10"/>
  <c r="H94" i="10"/>
  <c r="M94" i="10"/>
  <c r="S94" i="10" s="1"/>
  <c r="Q94" i="10"/>
  <c r="R94" i="10"/>
  <c r="H95" i="10"/>
  <c r="M95" i="10"/>
  <c r="J95" i="10" s="1"/>
  <c r="K95" i="10" s="1"/>
  <c r="Q95" i="10"/>
  <c r="R95" i="10"/>
  <c r="H96" i="10"/>
  <c r="M96" i="10"/>
  <c r="S96" i="10" s="1"/>
  <c r="Q96" i="10"/>
  <c r="R96" i="10"/>
  <c r="H97" i="10"/>
  <c r="M97" i="10"/>
  <c r="J97" i="10" s="1"/>
  <c r="K97" i="10" s="1"/>
  <c r="Q97" i="10"/>
  <c r="R97" i="10"/>
  <c r="H98" i="10"/>
  <c r="M98" i="10"/>
  <c r="J98" i="10" s="1"/>
  <c r="K98" i="10" s="1"/>
  <c r="Q98" i="10"/>
  <c r="R98" i="10"/>
  <c r="H99" i="10"/>
  <c r="M99" i="10"/>
  <c r="S99" i="10" s="1"/>
  <c r="Q99" i="10"/>
  <c r="R99" i="10"/>
  <c r="H100" i="10"/>
  <c r="M100" i="10"/>
  <c r="T100" i="10" s="1"/>
  <c r="Q100" i="10"/>
  <c r="R100" i="10"/>
  <c r="H101" i="10"/>
  <c r="M101" i="10"/>
  <c r="J101" i="10" s="1"/>
  <c r="K101" i="10" s="1"/>
  <c r="Q101" i="10"/>
  <c r="R101" i="10"/>
  <c r="H102" i="10"/>
  <c r="M102" i="10"/>
  <c r="S102" i="10" s="1"/>
  <c r="Q102" i="10"/>
  <c r="R102" i="10"/>
  <c r="H103" i="10"/>
  <c r="M103" i="10"/>
  <c r="J103" i="10" s="1"/>
  <c r="K103" i="10" s="1"/>
  <c r="Q103" i="10"/>
  <c r="R103" i="10"/>
  <c r="H104" i="10"/>
  <c r="M104" i="10"/>
  <c r="J104" i="10" s="1"/>
  <c r="K104" i="10" s="1"/>
  <c r="Q104" i="10"/>
  <c r="R104" i="10"/>
  <c r="H105" i="10"/>
  <c r="M105" i="10"/>
  <c r="S105" i="10" s="1"/>
  <c r="Q105" i="10"/>
  <c r="R105" i="10"/>
  <c r="H106" i="10"/>
  <c r="M106" i="10"/>
  <c r="S106" i="10" s="1"/>
  <c r="Q106" i="10"/>
  <c r="R106" i="10"/>
  <c r="H107" i="10"/>
  <c r="M107" i="10"/>
  <c r="S107" i="10" s="1"/>
  <c r="Q107" i="10"/>
  <c r="R107" i="10"/>
  <c r="H108" i="10"/>
  <c r="M108" i="10"/>
  <c r="S108" i="10" s="1"/>
  <c r="Q108" i="10"/>
  <c r="R108" i="10"/>
  <c r="H109" i="10"/>
  <c r="M109" i="10"/>
  <c r="S109" i="10" s="1"/>
  <c r="Q109" i="10"/>
  <c r="R109" i="10"/>
  <c r="H110" i="10"/>
  <c r="M110" i="10"/>
  <c r="S110" i="10" s="1"/>
  <c r="Q110" i="10"/>
  <c r="R110" i="10"/>
  <c r="H8" i="9"/>
  <c r="H9" i="9"/>
  <c r="H10" i="9"/>
  <c r="H11" i="9"/>
  <c r="H12" i="9"/>
  <c r="H13" i="9"/>
  <c r="H14" i="9"/>
  <c r="H15" i="9"/>
  <c r="H16" i="9"/>
  <c r="H17" i="9"/>
  <c r="H18" i="9"/>
  <c r="H19" i="9"/>
  <c r="H21" i="9"/>
  <c r="B30" i="9"/>
  <c r="D30" i="9"/>
  <c r="F30" i="9"/>
  <c r="H30" i="9"/>
  <c r="J30" i="9"/>
  <c r="L30" i="9"/>
  <c r="B45" i="9"/>
  <c r="D45" i="9"/>
  <c r="F45" i="9"/>
  <c r="H45" i="9"/>
  <c r="J45" i="9"/>
  <c r="L45" i="9"/>
  <c r="L55" i="9"/>
  <c r="H69" i="9"/>
  <c r="B86" i="9"/>
  <c r="D86" i="9"/>
  <c r="E86" i="9"/>
  <c r="H86" i="9"/>
  <c r="L86" i="9"/>
  <c r="E87" i="9"/>
  <c r="D87" i="9" s="1"/>
  <c r="H8" i="8"/>
  <c r="H9" i="8"/>
  <c r="H10" i="8"/>
  <c r="H11" i="8"/>
  <c r="H12" i="8"/>
  <c r="H13" i="8"/>
  <c r="H14" i="8"/>
  <c r="H15" i="8"/>
  <c r="H16" i="8"/>
  <c r="H17" i="8"/>
  <c r="H18" i="8"/>
  <c r="H19" i="8"/>
  <c r="H21" i="8"/>
  <c r="B30" i="8"/>
  <c r="D30" i="8"/>
  <c r="F30" i="8"/>
  <c r="H30" i="8"/>
  <c r="J30" i="8"/>
  <c r="L30" i="8"/>
  <c r="L40" i="8"/>
  <c r="H67" i="8"/>
  <c r="B72" i="8"/>
  <c r="D72" i="8"/>
  <c r="E72" i="8"/>
  <c r="H72" i="8"/>
  <c r="L72" i="8"/>
  <c r="E73" i="8"/>
  <c r="D73" i="8" s="1"/>
  <c r="H9" i="7"/>
  <c r="H10" i="7"/>
  <c r="H11" i="7"/>
  <c r="H12" i="7"/>
  <c r="H13" i="7"/>
  <c r="H14" i="7"/>
  <c r="H15" i="7"/>
  <c r="H16" i="7"/>
  <c r="H17" i="7"/>
  <c r="H18" i="7"/>
  <c r="H19" i="7"/>
  <c r="H20" i="7"/>
  <c r="H22" i="7"/>
  <c r="B30" i="7"/>
  <c r="D30" i="7"/>
  <c r="F30" i="7"/>
  <c r="H30" i="7"/>
  <c r="J30" i="7"/>
  <c r="L30" i="7"/>
  <c r="B45" i="7"/>
  <c r="D45" i="7"/>
  <c r="F45" i="7"/>
  <c r="H45" i="7"/>
  <c r="J45" i="7"/>
  <c r="L45" i="7"/>
  <c r="L64" i="7"/>
  <c r="H79" i="7"/>
  <c r="B96" i="7"/>
  <c r="D96" i="7"/>
  <c r="E96" i="7"/>
  <c r="H96" i="7"/>
  <c r="L96" i="7"/>
  <c r="E97" i="7"/>
  <c r="L97" i="7" s="1"/>
  <c r="B4" i="6"/>
  <c r="C4" i="6"/>
  <c r="D4" i="6"/>
  <c r="E4" i="6"/>
  <c r="H9" i="5"/>
  <c r="H10" i="5"/>
  <c r="H11" i="5"/>
  <c r="H12" i="5"/>
  <c r="H13" i="5"/>
  <c r="H14" i="5"/>
  <c r="H15" i="5"/>
  <c r="H16" i="5"/>
  <c r="H17" i="5"/>
  <c r="H18" i="5"/>
  <c r="H19" i="5"/>
  <c r="H20" i="5"/>
  <c r="H22" i="5"/>
  <c r="B30" i="5"/>
  <c r="D30" i="5"/>
  <c r="F30" i="5"/>
  <c r="H30" i="5"/>
  <c r="J30" i="5"/>
  <c r="L30" i="5"/>
  <c r="L64" i="5"/>
  <c r="H92" i="5"/>
  <c r="B97" i="5"/>
  <c r="D97" i="5"/>
  <c r="E97" i="5"/>
  <c r="H97" i="5"/>
  <c r="L97" i="5"/>
  <c r="E98" i="5"/>
  <c r="D98" i="5" s="1"/>
  <c r="D4" i="4"/>
  <c r="D5" i="4" s="1"/>
  <c r="E4" i="4"/>
  <c r="E5" i="4" s="1"/>
  <c r="X9" i="4"/>
  <c r="X10" i="4"/>
  <c r="X11" i="4"/>
  <c r="F12" i="4"/>
  <c r="F13" i="4"/>
  <c r="F17" i="4"/>
  <c r="F19" i="4"/>
  <c r="H19" i="4"/>
  <c r="I19" i="4"/>
  <c r="J19" i="4"/>
  <c r="K19" i="4"/>
  <c r="L19" i="4"/>
  <c r="M19" i="4"/>
  <c r="N19" i="4"/>
  <c r="O19" i="4"/>
  <c r="P19" i="4"/>
  <c r="Q19" i="4"/>
  <c r="V19" i="4"/>
  <c r="T21" i="4"/>
  <c r="F25" i="4"/>
  <c r="F26" i="4"/>
  <c r="T36" i="4"/>
  <c r="Y36" i="4" s="1"/>
  <c r="U36" i="4"/>
  <c r="V36" i="4"/>
  <c r="X36" i="4"/>
  <c r="T37" i="4"/>
  <c r="Y37" i="4" s="1"/>
  <c r="U37" i="4"/>
  <c r="V37" i="4"/>
  <c r="X37" i="4"/>
  <c r="G38" i="4"/>
  <c r="G39" i="4" s="1"/>
  <c r="T38" i="4"/>
  <c r="Y38" i="4" s="1"/>
  <c r="U38" i="4"/>
  <c r="V38" i="4"/>
  <c r="X38" i="4"/>
  <c r="T39" i="4"/>
  <c r="Y39" i="4" s="1"/>
  <c r="U39" i="4"/>
  <c r="V39" i="4"/>
  <c r="X39" i="4"/>
  <c r="T40" i="4"/>
  <c r="Y40" i="4" s="1"/>
  <c r="U40" i="4"/>
  <c r="V40" i="4"/>
  <c r="X40" i="4"/>
  <c r="T41" i="4"/>
  <c r="Y41" i="4" s="1"/>
  <c r="U41" i="4"/>
  <c r="V41" i="4"/>
  <c r="X41" i="4"/>
  <c r="T42" i="4"/>
  <c r="Y42" i="4" s="1"/>
  <c r="U42" i="4"/>
  <c r="V42" i="4"/>
  <c r="X42" i="4"/>
  <c r="T43" i="4"/>
  <c r="Y43" i="4" s="1"/>
  <c r="U43" i="4"/>
  <c r="V43" i="4"/>
  <c r="X43" i="4"/>
  <c r="T44" i="4"/>
  <c r="Y44" i="4" s="1"/>
  <c r="U44" i="4"/>
  <c r="V44" i="4"/>
  <c r="X44" i="4"/>
  <c r="T45" i="4"/>
  <c r="Y45" i="4" s="1"/>
  <c r="U45" i="4"/>
  <c r="V45" i="4"/>
  <c r="X45" i="4"/>
  <c r="T46" i="4"/>
  <c r="Y46" i="4" s="1"/>
  <c r="U46" i="4"/>
  <c r="V46" i="4"/>
  <c r="X46" i="4"/>
  <c r="AB56" i="4"/>
  <c r="AD56" i="4" s="1"/>
  <c r="N5" i="3"/>
  <c r="O5" i="3"/>
  <c r="P5" i="3"/>
  <c r="Q5" i="3"/>
  <c r="S5" i="3"/>
  <c r="U5" i="3"/>
  <c r="V5" i="3"/>
  <c r="W5" i="3"/>
  <c r="X5" i="3"/>
  <c r="Z5" i="3"/>
  <c r="AB5" i="3"/>
  <c r="AC5" i="3"/>
  <c r="AD5" i="3"/>
  <c r="AE5" i="3"/>
  <c r="AG5" i="3"/>
  <c r="AI5" i="3"/>
  <c r="AJ5" i="3"/>
  <c r="AK5" i="3"/>
  <c r="AL5" i="3"/>
  <c r="AN5" i="3"/>
  <c r="AP5" i="3"/>
  <c r="AQ5" i="3"/>
  <c r="AR5" i="3"/>
  <c r="AS5" i="3"/>
  <c r="AU5" i="3"/>
  <c r="AW5" i="3"/>
  <c r="AX5" i="3"/>
  <c r="AY5" i="3"/>
  <c r="AZ5" i="3"/>
  <c r="BB5" i="3"/>
  <c r="BD5" i="3"/>
  <c r="BE5" i="3"/>
  <c r="BF5" i="3"/>
  <c r="BG5" i="3"/>
  <c r="BI5" i="3"/>
  <c r="BK5" i="3"/>
  <c r="BL5" i="3"/>
  <c r="BM5" i="3"/>
  <c r="BN5" i="3"/>
  <c r="BP5" i="3"/>
  <c r="BR5" i="3"/>
  <c r="BS5" i="3"/>
  <c r="BT5" i="3"/>
  <c r="BU5" i="3"/>
  <c r="BW5" i="3"/>
  <c r="BY5" i="3"/>
  <c r="BZ5" i="3"/>
  <c r="CA5" i="3"/>
  <c r="CB5" i="3"/>
  <c r="CD5" i="3"/>
  <c r="CH5" i="3"/>
  <c r="CJ5" i="3" s="1"/>
  <c r="CR5" i="3" s="1"/>
  <c r="D6" i="3"/>
  <c r="N6" i="3"/>
  <c r="O6" i="3"/>
  <c r="P6" i="3"/>
  <c r="Q6" i="3"/>
  <c r="S6" i="3"/>
  <c r="U6" i="3"/>
  <c r="V6" i="3"/>
  <c r="W6" i="3"/>
  <c r="X6" i="3"/>
  <c r="Z6" i="3"/>
  <c r="AB6" i="3"/>
  <c r="AC6" i="3"/>
  <c r="AD6" i="3"/>
  <c r="AE6" i="3"/>
  <c r="AG6" i="3"/>
  <c r="AI6" i="3"/>
  <c r="AJ6" i="3"/>
  <c r="AK6" i="3"/>
  <c r="AL6" i="3"/>
  <c r="AN6" i="3"/>
  <c r="AP6" i="3"/>
  <c r="AQ6" i="3"/>
  <c r="AR6" i="3"/>
  <c r="AS6" i="3"/>
  <c r="AU6" i="3"/>
  <c r="AW6" i="3"/>
  <c r="AX6" i="3"/>
  <c r="AY6" i="3"/>
  <c r="AZ6" i="3"/>
  <c r="BB6" i="3"/>
  <c r="BD6" i="3"/>
  <c r="BE6" i="3"/>
  <c r="BF6" i="3"/>
  <c r="BG6" i="3"/>
  <c r="BI6" i="3"/>
  <c r="BK6" i="3"/>
  <c r="BL6" i="3"/>
  <c r="BM6" i="3"/>
  <c r="BN6" i="3"/>
  <c r="BP6" i="3"/>
  <c r="BR6" i="3"/>
  <c r="BS6" i="3"/>
  <c r="BT6" i="3"/>
  <c r="BU6" i="3"/>
  <c r="BW6" i="3"/>
  <c r="BY6" i="3"/>
  <c r="BZ6" i="3"/>
  <c r="CA6" i="3"/>
  <c r="CB6" i="3"/>
  <c r="CD6" i="3"/>
  <c r="CH6" i="3"/>
  <c r="CI6" i="3" s="1"/>
  <c r="D7" i="3"/>
  <c r="N7" i="3"/>
  <c r="O7" i="3"/>
  <c r="P7" i="3"/>
  <c r="Q7" i="3"/>
  <c r="S7" i="3"/>
  <c r="U7" i="3"/>
  <c r="V7" i="3"/>
  <c r="W7" i="3"/>
  <c r="X7" i="3"/>
  <c r="Z7" i="3"/>
  <c r="AB7" i="3"/>
  <c r="AC7" i="3"/>
  <c r="AD7" i="3"/>
  <c r="AE7" i="3"/>
  <c r="AG7" i="3"/>
  <c r="AI7" i="3"/>
  <c r="AJ7" i="3"/>
  <c r="AK7" i="3"/>
  <c r="AL7" i="3"/>
  <c r="AN7" i="3"/>
  <c r="AP7" i="3"/>
  <c r="AQ7" i="3"/>
  <c r="AR7" i="3"/>
  <c r="AS7" i="3"/>
  <c r="AU7" i="3"/>
  <c r="AW7" i="3"/>
  <c r="AX7" i="3"/>
  <c r="AY7" i="3"/>
  <c r="AZ7" i="3"/>
  <c r="BB7" i="3"/>
  <c r="BD7" i="3"/>
  <c r="BE7" i="3"/>
  <c r="BF7" i="3"/>
  <c r="BG7" i="3"/>
  <c r="BI7" i="3"/>
  <c r="BK7" i="3"/>
  <c r="BL7" i="3"/>
  <c r="BM7" i="3"/>
  <c r="BN7" i="3"/>
  <c r="BP7" i="3"/>
  <c r="BR7" i="3"/>
  <c r="BS7" i="3"/>
  <c r="BT7" i="3"/>
  <c r="BU7" i="3"/>
  <c r="BW7" i="3"/>
  <c r="BY7" i="3"/>
  <c r="BZ7" i="3"/>
  <c r="CA7" i="3"/>
  <c r="CB7" i="3"/>
  <c r="CD7" i="3"/>
  <c r="CH7" i="3"/>
  <c r="CM7" i="3" s="1"/>
  <c r="CL7" i="3" s="1"/>
  <c r="N8" i="3"/>
  <c r="O8" i="3"/>
  <c r="P8" i="3"/>
  <c r="Q8" i="3"/>
  <c r="S8" i="3"/>
  <c r="U8" i="3"/>
  <c r="V8" i="3"/>
  <c r="W8" i="3"/>
  <c r="X8" i="3"/>
  <c r="Z8" i="3"/>
  <c r="AB8" i="3"/>
  <c r="AC8" i="3"/>
  <c r="AD8" i="3"/>
  <c r="AE8" i="3"/>
  <c r="AG8" i="3"/>
  <c r="AI8" i="3"/>
  <c r="AJ8" i="3"/>
  <c r="AK8" i="3"/>
  <c r="AL8" i="3"/>
  <c r="AN8" i="3"/>
  <c r="AP8" i="3"/>
  <c r="AQ8" i="3"/>
  <c r="AR8" i="3"/>
  <c r="AS8" i="3"/>
  <c r="AU8" i="3"/>
  <c r="AW8" i="3"/>
  <c r="AX8" i="3"/>
  <c r="AY8" i="3"/>
  <c r="AZ8" i="3"/>
  <c r="BB8" i="3"/>
  <c r="BD8" i="3"/>
  <c r="BE8" i="3"/>
  <c r="BF8" i="3"/>
  <c r="BG8" i="3"/>
  <c r="BI8" i="3"/>
  <c r="BK8" i="3"/>
  <c r="BL8" i="3"/>
  <c r="BM8" i="3"/>
  <c r="BN8" i="3"/>
  <c r="BP8" i="3"/>
  <c r="BR8" i="3"/>
  <c r="BS8" i="3"/>
  <c r="BT8" i="3"/>
  <c r="BU8" i="3"/>
  <c r="BW8" i="3"/>
  <c r="BY8" i="3"/>
  <c r="BZ8" i="3"/>
  <c r="CA8" i="3"/>
  <c r="CB8" i="3"/>
  <c r="CD8" i="3"/>
  <c r="CH8" i="3"/>
  <c r="CK8" i="3" s="1"/>
  <c r="G9" i="3"/>
  <c r="H9" i="3"/>
  <c r="I9" i="3"/>
  <c r="N9" i="3"/>
  <c r="O9" i="3"/>
  <c r="P9" i="3"/>
  <c r="Q9" i="3"/>
  <c r="S9" i="3"/>
  <c r="U9" i="3"/>
  <c r="V9" i="3"/>
  <c r="W9" i="3"/>
  <c r="X9" i="3"/>
  <c r="Z9" i="3"/>
  <c r="AB9" i="3"/>
  <c r="AC9" i="3"/>
  <c r="AD9" i="3"/>
  <c r="AE9" i="3"/>
  <c r="AG9" i="3"/>
  <c r="AI9" i="3"/>
  <c r="AJ9" i="3"/>
  <c r="AK9" i="3"/>
  <c r="AL9" i="3"/>
  <c r="AN9" i="3"/>
  <c r="AP9" i="3"/>
  <c r="AQ9" i="3"/>
  <c r="AR9" i="3"/>
  <c r="AS9" i="3"/>
  <c r="AU9" i="3"/>
  <c r="AW9" i="3"/>
  <c r="AX9" i="3"/>
  <c r="AY9" i="3"/>
  <c r="AZ9" i="3"/>
  <c r="BB9" i="3"/>
  <c r="BD9" i="3"/>
  <c r="BE9" i="3"/>
  <c r="BF9" i="3"/>
  <c r="BG9" i="3"/>
  <c r="BI9" i="3"/>
  <c r="BK9" i="3"/>
  <c r="BL9" i="3"/>
  <c r="BM9" i="3"/>
  <c r="BN9" i="3"/>
  <c r="BP9" i="3"/>
  <c r="BR9" i="3"/>
  <c r="BS9" i="3"/>
  <c r="BT9" i="3"/>
  <c r="BU9" i="3"/>
  <c r="BW9" i="3"/>
  <c r="BY9" i="3"/>
  <c r="BZ9" i="3"/>
  <c r="CA9" i="3"/>
  <c r="CB9" i="3"/>
  <c r="CD9" i="3"/>
  <c r="CH9" i="3"/>
  <c r="CI9" i="3" s="1"/>
  <c r="G10" i="3"/>
  <c r="H10" i="3"/>
  <c r="I10" i="3"/>
  <c r="N10" i="3"/>
  <c r="O10" i="3"/>
  <c r="P10" i="3"/>
  <c r="Q10" i="3"/>
  <c r="S10" i="3"/>
  <c r="U10" i="3"/>
  <c r="V10" i="3"/>
  <c r="W10" i="3"/>
  <c r="X10" i="3"/>
  <c r="Z10" i="3"/>
  <c r="AB10" i="3"/>
  <c r="AC10" i="3"/>
  <c r="AD10" i="3"/>
  <c r="AE10" i="3"/>
  <c r="AG10" i="3"/>
  <c r="AI10" i="3"/>
  <c r="AJ10" i="3"/>
  <c r="AK10" i="3"/>
  <c r="AL10" i="3"/>
  <c r="AN10" i="3"/>
  <c r="AP10" i="3"/>
  <c r="AQ10" i="3"/>
  <c r="AR10" i="3"/>
  <c r="AS10" i="3"/>
  <c r="AU10" i="3"/>
  <c r="AW10" i="3"/>
  <c r="AX10" i="3"/>
  <c r="AY10" i="3"/>
  <c r="AZ10" i="3"/>
  <c r="BB10" i="3"/>
  <c r="BD10" i="3"/>
  <c r="BE10" i="3"/>
  <c r="BF10" i="3"/>
  <c r="BG10" i="3"/>
  <c r="BI10" i="3"/>
  <c r="BK10" i="3"/>
  <c r="BL10" i="3"/>
  <c r="BM10" i="3"/>
  <c r="BN10" i="3"/>
  <c r="BP10" i="3"/>
  <c r="BR10" i="3"/>
  <c r="BS10" i="3"/>
  <c r="BT10" i="3"/>
  <c r="BU10" i="3"/>
  <c r="BW10" i="3"/>
  <c r="BY10" i="3"/>
  <c r="BZ10" i="3"/>
  <c r="CA10" i="3"/>
  <c r="CB10" i="3"/>
  <c r="CD10" i="3"/>
  <c r="CH10" i="3"/>
  <c r="CM10" i="3" s="1"/>
  <c r="CL10" i="3" s="1"/>
  <c r="D11" i="3"/>
  <c r="G11" i="3"/>
  <c r="H11" i="3"/>
  <c r="I11" i="3"/>
  <c r="N11" i="3"/>
  <c r="O11" i="3"/>
  <c r="P11" i="3"/>
  <c r="Q11" i="3"/>
  <c r="S11" i="3"/>
  <c r="U11" i="3"/>
  <c r="V11" i="3"/>
  <c r="W11" i="3"/>
  <c r="X11" i="3"/>
  <c r="Z11" i="3"/>
  <c r="AB11" i="3"/>
  <c r="AC11" i="3"/>
  <c r="AD11" i="3"/>
  <c r="AE11" i="3"/>
  <c r="AG11" i="3"/>
  <c r="AI11" i="3"/>
  <c r="AJ11" i="3"/>
  <c r="AK11" i="3"/>
  <c r="AL11" i="3"/>
  <c r="AN11" i="3"/>
  <c r="AP11" i="3"/>
  <c r="AQ11" i="3"/>
  <c r="AR11" i="3"/>
  <c r="AS11" i="3"/>
  <c r="AU11" i="3"/>
  <c r="AW11" i="3"/>
  <c r="AX11" i="3"/>
  <c r="AY11" i="3"/>
  <c r="AZ11" i="3"/>
  <c r="BB11" i="3"/>
  <c r="BD11" i="3"/>
  <c r="BE11" i="3"/>
  <c r="BF11" i="3"/>
  <c r="BG11" i="3"/>
  <c r="BI11" i="3"/>
  <c r="BK11" i="3"/>
  <c r="BL11" i="3"/>
  <c r="BM11" i="3"/>
  <c r="BN11" i="3"/>
  <c r="BP11" i="3"/>
  <c r="BR11" i="3"/>
  <c r="BS11" i="3"/>
  <c r="BT11" i="3"/>
  <c r="BU11" i="3"/>
  <c r="BW11" i="3"/>
  <c r="BY11" i="3"/>
  <c r="BZ11" i="3"/>
  <c r="CA11" i="3"/>
  <c r="CB11" i="3"/>
  <c r="CD11" i="3"/>
  <c r="CH11" i="3"/>
  <c r="CM11" i="3" s="1"/>
  <c r="CL11" i="3" s="1"/>
  <c r="D12" i="3"/>
  <c r="H12" i="3"/>
  <c r="I12" i="3"/>
  <c r="N12" i="3"/>
  <c r="O12" i="3"/>
  <c r="P12" i="3"/>
  <c r="Q12" i="3"/>
  <c r="S12" i="3"/>
  <c r="U12" i="3"/>
  <c r="V12" i="3"/>
  <c r="W12" i="3"/>
  <c r="X12" i="3"/>
  <c r="Z12" i="3"/>
  <c r="AB12" i="3"/>
  <c r="AC12" i="3"/>
  <c r="AD12" i="3"/>
  <c r="AE12" i="3"/>
  <c r="AG12" i="3"/>
  <c r="AI12" i="3"/>
  <c r="AJ12" i="3"/>
  <c r="AK12" i="3"/>
  <c r="AL12" i="3"/>
  <c r="AN12" i="3"/>
  <c r="AP12" i="3"/>
  <c r="AQ12" i="3"/>
  <c r="AR12" i="3"/>
  <c r="AS12" i="3"/>
  <c r="AU12" i="3"/>
  <c r="AW12" i="3"/>
  <c r="AX12" i="3"/>
  <c r="AY12" i="3"/>
  <c r="AZ12" i="3"/>
  <c r="BB12" i="3"/>
  <c r="BD12" i="3"/>
  <c r="BE12" i="3"/>
  <c r="BF12" i="3"/>
  <c r="BG12" i="3"/>
  <c r="BI12" i="3"/>
  <c r="BK12" i="3"/>
  <c r="BL12" i="3"/>
  <c r="BM12" i="3"/>
  <c r="BN12" i="3"/>
  <c r="BP12" i="3"/>
  <c r="BR12" i="3"/>
  <c r="BS12" i="3"/>
  <c r="BT12" i="3"/>
  <c r="BU12" i="3"/>
  <c r="BW12" i="3"/>
  <c r="BY12" i="3"/>
  <c r="BZ12" i="3"/>
  <c r="CA12" i="3"/>
  <c r="CB12" i="3"/>
  <c r="CD12" i="3"/>
  <c r="CH12" i="3"/>
  <c r="H13" i="3"/>
  <c r="I13" i="3"/>
  <c r="N13" i="3"/>
  <c r="O13" i="3"/>
  <c r="P13" i="3"/>
  <c r="Q13" i="3"/>
  <c r="S13" i="3"/>
  <c r="U13" i="3"/>
  <c r="V13" i="3"/>
  <c r="W13" i="3"/>
  <c r="X13" i="3"/>
  <c r="Z13" i="3"/>
  <c r="AB13" i="3"/>
  <c r="AC13" i="3"/>
  <c r="AD13" i="3"/>
  <c r="AE13" i="3"/>
  <c r="AG13" i="3"/>
  <c r="AI13" i="3"/>
  <c r="AJ13" i="3"/>
  <c r="AK13" i="3"/>
  <c r="AL13" i="3"/>
  <c r="AN13" i="3"/>
  <c r="AP13" i="3"/>
  <c r="AQ13" i="3"/>
  <c r="AR13" i="3"/>
  <c r="AS13" i="3"/>
  <c r="AU13" i="3"/>
  <c r="AW13" i="3"/>
  <c r="AX13" i="3"/>
  <c r="AY13" i="3"/>
  <c r="AZ13" i="3"/>
  <c r="BB13" i="3"/>
  <c r="BD13" i="3"/>
  <c r="BE13" i="3"/>
  <c r="BF13" i="3"/>
  <c r="BG13" i="3"/>
  <c r="BI13" i="3"/>
  <c r="BK13" i="3"/>
  <c r="BL13" i="3"/>
  <c r="BM13" i="3"/>
  <c r="BN13" i="3"/>
  <c r="BP13" i="3"/>
  <c r="BR13" i="3"/>
  <c r="BS13" i="3"/>
  <c r="BT13" i="3"/>
  <c r="BU13" i="3"/>
  <c r="BW13" i="3"/>
  <c r="BY13" i="3"/>
  <c r="BZ13" i="3"/>
  <c r="CA13" i="3"/>
  <c r="CB13" i="3"/>
  <c r="CD13" i="3"/>
  <c r="CH13" i="3"/>
  <c r="CK13" i="3" s="1"/>
  <c r="I14" i="3"/>
  <c r="N14" i="3"/>
  <c r="O14" i="3"/>
  <c r="P14" i="3"/>
  <c r="Q14" i="3"/>
  <c r="S14" i="3"/>
  <c r="U14" i="3"/>
  <c r="V14" i="3"/>
  <c r="W14" i="3"/>
  <c r="X14" i="3"/>
  <c r="Z14" i="3"/>
  <c r="AB14" i="3"/>
  <c r="AC14" i="3"/>
  <c r="AD14" i="3"/>
  <c r="AE14" i="3"/>
  <c r="AG14" i="3"/>
  <c r="AI14" i="3"/>
  <c r="AJ14" i="3"/>
  <c r="AK14" i="3"/>
  <c r="AL14" i="3"/>
  <c r="AN14" i="3"/>
  <c r="AP14" i="3"/>
  <c r="AQ14" i="3"/>
  <c r="AR14" i="3"/>
  <c r="AS14" i="3"/>
  <c r="AU14" i="3"/>
  <c r="AW14" i="3"/>
  <c r="AX14" i="3"/>
  <c r="AY14" i="3"/>
  <c r="AZ14" i="3"/>
  <c r="BB14" i="3"/>
  <c r="BD14" i="3"/>
  <c r="BE14" i="3"/>
  <c r="BF14" i="3"/>
  <c r="BG14" i="3"/>
  <c r="BI14" i="3"/>
  <c r="BK14" i="3"/>
  <c r="BL14" i="3"/>
  <c r="BM14" i="3"/>
  <c r="BN14" i="3"/>
  <c r="BP14" i="3"/>
  <c r="BR14" i="3"/>
  <c r="BS14" i="3"/>
  <c r="BT14" i="3"/>
  <c r="BU14" i="3"/>
  <c r="BW14" i="3"/>
  <c r="BY14" i="3"/>
  <c r="BZ14" i="3"/>
  <c r="CA14" i="3"/>
  <c r="CB14" i="3"/>
  <c r="CD14" i="3"/>
  <c r="CH14" i="3"/>
  <c r="CM14" i="3" s="1"/>
  <c r="CL14" i="3" s="1"/>
  <c r="CI14" i="3"/>
  <c r="N15" i="3"/>
  <c r="O15" i="3"/>
  <c r="P15" i="3"/>
  <c r="Q15" i="3"/>
  <c r="S15" i="3"/>
  <c r="U15" i="3"/>
  <c r="V15" i="3"/>
  <c r="W15" i="3"/>
  <c r="X15" i="3"/>
  <c r="Z15" i="3"/>
  <c r="AB15" i="3"/>
  <c r="AC15" i="3"/>
  <c r="AD15" i="3"/>
  <c r="AE15" i="3"/>
  <c r="AG15" i="3"/>
  <c r="AI15" i="3"/>
  <c r="AJ15" i="3"/>
  <c r="AK15" i="3"/>
  <c r="AL15" i="3"/>
  <c r="AN15" i="3"/>
  <c r="AP15" i="3"/>
  <c r="AQ15" i="3"/>
  <c r="AR15" i="3"/>
  <c r="AS15" i="3"/>
  <c r="AU15" i="3"/>
  <c r="AW15" i="3"/>
  <c r="AX15" i="3"/>
  <c r="AY15" i="3"/>
  <c r="AZ15" i="3"/>
  <c r="BB15" i="3"/>
  <c r="BD15" i="3"/>
  <c r="BE15" i="3"/>
  <c r="BF15" i="3"/>
  <c r="BG15" i="3"/>
  <c r="BI15" i="3"/>
  <c r="BK15" i="3"/>
  <c r="BL15" i="3"/>
  <c r="BM15" i="3"/>
  <c r="BN15" i="3"/>
  <c r="BP15" i="3"/>
  <c r="BR15" i="3"/>
  <c r="BS15" i="3"/>
  <c r="BT15" i="3"/>
  <c r="BU15" i="3"/>
  <c r="BW15" i="3"/>
  <c r="BY15" i="3"/>
  <c r="BZ15" i="3"/>
  <c r="CA15" i="3"/>
  <c r="CB15" i="3"/>
  <c r="CD15" i="3"/>
  <c r="CH15" i="3"/>
  <c r="CI15" i="3" s="1"/>
  <c r="N16" i="3"/>
  <c r="O16" i="3"/>
  <c r="P16" i="3"/>
  <c r="Q16" i="3"/>
  <c r="S16" i="3"/>
  <c r="U16" i="3"/>
  <c r="V16" i="3"/>
  <c r="W16" i="3"/>
  <c r="X16" i="3"/>
  <c r="Z16" i="3"/>
  <c r="AB16" i="3"/>
  <c r="AC16" i="3"/>
  <c r="AD16" i="3"/>
  <c r="AE16" i="3"/>
  <c r="AG16" i="3"/>
  <c r="AI16" i="3"/>
  <c r="AJ16" i="3"/>
  <c r="AK16" i="3"/>
  <c r="AL16" i="3"/>
  <c r="AN16" i="3"/>
  <c r="AP16" i="3"/>
  <c r="AQ16" i="3"/>
  <c r="AR16" i="3"/>
  <c r="AS16" i="3"/>
  <c r="AU16" i="3"/>
  <c r="AW16" i="3"/>
  <c r="AX16" i="3"/>
  <c r="AY16" i="3"/>
  <c r="AZ16" i="3"/>
  <c r="BB16" i="3"/>
  <c r="BD16" i="3"/>
  <c r="BE16" i="3"/>
  <c r="BF16" i="3"/>
  <c r="BG16" i="3"/>
  <c r="BI16" i="3"/>
  <c r="BK16" i="3"/>
  <c r="BL16" i="3"/>
  <c r="BM16" i="3"/>
  <c r="BN16" i="3"/>
  <c r="BP16" i="3"/>
  <c r="BR16" i="3"/>
  <c r="BS16" i="3"/>
  <c r="BT16" i="3"/>
  <c r="BU16" i="3"/>
  <c r="BW16" i="3"/>
  <c r="BY16" i="3"/>
  <c r="BZ16" i="3"/>
  <c r="CA16" i="3"/>
  <c r="CB16" i="3"/>
  <c r="CD16" i="3"/>
  <c r="CH16" i="3"/>
  <c r="N17" i="3"/>
  <c r="O17" i="3"/>
  <c r="P17" i="3"/>
  <c r="Q17" i="3"/>
  <c r="S17" i="3"/>
  <c r="U17" i="3"/>
  <c r="V17" i="3"/>
  <c r="W17" i="3"/>
  <c r="X17" i="3"/>
  <c r="Z17" i="3"/>
  <c r="AB17" i="3"/>
  <c r="AC17" i="3"/>
  <c r="AD17" i="3"/>
  <c r="AE17" i="3"/>
  <c r="AG17" i="3"/>
  <c r="AI17" i="3"/>
  <c r="AJ17" i="3"/>
  <c r="AK17" i="3"/>
  <c r="AL17" i="3"/>
  <c r="AN17" i="3"/>
  <c r="AP17" i="3"/>
  <c r="AQ17" i="3"/>
  <c r="AR17" i="3"/>
  <c r="AS17" i="3"/>
  <c r="AU17" i="3"/>
  <c r="AW17" i="3"/>
  <c r="AX17" i="3"/>
  <c r="AY17" i="3"/>
  <c r="AZ17" i="3"/>
  <c r="BB17" i="3"/>
  <c r="BD17" i="3"/>
  <c r="BE17" i="3"/>
  <c r="BF17" i="3"/>
  <c r="BG17" i="3"/>
  <c r="BI17" i="3"/>
  <c r="BK17" i="3"/>
  <c r="BL17" i="3"/>
  <c r="BM17" i="3"/>
  <c r="BN17" i="3"/>
  <c r="BP17" i="3"/>
  <c r="BR17" i="3"/>
  <c r="BS17" i="3"/>
  <c r="BT17" i="3"/>
  <c r="BU17" i="3"/>
  <c r="BW17" i="3"/>
  <c r="BY17" i="3"/>
  <c r="BZ17" i="3"/>
  <c r="CA17" i="3"/>
  <c r="CB17" i="3"/>
  <c r="CD17" i="3"/>
  <c r="CH17" i="3"/>
  <c r="CJ17" i="3" s="1"/>
  <c r="N18" i="3"/>
  <c r="O18" i="3"/>
  <c r="P18" i="3"/>
  <c r="Q18" i="3"/>
  <c r="S18" i="3"/>
  <c r="U18" i="3"/>
  <c r="V18" i="3"/>
  <c r="W18" i="3"/>
  <c r="X18" i="3"/>
  <c r="Z18" i="3"/>
  <c r="AB18" i="3"/>
  <c r="AC18" i="3"/>
  <c r="AD18" i="3"/>
  <c r="AE18" i="3"/>
  <c r="AG18" i="3"/>
  <c r="AI18" i="3"/>
  <c r="AJ18" i="3"/>
  <c r="AK18" i="3"/>
  <c r="AL18" i="3"/>
  <c r="AN18" i="3"/>
  <c r="AP18" i="3"/>
  <c r="AQ18" i="3"/>
  <c r="AR18" i="3"/>
  <c r="AS18" i="3"/>
  <c r="AU18" i="3"/>
  <c r="AW18" i="3"/>
  <c r="AX18" i="3"/>
  <c r="AY18" i="3"/>
  <c r="AZ18" i="3"/>
  <c r="BB18" i="3"/>
  <c r="BD18" i="3"/>
  <c r="BE18" i="3"/>
  <c r="BF18" i="3"/>
  <c r="BG18" i="3"/>
  <c r="BI18" i="3"/>
  <c r="BK18" i="3"/>
  <c r="BL18" i="3"/>
  <c r="BM18" i="3"/>
  <c r="BN18" i="3"/>
  <c r="BP18" i="3"/>
  <c r="BR18" i="3"/>
  <c r="BS18" i="3"/>
  <c r="BT18" i="3"/>
  <c r="BU18" i="3"/>
  <c r="BW18" i="3"/>
  <c r="BY18" i="3"/>
  <c r="BZ18" i="3"/>
  <c r="CA18" i="3"/>
  <c r="CB18" i="3"/>
  <c r="CD18" i="3"/>
  <c r="CH18" i="3"/>
  <c r="CK18" i="3" s="1"/>
  <c r="N19" i="3"/>
  <c r="O19" i="3"/>
  <c r="P19" i="3"/>
  <c r="Q19" i="3"/>
  <c r="S19" i="3"/>
  <c r="U19" i="3"/>
  <c r="V19" i="3"/>
  <c r="W19" i="3"/>
  <c r="X19" i="3"/>
  <c r="Z19" i="3"/>
  <c r="AB19" i="3"/>
  <c r="AC19" i="3"/>
  <c r="AD19" i="3"/>
  <c r="AE19" i="3"/>
  <c r="AG19" i="3"/>
  <c r="AI19" i="3"/>
  <c r="AJ19" i="3"/>
  <c r="AK19" i="3"/>
  <c r="AL19" i="3"/>
  <c r="AN19" i="3"/>
  <c r="AP19" i="3"/>
  <c r="AQ19" i="3"/>
  <c r="AR19" i="3"/>
  <c r="AS19" i="3"/>
  <c r="AU19" i="3"/>
  <c r="AW19" i="3"/>
  <c r="AX19" i="3"/>
  <c r="AY19" i="3"/>
  <c r="AZ19" i="3"/>
  <c r="BB19" i="3"/>
  <c r="BD19" i="3"/>
  <c r="BE19" i="3"/>
  <c r="BF19" i="3"/>
  <c r="BG19" i="3"/>
  <c r="BI19" i="3"/>
  <c r="BK19" i="3"/>
  <c r="BL19" i="3"/>
  <c r="BM19" i="3"/>
  <c r="BN19" i="3"/>
  <c r="BP19" i="3"/>
  <c r="BR19" i="3"/>
  <c r="BS19" i="3"/>
  <c r="BT19" i="3"/>
  <c r="BU19" i="3"/>
  <c r="BW19" i="3"/>
  <c r="BY19" i="3"/>
  <c r="BZ19" i="3"/>
  <c r="CA19" i="3"/>
  <c r="CB19" i="3"/>
  <c r="CD19" i="3"/>
  <c r="CH19" i="3"/>
  <c r="N20" i="3"/>
  <c r="O20" i="3"/>
  <c r="P20" i="3"/>
  <c r="Q20" i="3"/>
  <c r="S20" i="3"/>
  <c r="U20" i="3"/>
  <c r="V20" i="3"/>
  <c r="W20" i="3"/>
  <c r="X20" i="3"/>
  <c r="Z20" i="3"/>
  <c r="AB20" i="3"/>
  <c r="AC20" i="3"/>
  <c r="AD20" i="3"/>
  <c r="AE20" i="3"/>
  <c r="AG20" i="3"/>
  <c r="AI20" i="3"/>
  <c r="AJ20" i="3"/>
  <c r="AK20" i="3"/>
  <c r="AL20" i="3"/>
  <c r="AN20" i="3"/>
  <c r="AP20" i="3"/>
  <c r="AQ20" i="3"/>
  <c r="AR20" i="3"/>
  <c r="AS20" i="3"/>
  <c r="AU20" i="3"/>
  <c r="AW20" i="3"/>
  <c r="AX20" i="3"/>
  <c r="AY20" i="3"/>
  <c r="AZ20" i="3"/>
  <c r="BB20" i="3"/>
  <c r="BD20" i="3"/>
  <c r="BE20" i="3"/>
  <c r="BF20" i="3"/>
  <c r="BG20" i="3"/>
  <c r="BI20" i="3"/>
  <c r="BK20" i="3"/>
  <c r="BL20" i="3"/>
  <c r="BM20" i="3"/>
  <c r="BN20" i="3"/>
  <c r="BP20" i="3"/>
  <c r="BR20" i="3"/>
  <c r="BS20" i="3"/>
  <c r="BT20" i="3"/>
  <c r="BU20" i="3"/>
  <c r="BW20" i="3"/>
  <c r="BY20" i="3"/>
  <c r="BZ20" i="3"/>
  <c r="CA20" i="3"/>
  <c r="CB20" i="3"/>
  <c r="CD20" i="3"/>
  <c r="CH20" i="3"/>
  <c r="CI20" i="3" s="1"/>
  <c r="N21" i="3"/>
  <c r="O21" i="3"/>
  <c r="P21" i="3"/>
  <c r="Q21" i="3"/>
  <c r="S21" i="3"/>
  <c r="U21" i="3"/>
  <c r="V21" i="3"/>
  <c r="W21" i="3"/>
  <c r="X21" i="3"/>
  <c r="Z21" i="3"/>
  <c r="AB21" i="3"/>
  <c r="AC21" i="3"/>
  <c r="AD21" i="3"/>
  <c r="AE21" i="3"/>
  <c r="AG21" i="3"/>
  <c r="AI21" i="3"/>
  <c r="AJ21" i="3"/>
  <c r="AK21" i="3"/>
  <c r="AL21" i="3"/>
  <c r="AN21" i="3"/>
  <c r="AP21" i="3"/>
  <c r="AQ21" i="3"/>
  <c r="AR21" i="3"/>
  <c r="AS21" i="3"/>
  <c r="AU21" i="3"/>
  <c r="AW21" i="3"/>
  <c r="AX21" i="3"/>
  <c r="AY21" i="3"/>
  <c r="AZ21" i="3"/>
  <c r="BB21" i="3"/>
  <c r="BD21" i="3"/>
  <c r="BE21" i="3"/>
  <c r="BF21" i="3"/>
  <c r="BG21" i="3"/>
  <c r="BI21" i="3"/>
  <c r="BK21" i="3"/>
  <c r="BL21" i="3"/>
  <c r="BM21" i="3"/>
  <c r="BN21" i="3"/>
  <c r="BP21" i="3"/>
  <c r="BR21" i="3"/>
  <c r="BS21" i="3"/>
  <c r="BT21" i="3"/>
  <c r="BU21" i="3"/>
  <c r="BW21" i="3"/>
  <c r="BY21" i="3"/>
  <c r="BZ21" i="3"/>
  <c r="CA21" i="3"/>
  <c r="CB21" i="3"/>
  <c r="CD21" i="3"/>
  <c r="CH21" i="3"/>
  <c r="CI21" i="3" s="1"/>
  <c r="N22" i="3"/>
  <c r="O22" i="3"/>
  <c r="P22" i="3"/>
  <c r="Q22" i="3"/>
  <c r="S22" i="3"/>
  <c r="U22" i="3"/>
  <c r="V22" i="3"/>
  <c r="W22" i="3"/>
  <c r="X22" i="3"/>
  <c r="Z22" i="3"/>
  <c r="AB22" i="3"/>
  <c r="AC22" i="3"/>
  <c r="AD22" i="3"/>
  <c r="AE22" i="3"/>
  <c r="AG22" i="3"/>
  <c r="AI22" i="3"/>
  <c r="AJ22" i="3"/>
  <c r="AK22" i="3"/>
  <c r="AL22" i="3"/>
  <c r="AN22" i="3"/>
  <c r="AP22" i="3"/>
  <c r="AQ22" i="3"/>
  <c r="AR22" i="3"/>
  <c r="AS22" i="3"/>
  <c r="AU22" i="3"/>
  <c r="AW22" i="3"/>
  <c r="AX22" i="3"/>
  <c r="AY22" i="3"/>
  <c r="AZ22" i="3"/>
  <c r="BB22" i="3"/>
  <c r="BD22" i="3"/>
  <c r="BE22" i="3"/>
  <c r="BF22" i="3"/>
  <c r="BG22" i="3"/>
  <c r="BI22" i="3"/>
  <c r="BK22" i="3"/>
  <c r="BL22" i="3"/>
  <c r="BM22" i="3"/>
  <c r="BN22" i="3"/>
  <c r="BP22" i="3"/>
  <c r="BR22" i="3"/>
  <c r="BS22" i="3"/>
  <c r="BT22" i="3"/>
  <c r="BU22" i="3"/>
  <c r="BW22" i="3"/>
  <c r="BY22" i="3"/>
  <c r="BZ22" i="3"/>
  <c r="CA22" i="3"/>
  <c r="CB22" i="3"/>
  <c r="CD22" i="3"/>
  <c r="CH22" i="3"/>
  <c r="CK22" i="3" s="1"/>
  <c r="F23" i="3"/>
  <c r="U21" i="4" s="1"/>
  <c r="N23" i="3"/>
  <c r="O23" i="3"/>
  <c r="P23" i="3"/>
  <c r="Q23" i="3"/>
  <c r="S23" i="3"/>
  <c r="U23" i="3"/>
  <c r="V23" i="3"/>
  <c r="W23" i="3"/>
  <c r="X23" i="3"/>
  <c r="Z23" i="3"/>
  <c r="AB23" i="3"/>
  <c r="AC23" i="3"/>
  <c r="AD23" i="3"/>
  <c r="AE23" i="3"/>
  <c r="AG23" i="3"/>
  <c r="AI23" i="3"/>
  <c r="AJ23" i="3"/>
  <c r="AK23" i="3"/>
  <c r="AL23" i="3"/>
  <c r="AN23" i="3"/>
  <c r="AP23" i="3"/>
  <c r="AQ23" i="3"/>
  <c r="AR23" i="3"/>
  <c r="AS23" i="3"/>
  <c r="AU23" i="3"/>
  <c r="AW23" i="3"/>
  <c r="AX23" i="3"/>
  <c r="AY23" i="3"/>
  <c r="AZ23" i="3"/>
  <c r="BB23" i="3"/>
  <c r="BD23" i="3"/>
  <c r="BE23" i="3"/>
  <c r="BF23" i="3"/>
  <c r="BG23" i="3"/>
  <c r="BI23" i="3"/>
  <c r="BK23" i="3"/>
  <c r="BL23" i="3"/>
  <c r="BM23" i="3"/>
  <c r="BN23" i="3"/>
  <c r="BP23" i="3"/>
  <c r="BR23" i="3"/>
  <c r="BS23" i="3"/>
  <c r="BT23" i="3"/>
  <c r="BU23" i="3"/>
  <c r="BW23" i="3"/>
  <c r="BY23" i="3"/>
  <c r="BZ23" i="3"/>
  <c r="CA23" i="3"/>
  <c r="CB23" i="3"/>
  <c r="CD23" i="3"/>
  <c r="CH23" i="3"/>
  <c r="F24" i="3"/>
  <c r="U22" i="4" s="1"/>
  <c r="N24" i="3"/>
  <c r="O24" i="3"/>
  <c r="P24" i="3"/>
  <c r="Q24" i="3"/>
  <c r="S24" i="3"/>
  <c r="U24" i="3"/>
  <c r="V24" i="3"/>
  <c r="W24" i="3"/>
  <c r="X24" i="3"/>
  <c r="Z24" i="3"/>
  <c r="AB24" i="3"/>
  <c r="AC24" i="3"/>
  <c r="AD24" i="3"/>
  <c r="AE24" i="3"/>
  <c r="AG24" i="3"/>
  <c r="AI24" i="3"/>
  <c r="AJ24" i="3"/>
  <c r="AK24" i="3"/>
  <c r="AL24" i="3"/>
  <c r="AN24" i="3"/>
  <c r="AP24" i="3"/>
  <c r="AQ24" i="3"/>
  <c r="AR24" i="3"/>
  <c r="AS24" i="3"/>
  <c r="AU24" i="3"/>
  <c r="AW24" i="3"/>
  <c r="AX24" i="3"/>
  <c r="AY24" i="3"/>
  <c r="AZ24" i="3"/>
  <c r="BB24" i="3"/>
  <c r="BD24" i="3"/>
  <c r="BE24" i="3"/>
  <c r="BF24" i="3"/>
  <c r="BG24" i="3"/>
  <c r="BI24" i="3"/>
  <c r="BK24" i="3"/>
  <c r="BL24" i="3"/>
  <c r="BM24" i="3"/>
  <c r="BN24" i="3"/>
  <c r="BP24" i="3"/>
  <c r="BR24" i="3"/>
  <c r="BS24" i="3"/>
  <c r="BT24" i="3"/>
  <c r="BU24" i="3"/>
  <c r="BW24" i="3"/>
  <c r="BY24" i="3"/>
  <c r="BZ24" i="3"/>
  <c r="CA24" i="3"/>
  <c r="CB24" i="3"/>
  <c r="CD24" i="3"/>
  <c r="CH24" i="3"/>
  <c r="CK24" i="3" s="1"/>
  <c r="F25" i="3"/>
  <c r="U23" i="4" s="1"/>
  <c r="N25" i="3"/>
  <c r="O25" i="3"/>
  <c r="P25" i="3"/>
  <c r="Q25" i="3"/>
  <c r="S25" i="3"/>
  <c r="U25" i="3"/>
  <c r="V25" i="3"/>
  <c r="W25" i="3"/>
  <c r="X25" i="3"/>
  <c r="Z25" i="3"/>
  <c r="AB25" i="3"/>
  <c r="AC25" i="3"/>
  <c r="AD25" i="3"/>
  <c r="AE25" i="3"/>
  <c r="AG25" i="3"/>
  <c r="AI25" i="3"/>
  <c r="AJ25" i="3"/>
  <c r="AK25" i="3"/>
  <c r="AL25" i="3"/>
  <c r="AN25" i="3"/>
  <c r="AP25" i="3"/>
  <c r="AQ25" i="3"/>
  <c r="AR25" i="3"/>
  <c r="AS25" i="3"/>
  <c r="AU25" i="3"/>
  <c r="AW25" i="3"/>
  <c r="AX25" i="3"/>
  <c r="AY25" i="3"/>
  <c r="AZ25" i="3"/>
  <c r="BB25" i="3"/>
  <c r="BD25" i="3"/>
  <c r="BE25" i="3"/>
  <c r="BF25" i="3"/>
  <c r="BG25" i="3"/>
  <c r="BI25" i="3"/>
  <c r="BK25" i="3"/>
  <c r="BL25" i="3"/>
  <c r="BM25" i="3"/>
  <c r="BN25" i="3"/>
  <c r="BP25" i="3"/>
  <c r="BR25" i="3"/>
  <c r="BS25" i="3"/>
  <c r="BT25" i="3"/>
  <c r="BU25" i="3"/>
  <c r="BW25" i="3"/>
  <c r="BY25" i="3"/>
  <c r="BZ25" i="3"/>
  <c r="CA25" i="3"/>
  <c r="CB25" i="3"/>
  <c r="CD25" i="3"/>
  <c r="CH25" i="3"/>
  <c r="CJ25" i="3" s="1"/>
  <c r="F26" i="3"/>
  <c r="U24" i="4" s="1"/>
  <c r="N26" i="3"/>
  <c r="O26" i="3"/>
  <c r="P26" i="3"/>
  <c r="Q26" i="3"/>
  <c r="S26" i="3"/>
  <c r="U26" i="3"/>
  <c r="V26" i="3"/>
  <c r="W26" i="3"/>
  <c r="X26" i="3"/>
  <c r="Z26" i="3"/>
  <c r="AB26" i="3"/>
  <c r="AC26" i="3"/>
  <c r="AD26" i="3"/>
  <c r="AE26" i="3"/>
  <c r="AG26" i="3"/>
  <c r="AI26" i="3"/>
  <c r="AJ26" i="3"/>
  <c r="AK26" i="3"/>
  <c r="AL26" i="3"/>
  <c r="AN26" i="3"/>
  <c r="AP26" i="3"/>
  <c r="AQ26" i="3"/>
  <c r="AR26" i="3"/>
  <c r="AS26" i="3"/>
  <c r="AU26" i="3"/>
  <c r="AW26" i="3"/>
  <c r="AX26" i="3"/>
  <c r="AY26" i="3"/>
  <c r="AZ26" i="3"/>
  <c r="BB26" i="3"/>
  <c r="BD26" i="3"/>
  <c r="BE26" i="3"/>
  <c r="BF26" i="3"/>
  <c r="BG26" i="3"/>
  <c r="BI26" i="3"/>
  <c r="BK26" i="3"/>
  <c r="BL26" i="3"/>
  <c r="BM26" i="3"/>
  <c r="BN26" i="3"/>
  <c r="BP26" i="3"/>
  <c r="BR26" i="3"/>
  <c r="BS26" i="3"/>
  <c r="BT26" i="3"/>
  <c r="BU26" i="3"/>
  <c r="BW26" i="3"/>
  <c r="BY26" i="3"/>
  <c r="BZ26" i="3"/>
  <c r="CA26" i="3"/>
  <c r="CB26" i="3"/>
  <c r="CD26" i="3"/>
  <c r="CH26" i="3"/>
  <c r="CJ26" i="3" s="1"/>
  <c r="F27" i="3"/>
  <c r="U25" i="4" s="1"/>
  <c r="N27" i="3"/>
  <c r="O27" i="3"/>
  <c r="P27" i="3"/>
  <c r="Q27" i="3"/>
  <c r="S27" i="3"/>
  <c r="U27" i="3"/>
  <c r="V27" i="3"/>
  <c r="W27" i="3"/>
  <c r="X27" i="3"/>
  <c r="Z27" i="3"/>
  <c r="AB27" i="3"/>
  <c r="AC27" i="3"/>
  <c r="AD27" i="3"/>
  <c r="AE27" i="3"/>
  <c r="AG27" i="3"/>
  <c r="AI27" i="3"/>
  <c r="AJ27" i="3"/>
  <c r="AK27" i="3"/>
  <c r="AL27" i="3"/>
  <c r="AN27" i="3"/>
  <c r="AP27" i="3"/>
  <c r="AQ27" i="3"/>
  <c r="AR27" i="3"/>
  <c r="AS27" i="3"/>
  <c r="AU27" i="3"/>
  <c r="AW27" i="3"/>
  <c r="AX27" i="3"/>
  <c r="AY27" i="3"/>
  <c r="AZ27" i="3"/>
  <c r="BB27" i="3"/>
  <c r="BD27" i="3"/>
  <c r="BE27" i="3"/>
  <c r="BF27" i="3"/>
  <c r="BG27" i="3"/>
  <c r="BI27" i="3"/>
  <c r="BK27" i="3"/>
  <c r="BL27" i="3"/>
  <c r="BM27" i="3"/>
  <c r="BN27" i="3"/>
  <c r="BP27" i="3"/>
  <c r="BR27" i="3"/>
  <c r="BS27" i="3"/>
  <c r="BT27" i="3"/>
  <c r="BU27" i="3"/>
  <c r="BW27" i="3"/>
  <c r="BY27" i="3"/>
  <c r="BZ27" i="3"/>
  <c r="CA27" i="3"/>
  <c r="CB27" i="3"/>
  <c r="CD27" i="3"/>
  <c r="CH27" i="3"/>
  <c r="F28" i="3"/>
  <c r="U26" i="4" s="1"/>
  <c r="N28" i="3"/>
  <c r="O28" i="3"/>
  <c r="P28" i="3"/>
  <c r="Q28" i="3"/>
  <c r="S28" i="3"/>
  <c r="U28" i="3"/>
  <c r="V28" i="3"/>
  <c r="W28" i="3"/>
  <c r="X28" i="3"/>
  <c r="Z28" i="3"/>
  <c r="AB28" i="3"/>
  <c r="AC28" i="3"/>
  <c r="AD28" i="3"/>
  <c r="AE28" i="3"/>
  <c r="AG28" i="3"/>
  <c r="AI28" i="3"/>
  <c r="AJ28" i="3"/>
  <c r="AK28" i="3"/>
  <c r="AL28" i="3"/>
  <c r="AN28" i="3"/>
  <c r="AP28" i="3"/>
  <c r="AQ28" i="3"/>
  <c r="AR28" i="3"/>
  <c r="AS28" i="3"/>
  <c r="AU28" i="3"/>
  <c r="AW28" i="3"/>
  <c r="AX28" i="3"/>
  <c r="AY28" i="3"/>
  <c r="AZ28" i="3"/>
  <c r="BB28" i="3"/>
  <c r="BD28" i="3"/>
  <c r="BE28" i="3"/>
  <c r="BF28" i="3"/>
  <c r="BG28" i="3"/>
  <c r="BI28" i="3"/>
  <c r="BK28" i="3"/>
  <c r="BL28" i="3"/>
  <c r="BM28" i="3"/>
  <c r="BN28" i="3"/>
  <c r="BP28" i="3"/>
  <c r="BR28" i="3"/>
  <c r="BS28" i="3"/>
  <c r="BT28" i="3"/>
  <c r="BU28" i="3"/>
  <c r="BW28" i="3"/>
  <c r="BY28" i="3"/>
  <c r="BZ28" i="3"/>
  <c r="CA28" i="3"/>
  <c r="CB28" i="3"/>
  <c r="CD28" i="3"/>
  <c r="CH28" i="3"/>
  <c r="CI28" i="3" s="1"/>
  <c r="F29" i="3"/>
  <c r="U27" i="4" s="1"/>
  <c r="N29" i="3"/>
  <c r="O29" i="3"/>
  <c r="P29" i="3"/>
  <c r="Q29" i="3"/>
  <c r="S29" i="3"/>
  <c r="U29" i="3"/>
  <c r="V29" i="3"/>
  <c r="W29" i="3"/>
  <c r="X29" i="3"/>
  <c r="Z29" i="3"/>
  <c r="AB29" i="3"/>
  <c r="AC29" i="3"/>
  <c r="AD29" i="3"/>
  <c r="AE29" i="3"/>
  <c r="AG29" i="3"/>
  <c r="AI29" i="3"/>
  <c r="AJ29" i="3"/>
  <c r="AK29" i="3"/>
  <c r="AL29" i="3"/>
  <c r="AN29" i="3"/>
  <c r="AP29" i="3"/>
  <c r="AQ29" i="3"/>
  <c r="AR29" i="3"/>
  <c r="AS29" i="3"/>
  <c r="AU29" i="3"/>
  <c r="AW29" i="3"/>
  <c r="AX29" i="3"/>
  <c r="AY29" i="3"/>
  <c r="AZ29" i="3"/>
  <c r="BB29" i="3"/>
  <c r="BD29" i="3"/>
  <c r="BE29" i="3"/>
  <c r="BF29" i="3"/>
  <c r="BG29" i="3"/>
  <c r="BI29" i="3"/>
  <c r="BK29" i="3"/>
  <c r="BL29" i="3"/>
  <c r="BM29" i="3"/>
  <c r="BN29" i="3"/>
  <c r="BP29" i="3"/>
  <c r="BR29" i="3"/>
  <c r="BS29" i="3"/>
  <c r="BT29" i="3"/>
  <c r="BU29" i="3"/>
  <c r="BW29" i="3"/>
  <c r="BY29" i="3"/>
  <c r="BZ29" i="3"/>
  <c r="CA29" i="3"/>
  <c r="CB29" i="3"/>
  <c r="CD29" i="3"/>
  <c r="CH29" i="3"/>
  <c r="CJ29" i="3" s="1"/>
  <c r="F30" i="3"/>
  <c r="U28" i="4" s="1"/>
  <c r="W28" i="4" s="1"/>
  <c r="W43" i="4" s="1"/>
  <c r="G30" i="3"/>
  <c r="N30" i="3"/>
  <c r="O30" i="3"/>
  <c r="P30" i="3"/>
  <c r="Q30" i="3"/>
  <c r="S30" i="3"/>
  <c r="U30" i="3"/>
  <c r="V30" i="3"/>
  <c r="W30" i="3"/>
  <c r="X30" i="3"/>
  <c r="Z30" i="3"/>
  <c r="AB30" i="3"/>
  <c r="AC30" i="3"/>
  <c r="AD30" i="3"/>
  <c r="AE30" i="3"/>
  <c r="AG30" i="3"/>
  <c r="AI30" i="3"/>
  <c r="AJ30" i="3"/>
  <c r="AK30" i="3"/>
  <c r="AL30" i="3"/>
  <c r="AN30" i="3"/>
  <c r="AP30" i="3"/>
  <c r="AQ30" i="3"/>
  <c r="AR30" i="3"/>
  <c r="AS30" i="3"/>
  <c r="AU30" i="3"/>
  <c r="AW30" i="3"/>
  <c r="AX30" i="3"/>
  <c r="AY30" i="3"/>
  <c r="AZ30" i="3"/>
  <c r="BB30" i="3"/>
  <c r="BD30" i="3"/>
  <c r="BE30" i="3"/>
  <c r="BF30" i="3"/>
  <c r="BG30" i="3"/>
  <c r="BI30" i="3"/>
  <c r="BK30" i="3"/>
  <c r="BL30" i="3"/>
  <c r="BM30" i="3"/>
  <c r="BN30" i="3"/>
  <c r="BP30" i="3"/>
  <c r="BR30" i="3"/>
  <c r="BS30" i="3"/>
  <c r="BT30" i="3"/>
  <c r="BU30" i="3"/>
  <c r="BW30" i="3"/>
  <c r="BY30" i="3"/>
  <c r="BZ30" i="3"/>
  <c r="CA30" i="3"/>
  <c r="CB30" i="3"/>
  <c r="CD30" i="3"/>
  <c r="CH30" i="3"/>
  <c r="CJ30" i="3" s="1"/>
  <c r="F31" i="3"/>
  <c r="U29" i="4" s="1"/>
  <c r="W29" i="4" s="1"/>
  <c r="W44" i="4" s="1"/>
  <c r="G31" i="3"/>
  <c r="N31" i="3"/>
  <c r="O31" i="3"/>
  <c r="P31" i="3"/>
  <c r="Q31" i="3"/>
  <c r="S31" i="3"/>
  <c r="U31" i="3"/>
  <c r="V31" i="3"/>
  <c r="W31" i="3"/>
  <c r="X31" i="3"/>
  <c r="Z31" i="3"/>
  <c r="AB31" i="3"/>
  <c r="AC31" i="3"/>
  <c r="AD31" i="3"/>
  <c r="AE31" i="3"/>
  <c r="AG31" i="3"/>
  <c r="AI31" i="3"/>
  <c r="AJ31" i="3"/>
  <c r="AK31" i="3"/>
  <c r="AL31" i="3"/>
  <c r="AN31" i="3"/>
  <c r="AP31" i="3"/>
  <c r="AQ31" i="3"/>
  <c r="AR31" i="3"/>
  <c r="AS31" i="3"/>
  <c r="AU31" i="3"/>
  <c r="AW31" i="3"/>
  <c r="AX31" i="3"/>
  <c r="AY31" i="3"/>
  <c r="AZ31" i="3"/>
  <c r="BB31" i="3"/>
  <c r="BD31" i="3"/>
  <c r="BE31" i="3"/>
  <c r="BF31" i="3"/>
  <c r="BG31" i="3"/>
  <c r="BI31" i="3"/>
  <c r="BK31" i="3"/>
  <c r="BL31" i="3"/>
  <c r="BM31" i="3"/>
  <c r="BN31" i="3"/>
  <c r="BP31" i="3"/>
  <c r="BR31" i="3"/>
  <c r="BS31" i="3"/>
  <c r="BT31" i="3"/>
  <c r="BU31" i="3"/>
  <c r="BW31" i="3"/>
  <c r="BY31" i="3"/>
  <c r="BZ31" i="3"/>
  <c r="CA31" i="3"/>
  <c r="CB31" i="3"/>
  <c r="CD31" i="3"/>
  <c r="CH31" i="3"/>
  <c r="CJ31" i="3" s="1"/>
  <c r="F32" i="3"/>
  <c r="U30" i="4" s="1"/>
  <c r="W30" i="4" s="1"/>
  <c r="W45" i="4" s="1"/>
  <c r="G32" i="3"/>
  <c r="N32" i="3"/>
  <c r="O32" i="3"/>
  <c r="P32" i="3"/>
  <c r="Q32" i="3"/>
  <c r="S32" i="3"/>
  <c r="U32" i="3"/>
  <c r="V32" i="3"/>
  <c r="W32" i="3"/>
  <c r="X32" i="3"/>
  <c r="Z32" i="3"/>
  <c r="AB32" i="3"/>
  <c r="AC32" i="3"/>
  <c r="AD32" i="3"/>
  <c r="AE32" i="3"/>
  <c r="AG32" i="3"/>
  <c r="AI32" i="3"/>
  <c r="AJ32" i="3"/>
  <c r="AK32" i="3"/>
  <c r="AL32" i="3"/>
  <c r="AN32" i="3"/>
  <c r="AP32" i="3"/>
  <c r="AQ32" i="3"/>
  <c r="AR32" i="3"/>
  <c r="AS32" i="3"/>
  <c r="AU32" i="3"/>
  <c r="AW32" i="3"/>
  <c r="AX32" i="3"/>
  <c r="AY32" i="3"/>
  <c r="AZ32" i="3"/>
  <c r="BB32" i="3"/>
  <c r="BD32" i="3"/>
  <c r="BE32" i="3"/>
  <c r="BF32" i="3"/>
  <c r="BG32" i="3"/>
  <c r="BI32" i="3"/>
  <c r="BK32" i="3"/>
  <c r="BL32" i="3"/>
  <c r="BM32" i="3"/>
  <c r="BN32" i="3"/>
  <c r="BP32" i="3"/>
  <c r="BR32" i="3"/>
  <c r="BS32" i="3"/>
  <c r="BT32" i="3"/>
  <c r="BU32" i="3"/>
  <c r="BW32" i="3"/>
  <c r="BY32" i="3"/>
  <c r="BZ32" i="3"/>
  <c r="CA32" i="3"/>
  <c r="CB32" i="3"/>
  <c r="CD32" i="3"/>
  <c r="CH32" i="3"/>
  <c r="CI32" i="3" s="1"/>
  <c r="F33" i="3"/>
  <c r="U31" i="4" s="1"/>
  <c r="W31" i="4" s="1"/>
  <c r="W46" i="4" s="1"/>
  <c r="G33" i="3"/>
  <c r="N33" i="3"/>
  <c r="O33" i="3"/>
  <c r="P33" i="3"/>
  <c r="Q33" i="3"/>
  <c r="S33" i="3"/>
  <c r="U33" i="3"/>
  <c r="V33" i="3"/>
  <c r="W33" i="3"/>
  <c r="X33" i="3"/>
  <c r="Z33" i="3"/>
  <c r="AB33" i="3"/>
  <c r="AC33" i="3"/>
  <c r="AD33" i="3"/>
  <c r="AE33" i="3"/>
  <c r="AG33" i="3"/>
  <c r="AI33" i="3"/>
  <c r="AJ33" i="3"/>
  <c r="AK33" i="3"/>
  <c r="AL33" i="3"/>
  <c r="AN33" i="3"/>
  <c r="AP33" i="3"/>
  <c r="AQ33" i="3"/>
  <c r="AR33" i="3"/>
  <c r="AS33" i="3"/>
  <c r="AU33" i="3"/>
  <c r="AW33" i="3"/>
  <c r="AX33" i="3"/>
  <c r="AY33" i="3"/>
  <c r="AZ33" i="3"/>
  <c r="BB33" i="3"/>
  <c r="BD33" i="3"/>
  <c r="BE33" i="3"/>
  <c r="BF33" i="3"/>
  <c r="BG33" i="3"/>
  <c r="BI33" i="3"/>
  <c r="BK33" i="3"/>
  <c r="BL33" i="3"/>
  <c r="BM33" i="3"/>
  <c r="BN33" i="3"/>
  <c r="BP33" i="3"/>
  <c r="BR33" i="3"/>
  <c r="BS33" i="3"/>
  <c r="BT33" i="3"/>
  <c r="BU33" i="3"/>
  <c r="BW33" i="3"/>
  <c r="BY33" i="3"/>
  <c r="BZ33" i="3"/>
  <c r="CA33" i="3"/>
  <c r="CB33" i="3"/>
  <c r="CD33" i="3"/>
  <c r="CH33" i="3"/>
  <c r="CI33" i="3" s="1"/>
  <c r="N34" i="3"/>
  <c r="O34" i="3"/>
  <c r="P34" i="3"/>
  <c r="Q34" i="3"/>
  <c r="S34" i="3"/>
  <c r="U34" i="3"/>
  <c r="V34" i="3"/>
  <c r="W34" i="3"/>
  <c r="X34" i="3"/>
  <c r="Z34" i="3"/>
  <c r="AB34" i="3"/>
  <c r="AC34" i="3"/>
  <c r="AD34" i="3"/>
  <c r="AE34" i="3"/>
  <c r="AG34" i="3"/>
  <c r="AI34" i="3"/>
  <c r="AJ34" i="3"/>
  <c r="AK34" i="3"/>
  <c r="AL34" i="3"/>
  <c r="AN34" i="3"/>
  <c r="AP34" i="3"/>
  <c r="AQ34" i="3"/>
  <c r="AR34" i="3"/>
  <c r="AS34" i="3"/>
  <c r="AU34" i="3"/>
  <c r="AW34" i="3"/>
  <c r="AX34" i="3"/>
  <c r="AY34" i="3"/>
  <c r="AZ34" i="3"/>
  <c r="BB34" i="3"/>
  <c r="BD34" i="3"/>
  <c r="BE34" i="3"/>
  <c r="BF34" i="3"/>
  <c r="BG34" i="3"/>
  <c r="BI34" i="3"/>
  <c r="BK34" i="3"/>
  <c r="BL34" i="3"/>
  <c r="BM34" i="3"/>
  <c r="BN34" i="3"/>
  <c r="BP34" i="3"/>
  <c r="BR34" i="3"/>
  <c r="BS34" i="3"/>
  <c r="BT34" i="3"/>
  <c r="BU34" i="3"/>
  <c r="BW34" i="3"/>
  <c r="BY34" i="3"/>
  <c r="BZ34" i="3"/>
  <c r="CA34" i="3"/>
  <c r="CB34" i="3"/>
  <c r="CD34" i="3"/>
  <c r="CH34" i="3"/>
  <c r="CM34" i="3" s="1"/>
  <c r="CL34" i="3" s="1"/>
  <c r="N35" i="3"/>
  <c r="O35" i="3"/>
  <c r="P35" i="3"/>
  <c r="Q35" i="3"/>
  <c r="S35" i="3"/>
  <c r="U35" i="3"/>
  <c r="V35" i="3"/>
  <c r="W35" i="3"/>
  <c r="X35" i="3"/>
  <c r="Z35" i="3"/>
  <c r="AB35" i="3"/>
  <c r="AC35" i="3"/>
  <c r="AD35" i="3"/>
  <c r="AE35" i="3"/>
  <c r="AG35" i="3"/>
  <c r="AI35" i="3"/>
  <c r="AJ35" i="3"/>
  <c r="AK35" i="3"/>
  <c r="AL35" i="3"/>
  <c r="AN35" i="3"/>
  <c r="AP35" i="3"/>
  <c r="AQ35" i="3"/>
  <c r="AR35" i="3"/>
  <c r="AS35" i="3"/>
  <c r="AU35" i="3"/>
  <c r="AW35" i="3"/>
  <c r="AX35" i="3"/>
  <c r="AY35" i="3"/>
  <c r="AZ35" i="3"/>
  <c r="BB35" i="3"/>
  <c r="BD35" i="3"/>
  <c r="BE35" i="3"/>
  <c r="BF35" i="3"/>
  <c r="BG35" i="3"/>
  <c r="BI35" i="3"/>
  <c r="BK35" i="3"/>
  <c r="BL35" i="3"/>
  <c r="BM35" i="3"/>
  <c r="BN35" i="3"/>
  <c r="BP35" i="3"/>
  <c r="BR35" i="3"/>
  <c r="BS35" i="3"/>
  <c r="BT35" i="3"/>
  <c r="BU35" i="3"/>
  <c r="BW35" i="3"/>
  <c r="BY35" i="3"/>
  <c r="BZ35" i="3"/>
  <c r="CA35" i="3"/>
  <c r="CB35" i="3"/>
  <c r="CD35" i="3"/>
  <c r="CH35" i="3"/>
  <c r="CM35" i="3" s="1"/>
  <c r="CL35" i="3" s="1"/>
  <c r="N36" i="3"/>
  <c r="O36" i="3"/>
  <c r="P36" i="3"/>
  <c r="Q36" i="3"/>
  <c r="S36" i="3"/>
  <c r="U36" i="3"/>
  <c r="V36" i="3"/>
  <c r="W36" i="3"/>
  <c r="X36" i="3"/>
  <c r="Z36" i="3"/>
  <c r="AB36" i="3"/>
  <c r="AC36" i="3"/>
  <c r="AD36" i="3"/>
  <c r="AE36" i="3"/>
  <c r="AG36" i="3"/>
  <c r="AI36" i="3"/>
  <c r="AJ36" i="3"/>
  <c r="AK36" i="3"/>
  <c r="AL36" i="3"/>
  <c r="AN36" i="3"/>
  <c r="AP36" i="3"/>
  <c r="AQ36" i="3"/>
  <c r="AR36" i="3"/>
  <c r="AS36" i="3"/>
  <c r="AU36" i="3"/>
  <c r="AW36" i="3"/>
  <c r="AX36" i="3"/>
  <c r="AY36" i="3"/>
  <c r="AZ36" i="3"/>
  <c r="BB36" i="3"/>
  <c r="BD36" i="3"/>
  <c r="BE36" i="3"/>
  <c r="BF36" i="3"/>
  <c r="BG36" i="3"/>
  <c r="BI36" i="3"/>
  <c r="BK36" i="3"/>
  <c r="BL36" i="3"/>
  <c r="BM36" i="3"/>
  <c r="BN36" i="3"/>
  <c r="BP36" i="3"/>
  <c r="BR36" i="3"/>
  <c r="BS36" i="3"/>
  <c r="BT36" i="3"/>
  <c r="BU36" i="3"/>
  <c r="BW36" i="3"/>
  <c r="BY36" i="3"/>
  <c r="BZ36" i="3"/>
  <c r="CA36" i="3"/>
  <c r="CB36" i="3"/>
  <c r="CD36" i="3"/>
  <c r="CH36" i="3"/>
  <c r="CK36" i="3" s="1"/>
  <c r="N37" i="3"/>
  <c r="O37" i="3"/>
  <c r="P37" i="3"/>
  <c r="Q37" i="3"/>
  <c r="S37" i="3"/>
  <c r="U37" i="3"/>
  <c r="V37" i="3"/>
  <c r="W37" i="3"/>
  <c r="X37" i="3"/>
  <c r="Z37" i="3"/>
  <c r="AB37" i="3"/>
  <c r="AC37" i="3"/>
  <c r="AD37" i="3"/>
  <c r="AE37" i="3"/>
  <c r="AG37" i="3"/>
  <c r="AI37" i="3"/>
  <c r="AJ37" i="3"/>
  <c r="AK37" i="3"/>
  <c r="AL37" i="3"/>
  <c r="AN37" i="3"/>
  <c r="AP37" i="3"/>
  <c r="AQ37" i="3"/>
  <c r="AR37" i="3"/>
  <c r="AS37" i="3"/>
  <c r="AU37" i="3"/>
  <c r="AW37" i="3"/>
  <c r="AX37" i="3"/>
  <c r="AY37" i="3"/>
  <c r="AZ37" i="3"/>
  <c r="BB37" i="3"/>
  <c r="BD37" i="3"/>
  <c r="BE37" i="3"/>
  <c r="BF37" i="3"/>
  <c r="BG37" i="3"/>
  <c r="BI37" i="3"/>
  <c r="BK37" i="3"/>
  <c r="BL37" i="3"/>
  <c r="BM37" i="3"/>
  <c r="BN37" i="3"/>
  <c r="BP37" i="3"/>
  <c r="BR37" i="3"/>
  <c r="BS37" i="3"/>
  <c r="BT37" i="3"/>
  <c r="BU37" i="3"/>
  <c r="BW37" i="3"/>
  <c r="BY37" i="3"/>
  <c r="BZ37" i="3"/>
  <c r="CA37" i="3"/>
  <c r="CB37" i="3"/>
  <c r="CD37" i="3"/>
  <c r="CH37" i="3"/>
  <c r="CI37" i="3" s="1"/>
  <c r="N38" i="3"/>
  <c r="O38" i="3"/>
  <c r="P38" i="3"/>
  <c r="Q38" i="3"/>
  <c r="S38" i="3"/>
  <c r="U38" i="3"/>
  <c r="V38" i="3"/>
  <c r="W38" i="3"/>
  <c r="X38" i="3"/>
  <c r="Z38" i="3"/>
  <c r="AB38" i="3"/>
  <c r="AC38" i="3"/>
  <c r="AD38" i="3"/>
  <c r="AE38" i="3"/>
  <c r="AG38" i="3"/>
  <c r="AI38" i="3"/>
  <c r="AJ38" i="3"/>
  <c r="AK38" i="3"/>
  <c r="AL38" i="3"/>
  <c r="AN38" i="3"/>
  <c r="AP38" i="3"/>
  <c r="AQ38" i="3"/>
  <c r="AR38" i="3"/>
  <c r="AS38" i="3"/>
  <c r="AU38" i="3"/>
  <c r="AW38" i="3"/>
  <c r="AX38" i="3"/>
  <c r="AY38" i="3"/>
  <c r="AZ38" i="3"/>
  <c r="BB38" i="3"/>
  <c r="BD38" i="3"/>
  <c r="BE38" i="3"/>
  <c r="BF38" i="3"/>
  <c r="BG38" i="3"/>
  <c r="BI38" i="3"/>
  <c r="BK38" i="3"/>
  <c r="BL38" i="3"/>
  <c r="BM38" i="3"/>
  <c r="BN38" i="3"/>
  <c r="BP38" i="3"/>
  <c r="BR38" i="3"/>
  <c r="BS38" i="3"/>
  <c r="BT38" i="3"/>
  <c r="BU38" i="3"/>
  <c r="BW38" i="3"/>
  <c r="BY38" i="3"/>
  <c r="BZ38" i="3"/>
  <c r="CA38" i="3"/>
  <c r="CB38" i="3"/>
  <c r="CD38" i="3"/>
  <c r="CH38" i="3"/>
  <c r="CJ38" i="3" s="1"/>
  <c r="N39" i="3"/>
  <c r="O39" i="3"/>
  <c r="P39" i="3"/>
  <c r="Q39" i="3"/>
  <c r="S39" i="3"/>
  <c r="U39" i="3"/>
  <c r="V39" i="3"/>
  <c r="W39" i="3"/>
  <c r="X39" i="3"/>
  <c r="Z39" i="3"/>
  <c r="AB39" i="3"/>
  <c r="AC39" i="3"/>
  <c r="AD39" i="3"/>
  <c r="AE39" i="3"/>
  <c r="AG39" i="3"/>
  <c r="AI39" i="3"/>
  <c r="AJ39" i="3"/>
  <c r="AK39" i="3"/>
  <c r="AL39" i="3"/>
  <c r="AN39" i="3"/>
  <c r="AP39" i="3"/>
  <c r="AQ39" i="3"/>
  <c r="AR39" i="3"/>
  <c r="AS39" i="3"/>
  <c r="AU39" i="3"/>
  <c r="AW39" i="3"/>
  <c r="AX39" i="3"/>
  <c r="AY39" i="3"/>
  <c r="AZ39" i="3"/>
  <c r="BB39" i="3"/>
  <c r="BD39" i="3"/>
  <c r="BE39" i="3"/>
  <c r="BF39" i="3"/>
  <c r="BG39" i="3"/>
  <c r="BI39" i="3"/>
  <c r="BK39" i="3"/>
  <c r="BL39" i="3"/>
  <c r="BM39" i="3"/>
  <c r="BN39" i="3"/>
  <c r="BP39" i="3"/>
  <c r="BR39" i="3"/>
  <c r="BS39" i="3"/>
  <c r="BT39" i="3"/>
  <c r="BU39" i="3"/>
  <c r="BW39" i="3"/>
  <c r="BY39" i="3"/>
  <c r="BZ39" i="3"/>
  <c r="CA39" i="3"/>
  <c r="CB39" i="3"/>
  <c r="CD39" i="3"/>
  <c r="CH39" i="3"/>
  <c r="C40" i="3"/>
  <c r="G40" i="3"/>
  <c r="N40" i="3"/>
  <c r="O40" i="3"/>
  <c r="P40" i="3"/>
  <c r="Q40" i="3"/>
  <c r="S40" i="3"/>
  <c r="U40" i="3"/>
  <c r="V40" i="3"/>
  <c r="W40" i="3"/>
  <c r="X40" i="3"/>
  <c r="Z40" i="3"/>
  <c r="AB40" i="3"/>
  <c r="AC40" i="3"/>
  <c r="AD40" i="3"/>
  <c r="AE40" i="3"/>
  <c r="AG40" i="3"/>
  <c r="AI40" i="3"/>
  <c r="AJ40" i="3"/>
  <c r="AK40" i="3"/>
  <c r="AL40" i="3"/>
  <c r="AN40" i="3"/>
  <c r="AP40" i="3"/>
  <c r="AQ40" i="3"/>
  <c r="AR40" i="3"/>
  <c r="AS40" i="3"/>
  <c r="AU40" i="3"/>
  <c r="AW40" i="3"/>
  <c r="AX40" i="3"/>
  <c r="AY40" i="3"/>
  <c r="AZ40" i="3"/>
  <c r="BB40" i="3"/>
  <c r="BD40" i="3"/>
  <c r="BE40" i="3"/>
  <c r="BF40" i="3"/>
  <c r="BG40" i="3"/>
  <c r="BI40" i="3"/>
  <c r="BK40" i="3"/>
  <c r="BL40" i="3"/>
  <c r="BM40" i="3"/>
  <c r="BN40" i="3"/>
  <c r="BP40" i="3"/>
  <c r="BR40" i="3"/>
  <c r="BS40" i="3"/>
  <c r="BT40" i="3"/>
  <c r="BU40" i="3"/>
  <c r="BW40" i="3"/>
  <c r="BY40" i="3"/>
  <c r="BZ40" i="3"/>
  <c r="CA40" i="3"/>
  <c r="CB40" i="3"/>
  <c r="CD40" i="3"/>
  <c r="CH40" i="3"/>
  <c r="G41" i="3"/>
  <c r="N41" i="3"/>
  <c r="O41" i="3"/>
  <c r="P41" i="3"/>
  <c r="Q41" i="3"/>
  <c r="S41" i="3"/>
  <c r="U41" i="3"/>
  <c r="V41" i="3"/>
  <c r="W41" i="3"/>
  <c r="X41" i="3"/>
  <c r="Z41" i="3"/>
  <c r="AB41" i="3"/>
  <c r="AC41" i="3"/>
  <c r="AD41" i="3"/>
  <c r="AE41" i="3"/>
  <c r="AG41" i="3"/>
  <c r="AI41" i="3"/>
  <c r="AJ41" i="3"/>
  <c r="AK41" i="3"/>
  <c r="AL41" i="3"/>
  <c r="AN41" i="3"/>
  <c r="AP41" i="3"/>
  <c r="AQ41" i="3"/>
  <c r="AR41" i="3"/>
  <c r="AS41" i="3"/>
  <c r="AU41" i="3"/>
  <c r="AW41" i="3"/>
  <c r="AX41" i="3"/>
  <c r="AY41" i="3"/>
  <c r="AZ41" i="3"/>
  <c r="BB41" i="3"/>
  <c r="BD41" i="3"/>
  <c r="BE41" i="3"/>
  <c r="BF41" i="3"/>
  <c r="BG41" i="3"/>
  <c r="BI41" i="3"/>
  <c r="BK41" i="3"/>
  <c r="BL41" i="3"/>
  <c r="BM41" i="3"/>
  <c r="BN41" i="3"/>
  <c r="BP41" i="3"/>
  <c r="BR41" i="3"/>
  <c r="BS41" i="3"/>
  <c r="BT41" i="3"/>
  <c r="BU41" i="3"/>
  <c r="BW41" i="3"/>
  <c r="BY41" i="3"/>
  <c r="BZ41" i="3"/>
  <c r="CA41" i="3"/>
  <c r="CB41" i="3"/>
  <c r="CD41" i="3"/>
  <c r="CH41" i="3"/>
  <c r="G42" i="3"/>
  <c r="N42" i="3"/>
  <c r="O42" i="3"/>
  <c r="P42" i="3"/>
  <c r="Q42" i="3"/>
  <c r="S42" i="3"/>
  <c r="U42" i="3"/>
  <c r="V42" i="3"/>
  <c r="W42" i="3"/>
  <c r="X42" i="3"/>
  <c r="Z42" i="3"/>
  <c r="AB42" i="3"/>
  <c r="AC42" i="3"/>
  <c r="AD42" i="3"/>
  <c r="AE42" i="3"/>
  <c r="AG42" i="3"/>
  <c r="AI42" i="3"/>
  <c r="AJ42" i="3"/>
  <c r="AK42" i="3"/>
  <c r="AL42" i="3"/>
  <c r="AN42" i="3"/>
  <c r="AP42" i="3"/>
  <c r="AQ42" i="3"/>
  <c r="AR42" i="3"/>
  <c r="AS42" i="3"/>
  <c r="AU42" i="3"/>
  <c r="AW42" i="3"/>
  <c r="AX42" i="3"/>
  <c r="AY42" i="3"/>
  <c r="AZ42" i="3"/>
  <c r="BB42" i="3"/>
  <c r="BD42" i="3"/>
  <c r="BE42" i="3"/>
  <c r="BF42" i="3"/>
  <c r="BG42" i="3"/>
  <c r="BI42" i="3"/>
  <c r="BK42" i="3"/>
  <c r="BL42" i="3"/>
  <c r="BM42" i="3"/>
  <c r="BN42" i="3"/>
  <c r="BP42" i="3"/>
  <c r="BR42" i="3"/>
  <c r="BS42" i="3"/>
  <c r="BT42" i="3"/>
  <c r="BU42" i="3"/>
  <c r="BW42" i="3"/>
  <c r="BY42" i="3"/>
  <c r="BZ42" i="3"/>
  <c r="CA42" i="3"/>
  <c r="CB42" i="3"/>
  <c r="CD42" i="3"/>
  <c r="CH42" i="3"/>
  <c r="CI42" i="3" s="1"/>
  <c r="G43" i="3"/>
  <c r="N43" i="3"/>
  <c r="O43" i="3"/>
  <c r="P43" i="3"/>
  <c r="Q43" i="3"/>
  <c r="S43" i="3"/>
  <c r="U43" i="3"/>
  <c r="V43" i="3"/>
  <c r="W43" i="3"/>
  <c r="X43" i="3"/>
  <c r="Z43" i="3"/>
  <c r="AB43" i="3"/>
  <c r="AC43" i="3"/>
  <c r="AD43" i="3"/>
  <c r="AE43" i="3"/>
  <c r="AG43" i="3"/>
  <c r="AI43" i="3"/>
  <c r="AJ43" i="3"/>
  <c r="AK43" i="3"/>
  <c r="AL43" i="3"/>
  <c r="AN43" i="3"/>
  <c r="AP43" i="3"/>
  <c r="AQ43" i="3"/>
  <c r="AR43" i="3"/>
  <c r="AS43" i="3"/>
  <c r="AU43" i="3"/>
  <c r="AW43" i="3"/>
  <c r="AX43" i="3"/>
  <c r="AY43" i="3"/>
  <c r="AZ43" i="3"/>
  <c r="BB43" i="3"/>
  <c r="BD43" i="3"/>
  <c r="BE43" i="3"/>
  <c r="BF43" i="3"/>
  <c r="BG43" i="3"/>
  <c r="BI43" i="3"/>
  <c r="BK43" i="3"/>
  <c r="BL43" i="3"/>
  <c r="BM43" i="3"/>
  <c r="BN43" i="3"/>
  <c r="BP43" i="3"/>
  <c r="BR43" i="3"/>
  <c r="BS43" i="3"/>
  <c r="BT43" i="3"/>
  <c r="BU43" i="3"/>
  <c r="BW43" i="3"/>
  <c r="BY43" i="3"/>
  <c r="BZ43" i="3"/>
  <c r="CA43" i="3"/>
  <c r="CB43" i="3"/>
  <c r="CD43" i="3"/>
  <c r="CH43" i="3"/>
  <c r="CM43" i="3" s="1"/>
  <c r="CL43" i="3" s="1"/>
  <c r="G44" i="3"/>
  <c r="N44" i="3"/>
  <c r="O44" i="3"/>
  <c r="P44" i="3"/>
  <c r="Q44" i="3"/>
  <c r="S44" i="3"/>
  <c r="U44" i="3"/>
  <c r="V44" i="3"/>
  <c r="W44" i="3"/>
  <c r="X44" i="3"/>
  <c r="Z44" i="3"/>
  <c r="AB44" i="3"/>
  <c r="AC44" i="3"/>
  <c r="AD44" i="3"/>
  <c r="AE44" i="3"/>
  <c r="AG44" i="3"/>
  <c r="AI44" i="3"/>
  <c r="AJ44" i="3"/>
  <c r="AK44" i="3"/>
  <c r="AL44" i="3"/>
  <c r="AN44" i="3"/>
  <c r="AP44" i="3"/>
  <c r="AQ44" i="3"/>
  <c r="AR44" i="3"/>
  <c r="AS44" i="3"/>
  <c r="AU44" i="3"/>
  <c r="AW44" i="3"/>
  <c r="AX44" i="3"/>
  <c r="AY44" i="3"/>
  <c r="AZ44" i="3"/>
  <c r="BB44" i="3"/>
  <c r="BD44" i="3"/>
  <c r="BE44" i="3"/>
  <c r="BF44" i="3"/>
  <c r="BG44" i="3"/>
  <c r="BI44" i="3"/>
  <c r="BK44" i="3"/>
  <c r="BL44" i="3"/>
  <c r="BM44" i="3"/>
  <c r="BN44" i="3"/>
  <c r="BP44" i="3"/>
  <c r="BR44" i="3"/>
  <c r="BS44" i="3"/>
  <c r="BT44" i="3"/>
  <c r="BU44" i="3"/>
  <c r="BW44" i="3"/>
  <c r="BY44" i="3"/>
  <c r="BZ44" i="3"/>
  <c r="CA44" i="3"/>
  <c r="CB44" i="3"/>
  <c r="CD44" i="3"/>
  <c r="CH44" i="3"/>
  <c r="CI44" i="3" s="1"/>
  <c r="N45" i="3"/>
  <c r="O45" i="3"/>
  <c r="P45" i="3"/>
  <c r="Q45" i="3"/>
  <c r="S45" i="3"/>
  <c r="U45" i="3"/>
  <c r="V45" i="3"/>
  <c r="W45" i="3"/>
  <c r="X45" i="3"/>
  <c r="Z45" i="3"/>
  <c r="AB45" i="3"/>
  <c r="AC45" i="3"/>
  <c r="AD45" i="3"/>
  <c r="AE45" i="3"/>
  <c r="AG45" i="3"/>
  <c r="AI45" i="3"/>
  <c r="AJ45" i="3"/>
  <c r="AK45" i="3"/>
  <c r="AL45" i="3"/>
  <c r="AN45" i="3"/>
  <c r="AP45" i="3"/>
  <c r="AQ45" i="3"/>
  <c r="AR45" i="3"/>
  <c r="AS45" i="3"/>
  <c r="AU45" i="3"/>
  <c r="AW45" i="3"/>
  <c r="AX45" i="3"/>
  <c r="AY45" i="3"/>
  <c r="AZ45" i="3"/>
  <c r="BB45" i="3"/>
  <c r="BD45" i="3"/>
  <c r="BE45" i="3"/>
  <c r="BF45" i="3"/>
  <c r="BG45" i="3"/>
  <c r="BI45" i="3"/>
  <c r="BK45" i="3"/>
  <c r="BL45" i="3"/>
  <c r="BM45" i="3"/>
  <c r="BN45" i="3"/>
  <c r="BP45" i="3"/>
  <c r="BR45" i="3"/>
  <c r="BS45" i="3"/>
  <c r="BT45" i="3"/>
  <c r="BU45" i="3"/>
  <c r="BW45" i="3"/>
  <c r="BY45" i="3"/>
  <c r="BZ45" i="3"/>
  <c r="CA45" i="3"/>
  <c r="CB45" i="3"/>
  <c r="CD45" i="3"/>
  <c r="CH45" i="3"/>
  <c r="N46" i="3"/>
  <c r="O46" i="3"/>
  <c r="P46" i="3"/>
  <c r="Q46" i="3"/>
  <c r="S46" i="3"/>
  <c r="U46" i="3"/>
  <c r="V46" i="3"/>
  <c r="W46" i="3"/>
  <c r="X46" i="3"/>
  <c r="Z46" i="3"/>
  <c r="AB46" i="3"/>
  <c r="AC46" i="3"/>
  <c r="AD46" i="3"/>
  <c r="AE46" i="3"/>
  <c r="AG46" i="3"/>
  <c r="AI46" i="3"/>
  <c r="AJ46" i="3"/>
  <c r="AK46" i="3"/>
  <c r="AL46" i="3"/>
  <c r="AN46" i="3"/>
  <c r="AP46" i="3"/>
  <c r="AQ46" i="3"/>
  <c r="AR46" i="3"/>
  <c r="AS46" i="3"/>
  <c r="AU46" i="3"/>
  <c r="AW46" i="3"/>
  <c r="AX46" i="3"/>
  <c r="AY46" i="3"/>
  <c r="AZ46" i="3"/>
  <c r="BB46" i="3"/>
  <c r="BD46" i="3"/>
  <c r="BE46" i="3"/>
  <c r="BF46" i="3"/>
  <c r="BG46" i="3"/>
  <c r="BI46" i="3"/>
  <c r="BK46" i="3"/>
  <c r="BL46" i="3"/>
  <c r="BM46" i="3"/>
  <c r="BN46" i="3"/>
  <c r="BP46" i="3"/>
  <c r="BR46" i="3"/>
  <c r="BS46" i="3"/>
  <c r="BT46" i="3"/>
  <c r="BU46" i="3"/>
  <c r="BW46" i="3"/>
  <c r="BY46" i="3"/>
  <c r="BZ46" i="3"/>
  <c r="CA46" i="3"/>
  <c r="CB46" i="3"/>
  <c r="CD46" i="3"/>
  <c r="CH46" i="3"/>
  <c r="CI46" i="3" s="1"/>
  <c r="N47" i="3"/>
  <c r="O47" i="3"/>
  <c r="P47" i="3"/>
  <c r="Q47" i="3"/>
  <c r="S47" i="3"/>
  <c r="U47" i="3"/>
  <c r="V47" i="3"/>
  <c r="W47" i="3"/>
  <c r="X47" i="3"/>
  <c r="Z47" i="3"/>
  <c r="AB47" i="3"/>
  <c r="AC47" i="3"/>
  <c r="AD47" i="3"/>
  <c r="AE47" i="3"/>
  <c r="AG47" i="3"/>
  <c r="AI47" i="3"/>
  <c r="AJ47" i="3"/>
  <c r="AK47" i="3"/>
  <c r="AL47" i="3"/>
  <c r="AN47" i="3"/>
  <c r="AP47" i="3"/>
  <c r="AQ47" i="3"/>
  <c r="AR47" i="3"/>
  <c r="AS47" i="3"/>
  <c r="AU47" i="3"/>
  <c r="AW47" i="3"/>
  <c r="AX47" i="3"/>
  <c r="AY47" i="3"/>
  <c r="AZ47" i="3"/>
  <c r="BB47" i="3"/>
  <c r="BD47" i="3"/>
  <c r="BE47" i="3"/>
  <c r="BF47" i="3"/>
  <c r="BG47" i="3"/>
  <c r="BI47" i="3"/>
  <c r="BK47" i="3"/>
  <c r="BL47" i="3"/>
  <c r="BM47" i="3"/>
  <c r="BN47" i="3"/>
  <c r="BP47" i="3"/>
  <c r="BR47" i="3"/>
  <c r="BS47" i="3"/>
  <c r="BT47" i="3"/>
  <c r="BU47" i="3"/>
  <c r="BW47" i="3"/>
  <c r="BY47" i="3"/>
  <c r="BZ47" i="3"/>
  <c r="CA47" i="3"/>
  <c r="CB47" i="3"/>
  <c r="CD47" i="3"/>
  <c r="CH47" i="3"/>
  <c r="CK47" i="3" s="1"/>
  <c r="N48" i="3"/>
  <c r="O48" i="3"/>
  <c r="P48" i="3"/>
  <c r="Q48" i="3"/>
  <c r="S48" i="3"/>
  <c r="U48" i="3"/>
  <c r="V48" i="3"/>
  <c r="W48" i="3"/>
  <c r="X48" i="3"/>
  <c r="Z48" i="3"/>
  <c r="AB48" i="3"/>
  <c r="AC48" i="3"/>
  <c r="AD48" i="3"/>
  <c r="AE48" i="3"/>
  <c r="AG48" i="3"/>
  <c r="AI48" i="3"/>
  <c r="AJ48" i="3"/>
  <c r="AK48" i="3"/>
  <c r="AL48" i="3"/>
  <c r="AN48" i="3"/>
  <c r="AP48" i="3"/>
  <c r="AQ48" i="3"/>
  <c r="AR48" i="3"/>
  <c r="AS48" i="3"/>
  <c r="AU48" i="3"/>
  <c r="AW48" i="3"/>
  <c r="AX48" i="3"/>
  <c r="AY48" i="3"/>
  <c r="AZ48" i="3"/>
  <c r="BB48" i="3"/>
  <c r="BD48" i="3"/>
  <c r="BE48" i="3"/>
  <c r="BF48" i="3"/>
  <c r="BG48" i="3"/>
  <c r="BI48" i="3"/>
  <c r="BK48" i="3"/>
  <c r="BL48" i="3"/>
  <c r="BM48" i="3"/>
  <c r="BN48" i="3"/>
  <c r="BP48" i="3"/>
  <c r="BR48" i="3"/>
  <c r="BS48" i="3"/>
  <c r="BT48" i="3"/>
  <c r="BU48" i="3"/>
  <c r="BW48" i="3"/>
  <c r="BY48" i="3"/>
  <c r="BZ48" i="3"/>
  <c r="CA48" i="3"/>
  <c r="CB48" i="3"/>
  <c r="CD48" i="3"/>
  <c r="CH48" i="3"/>
  <c r="CM48" i="3" s="1"/>
  <c r="CL48" i="3" s="1"/>
  <c r="N49" i="3"/>
  <c r="O49" i="3"/>
  <c r="P49" i="3"/>
  <c r="Q49" i="3"/>
  <c r="S49" i="3"/>
  <c r="U49" i="3"/>
  <c r="V49" i="3"/>
  <c r="W49" i="3"/>
  <c r="X49" i="3"/>
  <c r="Z49" i="3"/>
  <c r="AB49" i="3"/>
  <c r="AC49" i="3"/>
  <c r="AD49" i="3"/>
  <c r="AE49" i="3"/>
  <c r="AG49" i="3"/>
  <c r="AI49" i="3"/>
  <c r="AJ49" i="3"/>
  <c r="AK49" i="3"/>
  <c r="AL49" i="3"/>
  <c r="AN49" i="3"/>
  <c r="AP49" i="3"/>
  <c r="AQ49" i="3"/>
  <c r="AR49" i="3"/>
  <c r="AS49" i="3"/>
  <c r="AU49" i="3"/>
  <c r="AW49" i="3"/>
  <c r="AX49" i="3"/>
  <c r="AY49" i="3"/>
  <c r="AZ49" i="3"/>
  <c r="BB49" i="3"/>
  <c r="BD49" i="3"/>
  <c r="BE49" i="3"/>
  <c r="BF49" i="3"/>
  <c r="BG49" i="3"/>
  <c r="BI49" i="3"/>
  <c r="BK49" i="3"/>
  <c r="BL49" i="3"/>
  <c r="BM49" i="3"/>
  <c r="BN49" i="3"/>
  <c r="BP49" i="3"/>
  <c r="BR49" i="3"/>
  <c r="BS49" i="3"/>
  <c r="BT49" i="3"/>
  <c r="BU49" i="3"/>
  <c r="BW49" i="3"/>
  <c r="BY49" i="3"/>
  <c r="BZ49" i="3"/>
  <c r="CA49" i="3"/>
  <c r="CB49" i="3"/>
  <c r="CD49" i="3"/>
  <c r="CH49" i="3"/>
  <c r="CI49" i="3" s="1"/>
  <c r="N50" i="3"/>
  <c r="O50" i="3"/>
  <c r="P50" i="3"/>
  <c r="Q50" i="3"/>
  <c r="S50" i="3"/>
  <c r="U50" i="3"/>
  <c r="V50" i="3"/>
  <c r="W50" i="3"/>
  <c r="X50" i="3"/>
  <c r="Z50" i="3"/>
  <c r="AB50" i="3"/>
  <c r="AC50" i="3"/>
  <c r="AD50" i="3"/>
  <c r="AE50" i="3"/>
  <c r="AG50" i="3"/>
  <c r="AI50" i="3"/>
  <c r="AJ50" i="3"/>
  <c r="AK50" i="3"/>
  <c r="AL50" i="3"/>
  <c r="AN50" i="3"/>
  <c r="AP50" i="3"/>
  <c r="AQ50" i="3"/>
  <c r="AR50" i="3"/>
  <c r="AS50" i="3"/>
  <c r="AU50" i="3"/>
  <c r="AW50" i="3"/>
  <c r="AX50" i="3"/>
  <c r="AY50" i="3"/>
  <c r="AZ50" i="3"/>
  <c r="BB50" i="3"/>
  <c r="BD50" i="3"/>
  <c r="BE50" i="3"/>
  <c r="BF50" i="3"/>
  <c r="BG50" i="3"/>
  <c r="BI50" i="3"/>
  <c r="BK50" i="3"/>
  <c r="BL50" i="3"/>
  <c r="BM50" i="3"/>
  <c r="BN50" i="3"/>
  <c r="BP50" i="3"/>
  <c r="BR50" i="3"/>
  <c r="BS50" i="3"/>
  <c r="BT50" i="3"/>
  <c r="BU50" i="3"/>
  <c r="BW50" i="3"/>
  <c r="BY50" i="3"/>
  <c r="BZ50" i="3"/>
  <c r="CA50" i="3"/>
  <c r="CB50" i="3"/>
  <c r="CD50" i="3"/>
  <c r="CH50" i="3"/>
  <c r="CJ50" i="3" s="1"/>
  <c r="C51" i="3"/>
  <c r="G51" i="3"/>
  <c r="H51" i="3" s="1"/>
  <c r="N51" i="3"/>
  <c r="O51" i="3"/>
  <c r="P51" i="3"/>
  <c r="Q51" i="3"/>
  <c r="S51" i="3"/>
  <c r="U51" i="3"/>
  <c r="V51" i="3"/>
  <c r="W51" i="3"/>
  <c r="X51" i="3"/>
  <c r="Z51" i="3"/>
  <c r="AB51" i="3"/>
  <c r="AC51" i="3"/>
  <c r="AD51" i="3"/>
  <c r="AE51" i="3"/>
  <c r="AG51" i="3"/>
  <c r="AI51" i="3"/>
  <c r="AJ51" i="3"/>
  <c r="AK51" i="3"/>
  <c r="AL51" i="3"/>
  <c r="AN51" i="3"/>
  <c r="AP51" i="3"/>
  <c r="AQ51" i="3"/>
  <c r="AR51" i="3"/>
  <c r="AS51" i="3"/>
  <c r="AU51" i="3"/>
  <c r="AW51" i="3"/>
  <c r="AX51" i="3"/>
  <c r="AY51" i="3"/>
  <c r="AZ51" i="3"/>
  <c r="BB51" i="3"/>
  <c r="BD51" i="3"/>
  <c r="BE51" i="3"/>
  <c r="BF51" i="3"/>
  <c r="BG51" i="3"/>
  <c r="BI51" i="3"/>
  <c r="BK51" i="3"/>
  <c r="BL51" i="3"/>
  <c r="BM51" i="3"/>
  <c r="BN51" i="3"/>
  <c r="BP51" i="3"/>
  <c r="BR51" i="3"/>
  <c r="BS51" i="3"/>
  <c r="BT51" i="3"/>
  <c r="BU51" i="3"/>
  <c r="BW51" i="3"/>
  <c r="BY51" i="3"/>
  <c r="BZ51" i="3"/>
  <c r="CA51" i="3"/>
  <c r="CB51" i="3"/>
  <c r="CD51" i="3"/>
  <c r="CH51" i="3"/>
  <c r="CI51" i="3" s="1"/>
  <c r="G52" i="3"/>
  <c r="N52" i="3"/>
  <c r="O52" i="3"/>
  <c r="P52" i="3"/>
  <c r="Q52" i="3"/>
  <c r="S52" i="3"/>
  <c r="U52" i="3"/>
  <c r="V52" i="3"/>
  <c r="W52" i="3"/>
  <c r="X52" i="3"/>
  <c r="Z52" i="3"/>
  <c r="AB52" i="3"/>
  <c r="AC52" i="3"/>
  <c r="AD52" i="3"/>
  <c r="AE52" i="3"/>
  <c r="AG52" i="3"/>
  <c r="AI52" i="3"/>
  <c r="AJ52" i="3"/>
  <c r="AK52" i="3"/>
  <c r="AL52" i="3"/>
  <c r="AN52" i="3"/>
  <c r="AP52" i="3"/>
  <c r="AQ52" i="3"/>
  <c r="AR52" i="3"/>
  <c r="AS52" i="3"/>
  <c r="AU52" i="3"/>
  <c r="AW52" i="3"/>
  <c r="AX52" i="3"/>
  <c r="AY52" i="3"/>
  <c r="AZ52" i="3"/>
  <c r="BB52" i="3"/>
  <c r="BD52" i="3"/>
  <c r="BE52" i="3"/>
  <c r="BF52" i="3"/>
  <c r="BG52" i="3"/>
  <c r="BI52" i="3"/>
  <c r="BK52" i="3"/>
  <c r="BL52" i="3"/>
  <c r="BM52" i="3"/>
  <c r="BN52" i="3"/>
  <c r="BP52" i="3"/>
  <c r="BR52" i="3"/>
  <c r="BS52" i="3"/>
  <c r="BT52" i="3"/>
  <c r="BU52" i="3"/>
  <c r="BW52" i="3"/>
  <c r="BY52" i="3"/>
  <c r="BZ52" i="3"/>
  <c r="CA52" i="3"/>
  <c r="CB52" i="3"/>
  <c r="CD52" i="3"/>
  <c r="CH52" i="3"/>
  <c r="CJ52" i="3" s="1"/>
  <c r="G53" i="3"/>
  <c r="N53" i="3"/>
  <c r="O53" i="3"/>
  <c r="P53" i="3"/>
  <c r="Q53" i="3"/>
  <c r="S53" i="3"/>
  <c r="U53" i="3"/>
  <c r="V53" i="3"/>
  <c r="W53" i="3"/>
  <c r="X53" i="3"/>
  <c r="Z53" i="3"/>
  <c r="AB53" i="3"/>
  <c r="AC53" i="3"/>
  <c r="AD53" i="3"/>
  <c r="AE53" i="3"/>
  <c r="AG53" i="3"/>
  <c r="AI53" i="3"/>
  <c r="AJ53" i="3"/>
  <c r="AK53" i="3"/>
  <c r="AL53" i="3"/>
  <c r="AN53" i="3"/>
  <c r="AP53" i="3"/>
  <c r="AQ53" i="3"/>
  <c r="AR53" i="3"/>
  <c r="AS53" i="3"/>
  <c r="AU53" i="3"/>
  <c r="AW53" i="3"/>
  <c r="AX53" i="3"/>
  <c r="AY53" i="3"/>
  <c r="AZ53" i="3"/>
  <c r="BB53" i="3"/>
  <c r="BD53" i="3"/>
  <c r="BE53" i="3"/>
  <c r="BF53" i="3"/>
  <c r="BG53" i="3"/>
  <c r="BI53" i="3"/>
  <c r="BK53" i="3"/>
  <c r="BL53" i="3"/>
  <c r="BM53" i="3"/>
  <c r="BN53" i="3"/>
  <c r="BP53" i="3"/>
  <c r="BR53" i="3"/>
  <c r="BS53" i="3"/>
  <c r="BT53" i="3"/>
  <c r="BU53" i="3"/>
  <c r="BW53" i="3"/>
  <c r="BY53" i="3"/>
  <c r="BZ53" i="3"/>
  <c r="CA53" i="3"/>
  <c r="CB53" i="3"/>
  <c r="CD53" i="3"/>
  <c r="CH53" i="3"/>
  <c r="CI53" i="3" s="1"/>
  <c r="G54" i="3"/>
  <c r="N54" i="3"/>
  <c r="O54" i="3"/>
  <c r="P54" i="3"/>
  <c r="Q54" i="3"/>
  <c r="S54" i="3"/>
  <c r="U54" i="3"/>
  <c r="V54" i="3"/>
  <c r="W54" i="3"/>
  <c r="X54" i="3"/>
  <c r="Z54" i="3"/>
  <c r="AB54" i="3"/>
  <c r="AC54" i="3"/>
  <c r="AD54" i="3"/>
  <c r="AE54" i="3"/>
  <c r="AG54" i="3"/>
  <c r="AI54" i="3"/>
  <c r="AJ54" i="3"/>
  <c r="AK54" i="3"/>
  <c r="AL54" i="3"/>
  <c r="AN54" i="3"/>
  <c r="AP54" i="3"/>
  <c r="AQ54" i="3"/>
  <c r="AR54" i="3"/>
  <c r="AS54" i="3"/>
  <c r="AU54" i="3"/>
  <c r="AW54" i="3"/>
  <c r="AX54" i="3"/>
  <c r="AY54" i="3"/>
  <c r="AZ54" i="3"/>
  <c r="BB54" i="3"/>
  <c r="BD54" i="3"/>
  <c r="BE54" i="3"/>
  <c r="BF54" i="3"/>
  <c r="BG54" i="3"/>
  <c r="BI54" i="3"/>
  <c r="BK54" i="3"/>
  <c r="BL54" i="3"/>
  <c r="BM54" i="3"/>
  <c r="BN54" i="3"/>
  <c r="BP54" i="3"/>
  <c r="BR54" i="3"/>
  <c r="BS54" i="3"/>
  <c r="BT54" i="3"/>
  <c r="BU54" i="3"/>
  <c r="BW54" i="3"/>
  <c r="BY54" i="3"/>
  <c r="BZ54" i="3"/>
  <c r="CA54" i="3"/>
  <c r="CB54" i="3"/>
  <c r="CD54" i="3"/>
  <c r="CH54" i="3"/>
  <c r="CM54" i="3" s="1"/>
  <c r="CL54" i="3" s="1"/>
  <c r="G55" i="3"/>
  <c r="CH55" i="3"/>
  <c r="CI55" i="3" s="1"/>
  <c r="CH56" i="3"/>
  <c r="CH57" i="3"/>
  <c r="CM57" i="3" s="1"/>
  <c r="CL57" i="3" s="1"/>
  <c r="CH58" i="3"/>
  <c r="CH59" i="3"/>
  <c r="CJ59" i="3" s="1"/>
  <c r="CH60" i="3"/>
  <c r="CK60" i="3" s="1"/>
  <c r="CH61" i="3"/>
  <c r="CJ61" i="3" s="1"/>
  <c r="CH62" i="3"/>
  <c r="CH63" i="3"/>
  <c r="CH64" i="3"/>
  <c r="CJ64" i="3" s="1"/>
  <c r="CH65" i="3"/>
  <c r="CK65" i="3" s="1"/>
  <c r="CH66" i="3"/>
  <c r="CH67" i="3"/>
  <c r="CI67" i="3" s="1"/>
  <c r="CH68" i="3"/>
  <c r="CJ68" i="3" s="1"/>
  <c r="CH69" i="3"/>
  <c r="CK69" i="3" s="1"/>
  <c r="CH70" i="3"/>
  <c r="CJ70" i="3" s="1"/>
  <c r="CH71" i="3"/>
  <c r="CJ71" i="3" s="1"/>
  <c r="CH72" i="3"/>
  <c r="CI72" i="3" s="1"/>
  <c r="CH73" i="3"/>
  <c r="CI73" i="3" s="1"/>
  <c r="CM73" i="3"/>
  <c r="CL73" i="3" s="1"/>
  <c r="CH74" i="3"/>
  <c r="CH75" i="3"/>
  <c r="CI75" i="3" s="1"/>
  <c r="CH76" i="3"/>
  <c r="CM76" i="3" s="1"/>
  <c r="CL76" i="3" s="1"/>
  <c r="CH77" i="3"/>
  <c r="CM77" i="3" s="1"/>
  <c r="CL77" i="3" s="1"/>
  <c r="CH78" i="3"/>
  <c r="CH79" i="3"/>
  <c r="CH80" i="3"/>
  <c r="CJ80" i="3" s="1"/>
  <c r="CH81" i="3"/>
  <c r="CK81" i="3" s="1"/>
  <c r="CH82" i="3"/>
  <c r="CH83" i="3"/>
  <c r="CH84" i="3"/>
  <c r="CH85" i="3"/>
  <c r="CK85" i="3" s="1"/>
  <c r="CH86" i="3"/>
  <c r="CH87" i="3"/>
  <c r="CH88" i="3"/>
  <c r="CH89" i="3"/>
  <c r="CK89" i="3" s="1"/>
  <c r="CH90" i="3"/>
  <c r="CI90" i="3" s="1"/>
  <c r="CH91" i="3"/>
  <c r="CI91" i="3" s="1"/>
  <c r="CH92" i="3"/>
  <c r="CK92" i="3" s="1"/>
  <c r="CH93" i="3"/>
  <c r="CH94" i="3"/>
  <c r="CK94" i="3" s="1"/>
  <c r="CH95" i="3"/>
  <c r="CJ95" i="3" s="1"/>
  <c r="CH96" i="3"/>
  <c r="CM96" i="3" s="1"/>
  <c r="CL96" i="3" s="1"/>
  <c r="CH97" i="3"/>
  <c r="CI97" i="3" s="1"/>
  <c r="CH98" i="3"/>
  <c r="CI98" i="3" s="1"/>
  <c r="CH99" i="3"/>
  <c r="CH100" i="3"/>
  <c r="CM100" i="3" s="1"/>
  <c r="CL100" i="3" s="1"/>
  <c r="CH101" i="3"/>
  <c r="CH102" i="3"/>
  <c r="CH103" i="3"/>
  <c r="CI104" i="3"/>
  <c r="CJ104" i="3"/>
  <c r="CK104" i="3"/>
  <c r="CM104" i="3"/>
  <c r="CL104" i="3" s="1"/>
  <c r="CI105" i="3"/>
  <c r="CJ105" i="3"/>
  <c r="CK105" i="3"/>
  <c r="CM105" i="3"/>
  <c r="CL105" i="3" s="1"/>
  <c r="CH106" i="3"/>
  <c r="CK106" i="3" s="1"/>
  <c r="CH107" i="3"/>
  <c r="CK107" i="3" s="1"/>
  <c r="CH108" i="3"/>
  <c r="CK108" i="3" s="1"/>
  <c r="CH109" i="3"/>
  <c r="CM109" i="3" s="1"/>
  <c r="CL109" i="3" s="1"/>
  <c r="CH110" i="3"/>
  <c r="CJ110" i="3" s="1"/>
  <c r="CH111" i="3"/>
  <c r="CK111" i="3" s="1"/>
  <c r="CH112" i="3"/>
  <c r="CH113" i="3"/>
  <c r="CH114" i="3"/>
  <c r="CM114" i="3" s="1"/>
  <c r="CL114" i="3" s="1"/>
  <c r="CH115" i="3"/>
  <c r="CH116" i="3"/>
  <c r="CK116" i="3" s="1"/>
  <c r="CH117" i="3"/>
  <c r="CI117" i="3" s="1"/>
  <c r="CH118" i="3"/>
  <c r="CK118" i="3" s="1"/>
  <c r="CH119" i="3"/>
  <c r="CI119" i="3" s="1"/>
  <c r="CH120" i="3"/>
  <c r="CI120" i="3" s="1"/>
  <c r="CH121" i="3"/>
  <c r="CI121" i="3" s="1"/>
  <c r="CH122" i="3"/>
  <c r="CI122" i="3" s="1"/>
  <c r="CH123" i="3"/>
  <c r="CI123" i="3" s="1"/>
  <c r="CH124" i="3"/>
  <c r="CK124" i="3" s="1"/>
  <c r="CH125" i="3"/>
  <c r="CH126" i="3"/>
  <c r="CM126" i="3" s="1"/>
  <c r="CL126" i="3" s="1"/>
  <c r="CH127" i="3"/>
  <c r="CJ127" i="3" s="1"/>
  <c r="CH128" i="3"/>
  <c r="CK128" i="3" s="1"/>
  <c r="CH129" i="3"/>
  <c r="CJ129" i="3" s="1"/>
  <c r="CH130" i="3"/>
  <c r="CK130" i="3" s="1"/>
  <c r="CH131" i="3"/>
  <c r="CI131" i="3" s="1"/>
  <c r="CH132" i="3"/>
  <c r="CH133" i="3"/>
  <c r="CH134" i="3"/>
  <c r="CI134" i="3" s="1"/>
  <c r="CH135" i="3"/>
  <c r="CI135" i="3" s="1"/>
  <c r="CH136" i="3"/>
  <c r="CK136" i="3" s="1"/>
  <c r="CH137" i="3"/>
  <c r="CI137" i="3" s="1"/>
  <c r="CH138" i="3"/>
  <c r="CM138" i="3" s="1"/>
  <c r="CL138" i="3" s="1"/>
  <c r="CH139" i="3"/>
  <c r="CH140" i="3"/>
  <c r="CK140" i="3" s="1"/>
  <c r="CH141" i="3"/>
  <c r="CJ141" i="3" s="1"/>
  <c r="CH142" i="3"/>
  <c r="CJ142" i="3" s="1"/>
  <c r="CH143" i="3"/>
  <c r="CJ143" i="3" s="1"/>
  <c r="CH144" i="3"/>
  <c r="CJ144" i="3" s="1"/>
  <c r="CH145" i="3"/>
  <c r="CH146" i="3"/>
  <c r="CI146" i="3" s="1"/>
  <c r="CH147" i="3"/>
  <c r="CI147" i="3" s="1"/>
  <c r="CH148" i="3"/>
  <c r="CJ148" i="3" s="1"/>
  <c r="CH149" i="3"/>
  <c r="CI149" i="3" s="1"/>
  <c r="CH150" i="3"/>
  <c r="CM150" i="3" s="1"/>
  <c r="CL150" i="3" s="1"/>
  <c r="CH151" i="3"/>
  <c r="CH152" i="3"/>
  <c r="CI152" i="3" s="1"/>
  <c r="CH153" i="3"/>
  <c r="CM153" i="3" s="1"/>
  <c r="CL153" i="3" s="1"/>
  <c r="CH154" i="3"/>
  <c r="CI154" i="3" s="1"/>
  <c r="CH155" i="3"/>
  <c r="CI155" i="3" s="1"/>
  <c r="CH156" i="3"/>
  <c r="CH157" i="3"/>
  <c r="CH158" i="3"/>
  <c r="CI158" i="3" s="1"/>
  <c r="CH159" i="3"/>
  <c r="CH160" i="3"/>
  <c r="CM160" i="3" s="1"/>
  <c r="CL160" i="3" s="1"/>
  <c r="CH161" i="3"/>
  <c r="CH162" i="3"/>
  <c r="CJ162" i="3" s="1"/>
  <c r="CH163" i="3"/>
  <c r="CH164" i="3"/>
  <c r="CJ164" i="3" s="1"/>
  <c r="CH165" i="3"/>
  <c r="CJ165" i="3" s="1"/>
  <c r="CH166" i="3"/>
  <c r="CK166" i="3" s="1"/>
  <c r="CH167" i="3"/>
  <c r="CH168" i="3"/>
  <c r="CI168" i="3" s="1"/>
  <c r="CH169" i="3"/>
  <c r="CH170" i="3"/>
  <c r="CH171" i="3"/>
  <c r="CH172" i="3"/>
  <c r="CJ172" i="3" s="1"/>
  <c r="CH173" i="3"/>
  <c r="CH174" i="3"/>
  <c r="CM174" i="3" s="1"/>
  <c r="CL174" i="3" s="1"/>
  <c r="CH175" i="3"/>
  <c r="CM175" i="3" s="1"/>
  <c r="CL175" i="3" s="1"/>
  <c r="CH176" i="3"/>
  <c r="CH177" i="3"/>
  <c r="CI177" i="3" s="1"/>
  <c r="CH178" i="3"/>
  <c r="CI178" i="3" s="1"/>
  <c r="CH179" i="3"/>
  <c r="CM179" i="3" s="1"/>
  <c r="CL179" i="3" s="1"/>
  <c r="CH180" i="3"/>
  <c r="CM180" i="3" s="1"/>
  <c r="CL180" i="3" s="1"/>
  <c r="CH181" i="3"/>
  <c r="CH182" i="3"/>
  <c r="CH183" i="3"/>
  <c r="CI183" i="3" s="1"/>
  <c r="CH184" i="3"/>
  <c r="CI184" i="3" s="1"/>
  <c r="CH185" i="3"/>
  <c r="CI185" i="3" s="1"/>
  <c r="CJ185" i="3"/>
  <c r="CM185" i="3"/>
  <c r="CL185" i="3" s="1"/>
  <c r="CH186" i="3"/>
  <c r="CJ186" i="3" s="1"/>
  <c r="CH187" i="3"/>
  <c r="CH188" i="3"/>
  <c r="CI188" i="3" s="1"/>
  <c r="CH189" i="3"/>
  <c r="CJ189" i="3" s="1"/>
  <c r="CH190" i="3"/>
  <c r="CJ190" i="3" s="1"/>
  <c r="CH191" i="3"/>
  <c r="CJ191" i="3" s="1"/>
  <c r="CH192" i="3"/>
  <c r="CI192" i="3" s="1"/>
  <c r="CK192" i="3"/>
  <c r="CH193" i="3"/>
  <c r="CJ193" i="3" s="1"/>
  <c r="CH194" i="3"/>
  <c r="CI194" i="3" s="1"/>
  <c r="CH195" i="3"/>
  <c r="CI195" i="3" s="1"/>
  <c r="CH196" i="3"/>
  <c r="CM196" i="3" s="1"/>
  <c r="CL196" i="3" s="1"/>
  <c r="CH197" i="3"/>
  <c r="CI197" i="3" s="1"/>
  <c r="CH198" i="3"/>
  <c r="CM198" i="3" s="1"/>
  <c r="CL198" i="3" s="1"/>
  <c r="CH199" i="3"/>
  <c r="CI199" i="3" s="1"/>
  <c r="CH200" i="3"/>
  <c r="CI200" i="3" s="1"/>
  <c r="CH201" i="3"/>
  <c r="CI201" i="3" s="1"/>
  <c r="CH202" i="3"/>
  <c r="CJ202" i="3" s="1"/>
  <c r="CH203" i="3"/>
  <c r="CJ203" i="3" s="1"/>
  <c r="CH204" i="3"/>
  <c r="CM204" i="3" s="1"/>
  <c r="CL204" i="3" s="1"/>
  <c r="CH205" i="3"/>
  <c r="CI205" i="3" s="1"/>
  <c r="CH206" i="3"/>
  <c r="CM206" i="3" s="1"/>
  <c r="CL206" i="3" s="1"/>
  <c r="CH207" i="3"/>
  <c r="CI207" i="3" s="1"/>
  <c r="CH208" i="3"/>
  <c r="CI208" i="3" s="1"/>
  <c r="CH209" i="3"/>
  <c r="CI209" i="3" s="1"/>
  <c r="CH210" i="3"/>
  <c r="CH211" i="3"/>
  <c r="CI211" i="3" s="1"/>
  <c r="CH212" i="3"/>
  <c r="CM212" i="3" s="1"/>
  <c r="CL212" i="3" s="1"/>
  <c r="CH213" i="3"/>
  <c r="CI213" i="3" s="1"/>
  <c r="CH214" i="3"/>
  <c r="CH215" i="3"/>
  <c r="CM215" i="3" s="1"/>
  <c r="CL215" i="3" s="1"/>
  <c r="CH216" i="3"/>
  <c r="CI216" i="3" s="1"/>
  <c r="CH217" i="3"/>
  <c r="CI217" i="3" s="1"/>
  <c r="CH218" i="3"/>
  <c r="CK218" i="3" s="1"/>
  <c r="CH219" i="3"/>
  <c r="CI219" i="3" s="1"/>
  <c r="CH220" i="3"/>
  <c r="CM220" i="3" s="1"/>
  <c r="CL220" i="3" s="1"/>
  <c r="CH221" i="3"/>
  <c r="CI221" i="3" s="1"/>
  <c r="CH222" i="3"/>
  <c r="CH223" i="3"/>
  <c r="CI223" i="3" s="1"/>
  <c r="CH224" i="3"/>
  <c r="CI224" i="3" s="1"/>
  <c r="CH225" i="3"/>
  <c r="CI225" i="3" s="1"/>
  <c r="CH226" i="3"/>
  <c r="CK226" i="3"/>
  <c r="CH227" i="3"/>
  <c r="CK227" i="3" s="1"/>
  <c r="CH228" i="3"/>
  <c r="CM228" i="3" s="1"/>
  <c r="CL228" i="3" s="1"/>
  <c r="CH229" i="3"/>
  <c r="CI229" i="3" s="1"/>
  <c r="CH230" i="3"/>
  <c r="CH231" i="3"/>
  <c r="CI231" i="3" s="1"/>
  <c r="CH232" i="3"/>
  <c r="CI232" i="3" s="1"/>
  <c r="CH233" i="3"/>
  <c r="CM233" i="3" s="1"/>
  <c r="CL233" i="3" s="1"/>
  <c r="CH234" i="3"/>
  <c r="CJ234" i="3" s="1"/>
  <c r="CH235" i="3"/>
  <c r="CI235" i="3" s="1"/>
  <c r="CH236" i="3"/>
  <c r="CM236" i="3" s="1"/>
  <c r="CL236" i="3" s="1"/>
  <c r="CH237" i="3"/>
  <c r="CM237" i="3" s="1"/>
  <c r="CL237" i="3" s="1"/>
  <c r="CH238" i="3"/>
  <c r="CM238" i="3" s="1"/>
  <c r="CL238" i="3" s="1"/>
  <c r="CH239" i="3"/>
  <c r="CI239" i="3" s="1"/>
  <c r="CH240" i="3"/>
  <c r="CI240" i="3" s="1"/>
  <c r="CH241" i="3"/>
  <c r="CM241" i="3" s="1"/>
  <c r="CL241" i="3" s="1"/>
  <c r="CH242" i="3"/>
  <c r="CH243" i="3"/>
  <c r="CI243" i="3" s="1"/>
  <c r="CH244" i="3"/>
  <c r="CM244" i="3" s="1"/>
  <c r="CL244" i="3" s="1"/>
  <c r="CH245" i="3"/>
  <c r="CM245" i="3" s="1"/>
  <c r="CL245" i="3" s="1"/>
  <c r="CH246" i="3"/>
  <c r="CM246" i="3" s="1"/>
  <c r="CL246" i="3" s="1"/>
  <c r="CH247" i="3"/>
  <c r="CI247" i="3" s="1"/>
  <c r="CH248" i="3"/>
  <c r="CI248" i="3" s="1"/>
  <c r="CH249" i="3"/>
  <c r="CM249" i="3" s="1"/>
  <c r="CL249" i="3" s="1"/>
  <c r="CH250" i="3"/>
  <c r="CJ250" i="3" s="1"/>
  <c r="CH251" i="3"/>
  <c r="CI251" i="3" s="1"/>
  <c r="CH252" i="3"/>
  <c r="CH253" i="3"/>
  <c r="CM253" i="3" s="1"/>
  <c r="CL253" i="3" s="1"/>
  <c r="CH254" i="3"/>
  <c r="CM254" i="3" s="1"/>
  <c r="CL254" i="3" s="1"/>
  <c r="CH255" i="3"/>
  <c r="CI255" i="3" s="1"/>
  <c r="CH256" i="3"/>
  <c r="CI256" i="3" s="1"/>
  <c r="CH257" i="3"/>
  <c r="CI257" i="3" s="1"/>
  <c r="CH258" i="3"/>
  <c r="CM258" i="3" s="1"/>
  <c r="CL258" i="3" s="1"/>
  <c r="CH259" i="3"/>
  <c r="CH260" i="3"/>
  <c r="CH261" i="3"/>
  <c r="CI261" i="3" s="1"/>
  <c r="CH262" i="3"/>
  <c r="CM262" i="3" s="1"/>
  <c r="CL262" i="3" s="1"/>
  <c r="CH263" i="3"/>
  <c r="CK263" i="3" s="1"/>
  <c r="CH264" i="3"/>
  <c r="CI264" i="3" s="1"/>
  <c r="CH265" i="3"/>
  <c r="CI265" i="3" s="1"/>
  <c r="CH266" i="3"/>
  <c r="CK266" i="3" s="1"/>
  <c r="CH267" i="3"/>
  <c r="CH268" i="3"/>
  <c r="CK268" i="3" s="1"/>
  <c r="CH269" i="3"/>
  <c r="CJ269" i="3" s="1"/>
  <c r="CH270" i="3"/>
  <c r="CK270" i="3" s="1"/>
  <c r="CH271" i="3"/>
  <c r="CH272" i="3"/>
  <c r="CI272" i="3" s="1"/>
  <c r="CH273" i="3"/>
  <c r="CJ273" i="3" s="1"/>
  <c r="CH274" i="3"/>
  <c r="CI274" i="3" s="1"/>
  <c r="CH275" i="3"/>
  <c r="CM275" i="3" s="1"/>
  <c r="CL275" i="3" s="1"/>
  <c r="CH276" i="3"/>
  <c r="CK276" i="3" s="1"/>
  <c r="CH277" i="3"/>
  <c r="CI277" i="3" s="1"/>
  <c r="CH278" i="3"/>
  <c r="CJ278" i="3" s="1"/>
  <c r="CI278" i="3"/>
  <c r="CH279" i="3"/>
  <c r="CH280" i="3"/>
  <c r="CK280" i="3" s="1"/>
  <c r="CH281" i="3"/>
  <c r="CJ281" i="3" s="1"/>
  <c r="CH282" i="3"/>
  <c r="CI282" i="3" s="1"/>
  <c r="CH283" i="3"/>
  <c r="CM283" i="3" s="1"/>
  <c r="CL283" i="3" s="1"/>
  <c r="CH284" i="3"/>
  <c r="CK284" i="3" s="1"/>
  <c r="CH285" i="3"/>
  <c r="CI285" i="3" s="1"/>
  <c r="CH286" i="3"/>
  <c r="CI286" i="3" s="1"/>
  <c r="CH287" i="3"/>
  <c r="CI287" i="3" s="1"/>
  <c r="CH288" i="3"/>
  <c r="CM288" i="3" s="1"/>
  <c r="CL288" i="3" s="1"/>
  <c r="CI288" i="3"/>
  <c r="CH289" i="3"/>
  <c r="CI289" i="3" s="1"/>
  <c r="CH290" i="3"/>
  <c r="CM290" i="3" s="1"/>
  <c r="CL290" i="3" s="1"/>
  <c r="CH291" i="3"/>
  <c r="CH292" i="3"/>
  <c r="CK292" i="3" s="1"/>
  <c r="CH293" i="3"/>
  <c r="CJ293" i="3" s="1"/>
  <c r="CH294" i="3"/>
  <c r="CJ294" i="3" s="1"/>
  <c r="CH295" i="3"/>
  <c r="CH296" i="3"/>
  <c r="CM296" i="3" s="1"/>
  <c r="CL296" i="3" s="1"/>
  <c r="CH297" i="3"/>
  <c r="CJ297" i="3" s="1"/>
  <c r="CH298" i="3"/>
  <c r="CK298" i="3" s="1"/>
  <c r="CH299" i="3"/>
  <c r="CI299" i="3" s="1"/>
  <c r="CH300" i="3"/>
  <c r="CJ300" i="3" s="1"/>
  <c r="CH301" i="3"/>
  <c r="CH302" i="3"/>
  <c r="CI302" i="3" s="1"/>
  <c r="CH303" i="3"/>
  <c r="CK303" i="3" s="1"/>
  <c r="CH304" i="3"/>
  <c r="CK304" i="3" s="1"/>
  <c r="CH305" i="3"/>
  <c r="CH306" i="3"/>
  <c r="CK306" i="3" s="1"/>
  <c r="CH307" i="3"/>
  <c r="CK307" i="3" s="1"/>
  <c r="CH308" i="3"/>
  <c r="CM308" i="3" s="1"/>
  <c r="CL308" i="3" s="1"/>
  <c r="CH309" i="3"/>
  <c r="CH310" i="3"/>
  <c r="CH311" i="3"/>
  <c r="CM311" i="3" s="1"/>
  <c r="CL311" i="3" s="1"/>
  <c r="CH312" i="3"/>
  <c r="CI312" i="3" s="1"/>
  <c r="CH313" i="3"/>
  <c r="CH314" i="3"/>
  <c r="CK314" i="3" s="1"/>
  <c r="CH315" i="3"/>
  <c r="CK315" i="3" s="1"/>
  <c r="CH316" i="3"/>
  <c r="CK316" i="3" s="1"/>
  <c r="CH317" i="3"/>
  <c r="CI317" i="3" s="1"/>
  <c r="CH318" i="3"/>
  <c r="CK318" i="3" s="1"/>
  <c r="CH319" i="3"/>
  <c r="CK319" i="3" s="1"/>
  <c r="CH320" i="3"/>
  <c r="CI320" i="3" s="1"/>
  <c r="CH321" i="3"/>
  <c r="CI321" i="3" s="1"/>
  <c r="CH322" i="3"/>
  <c r="CI322" i="3" s="1"/>
  <c r="CH323" i="3"/>
  <c r="CM323" i="3" s="1"/>
  <c r="CL323" i="3" s="1"/>
  <c r="CH324" i="3"/>
  <c r="CH325" i="3"/>
  <c r="CH326" i="3"/>
  <c r="CK326" i="3" s="1"/>
  <c r="CH327" i="3"/>
  <c r="CK327" i="3" s="1"/>
  <c r="CH328" i="3"/>
  <c r="CJ328" i="3" s="1"/>
  <c r="CH329" i="3"/>
  <c r="CI329" i="3" s="1"/>
  <c r="CH330" i="3"/>
  <c r="CH331" i="3"/>
  <c r="CM331" i="3" s="1"/>
  <c r="CL331" i="3" s="1"/>
  <c r="CH332" i="3"/>
  <c r="CI332" i="3" s="1"/>
  <c r="CH333" i="3"/>
  <c r="CJ333" i="3" s="1"/>
  <c r="CH334" i="3"/>
  <c r="CI334" i="3" s="1"/>
  <c r="CH335" i="3"/>
  <c r="CJ335" i="3"/>
  <c r="CH336" i="3"/>
  <c r="CM336" i="3" s="1"/>
  <c r="CL336" i="3" s="1"/>
  <c r="CI336" i="3"/>
  <c r="CH337" i="3"/>
  <c r="CH338" i="3"/>
  <c r="CI338" i="3" s="1"/>
  <c r="CH339" i="3"/>
  <c r="CK339" i="3" s="1"/>
  <c r="CH340" i="3"/>
  <c r="CK340" i="3" s="1"/>
  <c r="CH341" i="3"/>
  <c r="CH342" i="3"/>
  <c r="CM342" i="3" s="1"/>
  <c r="CL342" i="3" s="1"/>
  <c r="CH343" i="3"/>
  <c r="CM343" i="3" s="1"/>
  <c r="CL343" i="3" s="1"/>
  <c r="CH344" i="3"/>
  <c r="CJ344" i="3" s="1"/>
  <c r="CI344" i="3"/>
  <c r="CH345" i="3"/>
  <c r="CJ345" i="3" s="1"/>
  <c r="CH346" i="3"/>
  <c r="CI346" i="3" s="1"/>
  <c r="CH347" i="3"/>
  <c r="CJ347" i="3" s="1"/>
  <c r="CH348" i="3"/>
  <c r="CI348" i="3" s="1"/>
  <c r="CH349" i="3"/>
  <c r="CJ349" i="3" s="1"/>
  <c r="CH350" i="3"/>
  <c r="CJ350" i="3" s="1"/>
  <c r="CH351" i="3"/>
  <c r="CH352" i="3"/>
  <c r="CJ352" i="3" s="1"/>
  <c r="CH353" i="3"/>
  <c r="CI353" i="3" s="1"/>
  <c r="CH354" i="3"/>
  <c r="CI354" i="3" s="1"/>
  <c r="CH355" i="3"/>
  <c r="CH356" i="3"/>
  <c r="CI356" i="3" s="1"/>
  <c r="CH357" i="3"/>
  <c r="CJ357" i="3" s="1"/>
  <c r="CH358" i="3"/>
  <c r="CI358" i="3" s="1"/>
  <c r="CH359" i="3"/>
  <c r="CI359" i="3" s="1"/>
  <c r="CH360" i="3"/>
  <c r="CM360" i="3" s="1"/>
  <c r="CL360" i="3" s="1"/>
  <c r="CH361" i="3"/>
  <c r="CI361" i="3" s="1"/>
  <c r="CH362" i="3"/>
  <c r="CJ362" i="3" s="1"/>
  <c r="CH363" i="3"/>
  <c r="CM363" i="3" s="1"/>
  <c r="CL363" i="3" s="1"/>
  <c r="CH364" i="3"/>
  <c r="CK364" i="3" s="1"/>
  <c r="CH365" i="3"/>
  <c r="CJ365" i="3" s="1"/>
  <c r="CH366" i="3"/>
  <c r="CM366" i="3" s="1"/>
  <c r="CL366" i="3" s="1"/>
  <c r="CH367" i="3"/>
  <c r="CM367" i="3" s="1"/>
  <c r="CL367" i="3" s="1"/>
  <c r="CH368" i="3"/>
  <c r="CJ368" i="3" s="1"/>
  <c r="CH369" i="3"/>
  <c r="CK369" i="3" s="1"/>
  <c r="CH370" i="3"/>
  <c r="CH371" i="3"/>
  <c r="CM371" i="3" s="1"/>
  <c r="CL371" i="3" s="1"/>
  <c r="CH372" i="3"/>
  <c r="CJ372" i="3" s="1"/>
  <c r="CH373" i="3"/>
  <c r="CI373" i="3" s="1"/>
  <c r="CH374" i="3"/>
  <c r="CJ374" i="3" s="1"/>
  <c r="CH375" i="3"/>
  <c r="CK375" i="3" s="1"/>
  <c r="CH376" i="3"/>
  <c r="CH377" i="3"/>
  <c r="CM377" i="3" s="1"/>
  <c r="CL377" i="3" s="1"/>
  <c r="CH378" i="3"/>
  <c r="CI378" i="3" s="1"/>
  <c r="CH379" i="3"/>
  <c r="CM379" i="3" s="1"/>
  <c r="CL379" i="3" s="1"/>
  <c r="CH380" i="3"/>
  <c r="CJ380" i="3"/>
  <c r="CM380" i="3"/>
  <c r="CL380" i="3" s="1"/>
  <c r="CH381" i="3"/>
  <c r="CJ381" i="3" s="1"/>
  <c r="CH382" i="3"/>
  <c r="CI382" i="3" s="1"/>
  <c r="CH383" i="3"/>
  <c r="CI383" i="3" s="1"/>
  <c r="CH384" i="3"/>
  <c r="CM384" i="3" s="1"/>
  <c r="CL384" i="3" s="1"/>
  <c r="CH385" i="3"/>
  <c r="CI385" i="3" s="1"/>
  <c r="CH386" i="3"/>
  <c r="CM386" i="3" s="1"/>
  <c r="CL386" i="3" s="1"/>
  <c r="CH387" i="3"/>
  <c r="CH388" i="3"/>
  <c r="CM388" i="3" s="1"/>
  <c r="CL388" i="3" s="1"/>
  <c r="CH389" i="3"/>
  <c r="CJ389" i="3" s="1"/>
  <c r="CH390" i="3"/>
  <c r="CH391" i="3"/>
  <c r="CI391" i="3" s="1"/>
  <c r="CH392" i="3"/>
  <c r="CH393" i="3"/>
  <c r="CK393" i="3" s="1"/>
  <c r="CH394" i="3"/>
  <c r="CI394" i="3" s="1"/>
  <c r="CH395" i="3"/>
  <c r="CJ395" i="3" s="1"/>
  <c r="CH396" i="3"/>
  <c r="CI396" i="3" s="1"/>
  <c r="CH397" i="3"/>
  <c r="CM397" i="3" s="1"/>
  <c r="CL397" i="3" s="1"/>
  <c r="CH398" i="3"/>
  <c r="CJ398" i="3" s="1"/>
  <c r="CH399" i="3"/>
  <c r="CK399" i="3" s="1"/>
  <c r="CH400" i="3"/>
  <c r="CJ400" i="3" s="1"/>
  <c r="CH401" i="3"/>
  <c r="CJ401" i="3" s="1"/>
  <c r="CH402" i="3"/>
  <c r="CK402" i="3" s="1"/>
  <c r="CH403" i="3"/>
  <c r="CM403" i="3" s="1"/>
  <c r="CL403" i="3" s="1"/>
  <c r="CH404" i="3"/>
  <c r="CH405" i="3"/>
  <c r="CJ405" i="3" s="1"/>
  <c r="CH406" i="3"/>
  <c r="CI406" i="3" s="1"/>
  <c r="CH407" i="3"/>
  <c r="CJ407" i="3" s="1"/>
  <c r="CH408" i="3"/>
  <c r="CK408" i="3" s="1"/>
  <c r="CH409" i="3"/>
  <c r="CI409" i="3" s="1"/>
  <c r="CH410" i="3"/>
  <c r="CH411" i="3"/>
  <c r="CI411" i="3" s="1"/>
  <c r="CH412" i="3"/>
  <c r="CI412" i="3" s="1"/>
  <c r="CH413" i="3"/>
  <c r="CJ413" i="3" s="1"/>
  <c r="CH414" i="3"/>
  <c r="CJ414" i="3" s="1"/>
  <c r="CH415" i="3"/>
  <c r="CI415" i="3" s="1"/>
  <c r="CH416" i="3"/>
  <c r="CI416" i="3" s="1"/>
  <c r="CH417" i="3"/>
  <c r="CI417" i="3" s="1"/>
  <c r="CH418" i="3"/>
  <c r="CK418" i="3" s="1"/>
  <c r="CH419" i="3"/>
  <c r="CH420" i="3"/>
  <c r="CI420" i="3" s="1"/>
  <c r="CH421" i="3"/>
  <c r="CJ421" i="3" s="1"/>
  <c r="CH422" i="3"/>
  <c r="CJ422" i="3" s="1"/>
  <c r="CH423" i="3"/>
  <c r="CJ423" i="3" s="1"/>
  <c r="CH424" i="3"/>
  <c r="CI424" i="3" s="1"/>
  <c r="CH425" i="3"/>
  <c r="CI425" i="3" s="1"/>
  <c r="CH426" i="3"/>
  <c r="CI426" i="3" s="1"/>
  <c r="CH427" i="3"/>
  <c r="CM427" i="3" s="1"/>
  <c r="CL427" i="3" s="1"/>
  <c r="CH428" i="3"/>
  <c r="CH429" i="3"/>
  <c r="CI429" i="3" s="1"/>
  <c r="CH430" i="3"/>
  <c r="CM430" i="3" s="1"/>
  <c r="CL430" i="3" s="1"/>
  <c r="CH431" i="3"/>
  <c r="CI431" i="3" s="1"/>
  <c r="CH432" i="3"/>
  <c r="CI432" i="3" s="1"/>
  <c r="CH433" i="3"/>
  <c r="CM433" i="3" s="1"/>
  <c r="CL433" i="3" s="1"/>
  <c r="CH434" i="3"/>
  <c r="CJ434" i="3" s="1"/>
  <c r="CH435" i="3"/>
  <c r="CI435" i="3" s="1"/>
  <c r="CH436" i="3"/>
  <c r="CM436" i="3" s="1"/>
  <c r="CL436" i="3" s="1"/>
  <c r="CH437" i="3"/>
  <c r="CJ437" i="3" s="1"/>
  <c r="CH438" i="3"/>
  <c r="CM438" i="3" s="1"/>
  <c r="CL438" i="3" s="1"/>
  <c r="CH439" i="3"/>
  <c r="CI439" i="3" s="1"/>
  <c r="CH440" i="3"/>
  <c r="CI440" i="3" s="1"/>
  <c r="CH441" i="3"/>
  <c r="CJ441" i="3" s="1"/>
  <c r="CH442" i="3"/>
  <c r="CI442" i="3" s="1"/>
  <c r="CH443" i="3"/>
  <c r="CM443" i="3" s="1"/>
  <c r="CL443" i="3" s="1"/>
  <c r="CH444" i="3"/>
  <c r="CI444" i="3" s="1"/>
  <c r="CH445" i="3"/>
  <c r="CM445" i="3" s="1"/>
  <c r="CL445" i="3" s="1"/>
  <c r="CH446" i="3"/>
  <c r="CI446" i="3" s="1"/>
  <c r="CH447" i="3"/>
  <c r="CM447" i="3" s="1"/>
  <c r="CL447" i="3" s="1"/>
  <c r="CH448" i="3"/>
  <c r="CI448" i="3" s="1"/>
  <c r="CH449" i="3"/>
  <c r="CM449" i="3" s="1"/>
  <c r="CL449" i="3" s="1"/>
  <c r="CH450" i="3"/>
  <c r="CI450" i="3" s="1"/>
  <c r="CJ450" i="3"/>
  <c r="CH451" i="3"/>
  <c r="CM451" i="3" s="1"/>
  <c r="CL451" i="3" s="1"/>
  <c r="CH452" i="3"/>
  <c r="CI452" i="3" s="1"/>
  <c r="CH453" i="3"/>
  <c r="CM453" i="3" s="1"/>
  <c r="CL453" i="3" s="1"/>
  <c r="CH454" i="3"/>
  <c r="CI454" i="3" s="1"/>
  <c r="CH455" i="3"/>
  <c r="CM455" i="3" s="1"/>
  <c r="CL455" i="3" s="1"/>
  <c r="CH456" i="3"/>
  <c r="CI456" i="3" s="1"/>
  <c r="CK456" i="3"/>
  <c r="CH457" i="3"/>
  <c r="CH458" i="3"/>
  <c r="CI458" i="3" s="1"/>
  <c r="CH459" i="3"/>
  <c r="CM459" i="3" s="1"/>
  <c r="CL459" i="3" s="1"/>
  <c r="CH460" i="3"/>
  <c r="CI460" i="3" s="1"/>
  <c r="CH461" i="3"/>
  <c r="CM461" i="3" s="1"/>
  <c r="CL461" i="3" s="1"/>
  <c r="CH462" i="3"/>
  <c r="CI462" i="3" s="1"/>
  <c r="CH463" i="3"/>
  <c r="CM463" i="3" s="1"/>
  <c r="CL463" i="3" s="1"/>
  <c r="CH464" i="3"/>
  <c r="CI464" i="3" s="1"/>
  <c r="CH465" i="3"/>
  <c r="CM465" i="3" s="1"/>
  <c r="CL465" i="3" s="1"/>
  <c r="CH466" i="3"/>
  <c r="CI466" i="3" s="1"/>
  <c r="CH467" i="3"/>
  <c r="CM467" i="3" s="1"/>
  <c r="CL467" i="3" s="1"/>
  <c r="CH468" i="3"/>
  <c r="CI468" i="3" s="1"/>
  <c r="CH469" i="3"/>
  <c r="CM469" i="3" s="1"/>
  <c r="CL469" i="3" s="1"/>
  <c r="CH470" i="3"/>
  <c r="CI470" i="3" s="1"/>
  <c r="CH471" i="3"/>
  <c r="CJ471" i="3" s="1"/>
  <c r="CH472" i="3"/>
  <c r="CI472" i="3" s="1"/>
  <c r="CH473" i="3"/>
  <c r="CM473" i="3" s="1"/>
  <c r="CL473" i="3" s="1"/>
  <c r="CH474" i="3"/>
  <c r="CI474" i="3" s="1"/>
  <c r="CH475" i="3"/>
  <c r="CM475" i="3" s="1"/>
  <c r="CL475" i="3" s="1"/>
  <c r="CH476" i="3"/>
  <c r="CI476" i="3" s="1"/>
  <c r="CH477" i="3"/>
  <c r="CJ477" i="3" s="1"/>
  <c r="CH478" i="3"/>
  <c r="CI478" i="3" s="1"/>
  <c r="CH479" i="3"/>
  <c r="CM479" i="3" s="1"/>
  <c r="CL479" i="3" s="1"/>
  <c r="CH480" i="3"/>
  <c r="CI480" i="3" s="1"/>
  <c r="CH481" i="3"/>
  <c r="CM481" i="3" s="1"/>
  <c r="CL481" i="3" s="1"/>
  <c r="CH482" i="3"/>
  <c r="CI482" i="3" s="1"/>
  <c r="CH483" i="3"/>
  <c r="CJ483" i="3" s="1"/>
  <c r="CH484" i="3"/>
  <c r="CI484" i="3" s="1"/>
  <c r="CH485" i="3"/>
  <c r="CM485" i="3" s="1"/>
  <c r="CL485" i="3" s="1"/>
  <c r="CJ485" i="3"/>
  <c r="CH486" i="3"/>
  <c r="CI486" i="3" s="1"/>
  <c r="CH487" i="3"/>
  <c r="CM487" i="3" s="1"/>
  <c r="CL487" i="3" s="1"/>
  <c r="CH488" i="3"/>
  <c r="CI488" i="3" s="1"/>
  <c r="CH489" i="3"/>
  <c r="CJ489" i="3" s="1"/>
  <c r="CH490" i="3"/>
  <c r="CI490" i="3" s="1"/>
  <c r="CH491" i="3"/>
  <c r="CM491" i="3" s="1"/>
  <c r="CL491" i="3" s="1"/>
  <c r="CH492" i="3"/>
  <c r="CI492" i="3" s="1"/>
  <c r="CH493" i="3"/>
  <c r="CM493" i="3" s="1"/>
  <c r="CL493" i="3" s="1"/>
  <c r="CH494" i="3"/>
  <c r="CI494" i="3" s="1"/>
  <c r="CH495" i="3"/>
  <c r="CJ495" i="3" s="1"/>
  <c r="CH496" i="3"/>
  <c r="CI496" i="3" s="1"/>
  <c r="CH497" i="3"/>
  <c r="CM497" i="3" s="1"/>
  <c r="CL497" i="3" s="1"/>
  <c r="CH498" i="3"/>
  <c r="CI498" i="3" s="1"/>
  <c r="CH499" i="3"/>
  <c r="CM499" i="3" s="1"/>
  <c r="CL499" i="3" s="1"/>
  <c r="CH500" i="3"/>
  <c r="CI500" i="3" s="1"/>
  <c r="CH501" i="3"/>
  <c r="CJ501" i="3" s="1"/>
  <c r="CH502" i="3"/>
  <c r="CI502" i="3" s="1"/>
  <c r="CH503" i="3"/>
  <c r="CM503" i="3" s="1"/>
  <c r="CL503" i="3" s="1"/>
  <c r="CJ503" i="3"/>
  <c r="CH504" i="3"/>
  <c r="CI504" i="3" s="1"/>
  <c r="CH505" i="3"/>
  <c r="CM505" i="3" s="1"/>
  <c r="CL505" i="3" s="1"/>
  <c r="CH506" i="3"/>
  <c r="CI506" i="3" s="1"/>
  <c r="L4" i="2"/>
  <c r="I5" i="2"/>
  <c r="I8" i="2"/>
  <c r="D64" i="5" s="1"/>
  <c r="I9" i="2"/>
  <c r="I10" i="2"/>
  <c r="I13" i="2"/>
  <c r="D56" i="9" s="1"/>
  <c r="I14" i="2"/>
  <c r="I15" i="2"/>
  <c r="I18" i="2"/>
  <c r="J55" i="9" s="1"/>
  <c r="CK401" i="3" l="1"/>
  <c r="CJ119" i="3"/>
  <c r="CM408" i="3"/>
  <c r="CL408" i="3" s="1"/>
  <c r="CJ472" i="3"/>
  <c r="CM348" i="3"/>
  <c r="CL348" i="3" s="1"/>
  <c r="CM338" i="3"/>
  <c r="CL338" i="3" s="1"/>
  <c r="CJ180" i="3"/>
  <c r="CJ94" i="3"/>
  <c r="CM50" i="3"/>
  <c r="CL50" i="3" s="1"/>
  <c r="CK144" i="3"/>
  <c r="CK209" i="3"/>
  <c r="CM26" i="3"/>
  <c r="CL26" i="3" s="1"/>
  <c r="CK388" i="3"/>
  <c r="CM131" i="3"/>
  <c r="CL131" i="3" s="1"/>
  <c r="CM420" i="3"/>
  <c r="CL420" i="3" s="1"/>
  <c r="CI388" i="3"/>
  <c r="CK238" i="3"/>
  <c r="CM184" i="3"/>
  <c r="CL184" i="3" s="1"/>
  <c r="CJ131" i="3"/>
  <c r="CK121" i="3"/>
  <c r="CM25" i="3"/>
  <c r="CL25" i="3" s="1"/>
  <c r="CJ452" i="3"/>
  <c r="CJ257" i="3"/>
  <c r="CM247" i="3"/>
  <c r="CL247" i="3" s="1"/>
  <c r="CJ149" i="3"/>
  <c r="CK91" i="3"/>
  <c r="CM470" i="3"/>
  <c r="CL470" i="3" s="1"/>
  <c r="CK385" i="3"/>
  <c r="CM128" i="3"/>
  <c r="CL128" i="3" s="1"/>
  <c r="CK490" i="3"/>
  <c r="CK470" i="3"/>
  <c r="CJ287" i="3"/>
  <c r="CK255" i="3"/>
  <c r="CM319" i="3"/>
  <c r="CL319" i="3" s="1"/>
  <c r="CI308" i="3"/>
  <c r="CK423" i="3"/>
  <c r="CJ342" i="3"/>
  <c r="CJ179" i="3"/>
  <c r="CK117" i="3"/>
  <c r="CK25" i="3"/>
  <c r="CK5" i="3"/>
  <c r="CT5" i="3" s="1"/>
  <c r="J19" i="10"/>
  <c r="K19" i="10" s="1"/>
  <c r="CM472" i="3"/>
  <c r="CL472" i="3" s="1"/>
  <c r="CM464" i="3"/>
  <c r="CL464" i="3" s="1"/>
  <c r="CM391" i="3"/>
  <c r="CL391" i="3" s="1"/>
  <c r="CM349" i="3"/>
  <c r="CL349" i="3" s="1"/>
  <c r="CM239" i="3"/>
  <c r="CL239" i="3" s="1"/>
  <c r="CK229" i="3"/>
  <c r="CK32" i="3"/>
  <c r="CK17" i="3"/>
  <c r="CJ255" i="3"/>
  <c r="CI202" i="3"/>
  <c r="CM31" i="3"/>
  <c r="CL31" i="3" s="1"/>
  <c r="CJ438" i="3"/>
  <c r="CK406" i="3"/>
  <c r="CK344" i="3"/>
  <c r="CK336" i="3"/>
  <c r="CI306" i="3"/>
  <c r="CM8" i="3"/>
  <c r="CL8" i="3" s="1"/>
  <c r="CJ366" i="3"/>
  <c r="CK215" i="3"/>
  <c r="CM411" i="3"/>
  <c r="CL411" i="3" s="1"/>
  <c r="CK411" i="3"/>
  <c r="CK363" i="3"/>
  <c r="CJ211" i="3"/>
  <c r="CJ409" i="3"/>
  <c r="CJ270" i="3"/>
  <c r="CJ219" i="3"/>
  <c r="CK468" i="3"/>
  <c r="CJ454" i="3"/>
  <c r="CJ446" i="3"/>
  <c r="CJ436" i="3"/>
  <c r="CK403" i="3"/>
  <c r="CJ378" i="3"/>
  <c r="CK160" i="3"/>
  <c r="CM42" i="3"/>
  <c r="CL42" i="3" s="1"/>
  <c r="CM20" i="3"/>
  <c r="CL20" i="3" s="1"/>
  <c r="CM272" i="3"/>
  <c r="CL272" i="3" s="1"/>
  <c r="CM201" i="3"/>
  <c r="CL201" i="3" s="1"/>
  <c r="CM168" i="3"/>
  <c r="CL168" i="3" s="1"/>
  <c r="CJ160" i="3"/>
  <c r="CK42" i="3"/>
  <c r="CK20" i="3"/>
  <c r="CK377" i="3"/>
  <c r="CM368" i="3"/>
  <c r="CL368" i="3" s="1"/>
  <c r="CJ306" i="3"/>
  <c r="CK278" i="3"/>
  <c r="CM209" i="3"/>
  <c r="CL209" i="3" s="1"/>
  <c r="CJ201" i="3"/>
  <c r="CM192" i="3"/>
  <c r="CL192" i="3" s="1"/>
  <c r="CJ178" i="3"/>
  <c r="CK168" i="3"/>
  <c r="CI160" i="3"/>
  <c r="CI142" i="3"/>
  <c r="CI124" i="3"/>
  <c r="CM117" i="3"/>
  <c r="CL117" i="3" s="1"/>
  <c r="CM71" i="3"/>
  <c r="CL71" i="3" s="1"/>
  <c r="CJ42" i="3"/>
  <c r="AC56" i="4"/>
  <c r="CM412" i="3"/>
  <c r="CL412" i="3" s="1"/>
  <c r="CJ408" i="3"/>
  <c r="CJ391" i="3"/>
  <c r="CK383" i="3"/>
  <c r="CK348" i="3"/>
  <c r="CI342" i="3"/>
  <c r="CJ192" i="3"/>
  <c r="CJ184" i="3"/>
  <c r="CK131" i="3"/>
  <c r="CM123" i="3"/>
  <c r="CL123" i="3" s="1"/>
  <c r="CJ117" i="3"/>
  <c r="CK100" i="3"/>
  <c r="CM70" i="3"/>
  <c r="CL70" i="3" s="1"/>
  <c r="CI25" i="3"/>
  <c r="G23" i="3"/>
  <c r="CK458" i="3"/>
  <c r="CK199" i="3"/>
  <c r="CK53" i="3"/>
  <c r="CK412" i="3"/>
  <c r="CJ348" i="3"/>
  <c r="CJ499" i="3"/>
  <c r="CJ481" i="3"/>
  <c r="CJ458" i="3"/>
  <c r="CK450" i="3"/>
  <c r="CK431" i="3"/>
  <c r="CJ412" i="3"/>
  <c r="CJ276" i="3"/>
  <c r="CJ251" i="3"/>
  <c r="CJ199" i="3"/>
  <c r="CJ506" i="3"/>
  <c r="CJ488" i="3"/>
  <c r="CJ464" i="3"/>
  <c r="CI372" i="3"/>
  <c r="CK353" i="3"/>
  <c r="CK331" i="3"/>
  <c r="CJ321" i="3"/>
  <c r="CJ155" i="3"/>
  <c r="CJ137" i="3"/>
  <c r="CJ67" i="3"/>
  <c r="CJ10" i="3"/>
  <c r="CJ505" i="3"/>
  <c r="CJ496" i="3"/>
  <c r="CJ487" i="3"/>
  <c r="CJ411" i="3"/>
  <c r="CM395" i="3"/>
  <c r="CL395" i="3" s="1"/>
  <c r="CJ371" i="3"/>
  <c r="CJ239" i="3"/>
  <c r="CM229" i="3"/>
  <c r="CL229" i="3" s="1"/>
  <c r="CK211" i="3"/>
  <c r="CI180" i="3"/>
  <c r="CJ154" i="3"/>
  <c r="CM119" i="3"/>
  <c r="CL119" i="3" s="1"/>
  <c r="CI31" i="3"/>
  <c r="CI5" i="3"/>
  <c r="CP5" i="3" s="1"/>
  <c r="T22" i="10"/>
  <c r="H55" i="3"/>
  <c r="CK265" i="3"/>
  <c r="CK258" i="3"/>
  <c r="CK207" i="3"/>
  <c r="CJ497" i="3"/>
  <c r="CJ484" i="3"/>
  <c r="CM468" i="3"/>
  <c r="CL468" i="3" s="1"/>
  <c r="CK464" i="3"/>
  <c r="CJ460" i="3"/>
  <c r="CM440" i="3"/>
  <c r="CL440" i="3" s="1"/>
  <c r="CK426" i="3"/>
  <c r="CK409" i="3"/>
  <c r="CK397" i="3"/>
  <c r="CI384" i="3"/>
  <c r="CK378" i="3"/>
  <c r="CM372" i="3"/>
  <c r="CL372" i="3" s="1"/>
  <c r="CJ361" i="3"/>
  <c r="CM344" i="3"/>
  <c r="CL344" i="3" s="1"/>
  <c r="CJ340" i="3"/>
  <c r="CJ329" i="3"/>
  <c r="CK321" i="3"/>
  <c r="CI318" i="3"/>
  <c r="CJ296" i="3"/>
  <c r="CM282" i="3"/>
  <c r="CL282" i="3" s="1"/>
  <c r="CM270" i="3"/>
  <c r="CL270" i="3" s="1"/>
  <c r="CJ265" i="3"/>
  <c r="CJ258" i="3"/>
  <c r="CJ231" i="3"/>
  <c r="CK225" i="3"/>
  <c r="CK213" i="3"/>
  <c r="CJ207" i="3"/>
  <c r="CK184" i="3"/>
  <c r="CK142" i="3"/>
  <c r="CM135" i="3"/>
  <c r="CL135" i="3" s="1"/>
  <c r="CI130" i="3"/>
  <c r="CI118" i="3"/>
  <c r="CM106" i="3"/>
  <c r="CL106" i="3" s="1"/>
  <c r="CM94" i="3"/>
  <c r="CL94" i="3" s="1"/>
  <c r="H53" i="3"/>
  <c r="CK37" i="3"/>
  <c r="D55" i="9"/>
  <c r="D65" i="13"/>
  <c r="CM354" i="3"/>
  <c r="CL354" i="3" s="1"/>
  <c r="CM496" i="3"/>
  <c r="CL496" i="3" s="1"/>
  <c r="CK488" i="3"/>
  <c r="CJ473" i="3"/>
  <c r="CJ468" i="3"/>
  <c r="CM452" i="3"/>
  <c r="CL452" i="3" s="1"/>
  <c r="CM446" i="3"/>
  <c r="CL446" i="3" s="1"/>
  <c r="CJ425" i="3"/>
  <c r="CK420" i="3"/>
  <c r="CJ388" i="3"/>
  <c r="CM383" i="3"/>
  <c r="CL383" i="3" s="1"/>
  <c r="CJ360" i="3"/>
  <c r="CK354" i="3"/>
  <c r="CK317" i="3"/>
  <c r="CK302" i="3"/>
  <c r="CI270" i="3"/>
  <c r="CK257" i="3"/>
  <c r="CM217" i="3"/>
  <c r="CL217" i="3" s="1"/>
  <c r="CK206" i="3"/>
  <c r="CK147" i="3"/>
  <c r="CJ134" i="3"/>
  <c r="CI94" i="3"/>
  <c r="CI50" i="3"/>
  <c r="CJ34" i="3"/>
  <c r="CJ32" i="3"/>
  <c r="CM21" i="3"/>
  <c r="CL21" i="3" s="1"/>
  <c r="CJ8" i="3"/>
  <c r="CK217" i="3"/>
  <c r="CM194" i="3"/>
  <c r="CL194" i="3" s="1"/>
  <c r="CJ147" i="3"/>
  <c r="CK76" i="3"/>
  <c r="CI34" i="3"/>
  <c r="CJ21" i="3"/>
  <c r="CJ11" i="3"/>
  <c r="CI8" i="3"/>
  <c r="D65" i="7"/>
  <c r="D41" i="8"/>
  <c r="J64" i="13"/>
  <c r="CM320" i="3"/>
  <c r="CL320" i="3" s="1"/>
  <c r="CM424" i="3"/>
  <c r="CL424" i="3" s="1"/>
  <c r="CM364" i="3"/>
  <c r="CL364" i="3" s="1"/>
  <c r="CK320" i="3"/>
  <c r="CM36" i="3"/>
  <c r="CL36" i="3" s="1"/>
  <c r="D64" i="13"/>
  <c r="CM332" i="3"/>
  <c r="CL332" i="3" s="1"/>
  <c r="CM205" i="3"/>
  <c r="CL205" i="3" s="1"/>
  <c r="CM186" i="3"/>
  <c r="CL186" i="3" s="1"/>
  <c r="CK462" i="3"/>
  <c r="CM437" i="3"/>
  <c r="CL437" i="3" s="1"/>
  <c r="CK424" i="3"/>
  <c r="CI408" i="3"/>
  <c r="CJ364" i="3"/>
  <c r="CK358" i="3"/>
  <c r="CK343" i="3"/>
  <c r="CK332" i="3"/>
  <c r="CJ320" i="3"/>
  <c r="CK300" i="3"/>
  <c r="CM285" i="3"/>
  <c r="CL285" i="3" s="1"/>
  <c r="CM273" i="3"/>
  <c r="CL273" i="3" s="1"/>
  <c r="CK262" i="3"/>
  <c r="CK205" i="3"/>
  <c r="CK193" i="3"/>
  <c r="CK186" i="3"/>
  <c r="CM146" i="3"/>
  <c r="CL146" i="3" s="1"/>
  <c r="CJ128" i="3"/>
  <c r="CJ121" i="3"/>
  <c r="CM108" i="3"/>
  <c r="CL108" i="3" s="1"/>
  <c r="CM97" i="3"/>
  <c r="CL97" i="3" s="1"/>
  <c r="CJ92" i="3"/>
  <c r="CK75" i="3"/>
  <c r="CM68" i="3"/>
  <c r="CL68" i="3" s="1"/>
  <c r="CM60" i="3"/>
  <c r="CL60" i="3" s="1"/>
  <c r="CK43" i="3"/>
  <c r="CJ36" i="3"/>
  <c r="CK30" i="3"/>
  <c r="CM18" i="3"/>
  <c r="CL18" i="3" s="1"/>
  <c r="X7" i="4"/>
  <c r="D65" i="5"/>
  <c r="J64" i="7"/>
  <c r="J40" i="8"/>
  <c r="CJ494" i="3"/>
  <c r="CK466" i="3"/>
  <c r="CJ462" i="3"/>
  <c r="CM450" i="3"/>
  <c r="CL450" i="3" s="1"/>
  <c r="CM444" i="3"/>
  <c r="CL444" i="3" s="1"/>
  <c r="CM429" i="3"/>
  <c r="CL429" i="3" s="1"/>
  <c r="CJ424" i="3"/>
  <c r="CK386" i="3"/>
  <c r="CI364" i="3"/>
  <c r="CM352" i="3"/>
  <c r="CL352" i="3" s="1"/>
  <c r="CJ332" i="3"/>
  <c r="CM314" i="3"/>
  <c r="CL314" i="3" s="1"/>
  <c r="CM306" i="3"/>
  <c r="CL306" i="3" s="1"/>
  <c r="CK285" i="3"/>
  <c r="CM278" i="3"/>
  <c r="CL278" i="3" s="1"/>
  <c r="CM255" i="3"/>
  <c r="CL255" i="3" s="1"/>
  <c r="CJ235" i="3"/>
  <c r="CM221" i="3"/>
  <c r="CL221" i="3" s="1"/>
  <c r="CJ205" i="3"/>
  <c r="CI186" i="3"/>
  <c r="CK146" i="3"/>
  <c r="CK138" i="3"/>
  <c r="CM116" i="3"/>
  <c r="CL116" i="3" s="1"/>
  <c r="CJ108" i="3"/>
  <c r="CK97" i="3"/>
  <c r="CI92" i="3"/>
  <c r="H54" i="3"/>
  <c r="CJ46" i="3"/>
  <c r="CI43" i="3"/>
  <c r="CM38" i="3"/>
  <c r="CL38" i="3" s="1"/>
  <c r="CI36" i="3"/>
  <c r="CJ18" i="3"/>
  <c r="CK9" i="3"/>
  <c r="X6" i="4"/>
  <c r="D64" i="7"/>
  <c r="D40" i="8"/>
  <c r="CJ466" i="3"/>
  <c r="CK444" i="3"/>
  <c r="CJ429" i="3"/>
  <c r="CJ417" i="3"/>
  <c r="CM400" i="3"/>
  <c r="CL400" i="3" s="1"/>
  <c r="CK352" i="3"/>
  <c r="CJ299" i="3"/>
  <c r="CI290" i="3"/>
  <c r="CJ285" i="3"/>
  <c r="CK261" i="3"/>
  <c r="CJ227" i="3"/>
  <c r="CK221" i="3"/>
  <c r="CJ116" i="3"/>
  <c r="CI108" i="3"/>
  <c r="CJ97" i="3"/>
  <c r="CK38" i="3"/>
  <c r="CM33" i="3"/>
  <c r="CL33" i="3" s="1"/>
  <c r="CI18" i="3"/>
  <c r="X5" i="4"/>
  <c r="J64" i="5"/>
  <c r="CK373" i="3"/>
  <c r="CM356" i="3"/>
  <c r="CL356" i="3" s="1"/>
  <c r="CK345" i="3"/>
  <c r="CK247" i="3"/>
  <c r="CM203" i="3"/>
  <c r="CL203" i="3" s="1"/>
  <c r="CM172" i="3"/>
  <c r="CL172" i="3" s="1"/>
  <c r="CM149" i="3"/>
  <c r="CL149" i="3" s="1"/>
  <c r="CJ107" i="3"/>
  <c r="CJ91" i="3"/>
  <c r="CK57" i="3"/>
  <c r="CJ48" i="3"/>
  <c r="CK31" i="3"/>
  <c r="CJ20" i="3"/>
  <c r="CK14" i="3"/>
  <c r="CK506" i="3"/>
  <c r="CM484" i="3"/>
  <c r="CL484" i="3" s="1"/>
  <c r="CJ476" i="3"/>
  <c r="CM460" i="3"/>
  <c r="CL460" i="3" s="1"/>
  <c r="CK427" i="3"/>
  <c r="CI422" i="3"/>
  <c r="CK398" i="3"/>
  <c r="CK384" i="3"/>
  <c r="CK379" i="3"/>
  <c r="CJ373" i="3"/>
  <c r="CK367" i="3"/>
  <c r="CM362" i="3"/>
  <c r="CL362" i="3" s="1"/>
  <c r="CJ356" i="3"/>
  <c r="CK322" i="3"/>
  <c r="CM318" i="3"/>
  <c r="CL318" i="3" s="1"/>
  <c r="CJ312" i="3"/>
  <c r="CM297" i="3"/>
  <c r="CL297" i="3" s="1"/>
  <c r="CJ288" i="3"/>
  <c r="CM265" i="3"/>
  <c r="CL265" i="3" s="1"/>
  <c r="CK254" i="3"/>
  <c r="CJ247" i="3"/>
  <c r="CK239" i="3"/>
  <c r="CK219" i="3"/>
  <c r="CI172" i="3"/>
  <c r="CK155" i="3"/>
  <c r="CK149" i="3"/>
  <c r="CI136" i="3"/>
  <c r="CJ124" i="3"/>
  <c r="CI107" i="3"/>
  <c r="CM95" i="3"/>
  <c r="CL95" i="3" s="1"/>
  <c r="CI48" i="3"/>
  <c r="CJ35" i="3"/>
  <c r="CJ14" i="3"/>
  <c r="T99" i="10"/>
  <c r="CK484" i="3"/>
  <c r="CK460" i="3"/>
  <c r="CJ384" i="3"/>
  <c r="CJ318" i="3"/>
  <c r="CM231" i="3"/>
  <c r="CL231" i="3" s="1"/>
  <c r="CM225" i="3"/>
  <c r="CL225" i="3" s="1"/>
  <c r="CM213" i="3"/>
  <c r="CL213" i="3" s="1"/>
  <c r="CM130" i="3"/>
  <c r="CL130" i="3" s="1"/>
  <c r="CM118" i="3"/>
  <c r="CL118" i="3" s="1"/>
  <c r="CM37" i="3"/>
  <c r="CL37" i="3" s="1"/>
  <c r="CM214" i="3"/>
  <c r="CL214" i="3" s="1"/>
  <c r="CK214" i="3"/>
  <c r="CI171" i="3"/>
  <c r="CJ171" i="3"/>
  <c r="CM171" i="3"/>
  <c r="CL171" i="3" s="1"/>
  <c r="CK113" i="3"/>
  <c r="CJ113" i="3"/>
  <c r="CK101" i="3"/>
  <c r="CM101" i="3"/>
  <c r="CL101" i="3" s="1"/>
  <c r="CK23" i="3"/>
  <c r="CM23" i="3"/>
  <c r="CL23" i="3" s="1"/>
  <c r="CI23" i="3"/>
  <c r="CJ428" i="3"/>
  <c r="CI428" i="3"/>
  <c r="CI330" i="3"/>
  <c r="CM330" i="3"/>
  <c r="CL330" i="3" s="1"/>
  <c r="CM324" i="3"/>
  <c r="CL324" i="3" s="1"/>
  <c r="CK324" i="3"/>
  <c r="CM242" i="3"/>
  <c r="CL242" i="3" s="1"/>
  <c r="CK242" i="3"/>
  <c r="CK74" i="3"/>
  <c r="CM74" i="3"/>
  <c r="CL74" i="3" s="1"/>
  <c r="CI74" i="3"/>
  <c r="CK482" i="3"/>
  <c r="CM454" i="3"/>
  <c r="CL454" i="3" s="1"/>
  <c r="CI418" i="3"/>
  <c r="CJ418" i="3"/>
  <c r="CI413" i="3"/>
  <c r="CM413" i="3"/>
  <c r="CL413" i="3" s="1"/>
  <c r="CI333" i="3"/>
  <c r="CM333" i="3"/>
  <c r="CL333" i="3" s="1"/>
  <c r="CK308" i="3"/>
  <c r="CK294" i="3"/>
  <c r="CJ284" i="3"/>
  <c r="CI284" i="3"/>
  <c r="CM235" i="3"/>
  <c r="CL235" i="3" s="1"/>
  <c r="CJ112" i="3"/>
  <c r="CI112" i="3"/>
  <c r="CK112" i="3"/>
  <c r="CM112" i="3"/>
  <c r="CL112" i="3" s="1"/>
  <c r="CI81" i="3"/>
  <c r="CM81" i="3"/>
  <c r="CL81" i="3" s="1"/>
  <c r="CI58" i="3"/>
  <c r="CK58" i="3"/>
  <c r="CM51" i="3"/>
  <c r="CL51" i="3" s="1"/>
  <c r="CJ51" i="3"/>
  <c r="J55" i="10"/>
  <c r="K55" i="10" s="1"/>
  <c r="CI309" i="3"/>
  <c r="CK309" i="3"/>
  <c r="CI305" i="3"/>
  <c r="CJ305" i="3"/>
  <c r="CM294" i="3"/>
  <c r="CL294" i="3" s="1"/>
  <c r="CM210" i="3"/>
  <c r="CL210" i="3" s="1"/>
  <c r="CJ210" i="3"/>
  <c r="CM156" i="3"/>
  <c r="CL156" i="3" s="1"/>
  <c r="CK156" i="3"/>
  <c r="CI151" i="3"/>
  <c r="CJ151" i="3"/>
  <c r="CK151" i="3"/>
  <c r="CJ41" i="3"/>
  <c r="CI41" i="3"/>
  <c r="CM41" i="3"/>
  <c r="CL41" i="3" s="1"/>
  <c r="CM441" i="3"/>
  <c r="CL441" i="3" s="1"/>
  <c r="CI347" i="3"/>
  <c r="CM347" i="3"/>
  <c r="CL347" i="3" s="1"/>
  <c r="CI263" i="3"/>
  <c r="CJ263" i="3"/>
  <c r="CM251" i="3"/>
  <c r="CL251" i="3" s="1"/>
  <c r="CI170" i="3"/>
  <c r="CK170" i="3"/>
  <c r="CM170" i="3"/>
  <c r="CL170" i="3" s="1"/>
  <c r="CI162" i="3"/>
  <c r="CK162" i="3"/>
  <c r="CM162" i="3"/>
  <c r="CL162" i="3" s="1"/>
  <c r="F56" i="9"/>
  <c r="F65" i="13"/>
  <c r="CJ493" i="3"/>
  <c r="CJ482" i="3"/>
  <c r="CK476" i="3"/>
  <c r="CM466" i="3"/>
  <c r="CL466" i="3" s="1"/>
  <c r="CM462" i="3"/>
  <c r="CL462" i="3" s="1"/>
  <c r="CM458" i="3"/>
  <c r="CL458" i="3" s="1"/>
  <c r="CK454" i="3"/>
  <c r="CI437" i="3"/>
  <c r="CK437" i="3"/>
  <c r="CM431" i="3"/>
  <c r="CL431" i="3" s="1"/>
  <c r="CM417" i="3"/>
  <c r="CL417" i="3" s="1"/>
  <c r="CM378" i="3"/>
  <c r="CL378" i="3" s="1"/>
  <c r="CM373" i="3"/>
  <c r="CL373" i="3" s="1"/>
  <c r="CK342" i="3"/>
  <c r="CJ338" i="3"/>
  <c r="CK338" i="3"/>
  <c r="CI323" i="3"/>
  <c r="CJ323" i="3"/>
  <c r="CJ314" i="3"/>
  <c r="CI314" i="3"/>
  <c r="CJ308" i="3"/>
  <c r="CI298" i="3"/>
  <c r="CI294" i="3"/>
  <c r="CM287" i="3"/>
  <c r="CL287" i="3" s="1"/>
  <c r="CK283" i="3"/>
  <c r="CI273" i="3"/>
  <c r="CK273" i="3"/>
  <c r="CK251" i="3"/>
  <c r="CK246" i="3"/>
  <c r="CI241" i="3"/>
  <c r="CJ241" i="3"/>
  <c r="CK241" i="3"/>
  <c r="CK235" i="3"/>
  <c r="CM230" i="3"/>
  <c r="CL230" i="3" s="1"/>
  <c r="CK230" i="3"/>
  <c r="CI215" i="3"/>
  <c r="CJ215" i="3"/>
  <c r="CM183" i="3"/>
  <c r="CL183" i="3" s="1"/>
  <c r="CJ169" i="3"/>
  <c r="CK169" i="3"/>
  <c r="CI161" i="3"/>
  <c r="CJ161" i="3"/>
  <c r="CM161" i="3"/>
  <c r="CL161" i="3" s="1"/>
  <c r="CM53" i="3"/>
  <c r="CL53" i="3" s="1"/>
  <c r="CJ53" i="3"/>
  <c r="CI133" i="3"/>
  <c r="CJ133" i="3"/>
  <c r="CK133" i="3"/>
  <c r="CM133" i="3"/>
  <c r="CL133" i="3" s="1"/>
  <c r="CK422" i="3"/>
  <c r="CM422" i="3"/>
  <c r="CL422" i="3" s="1"/>
  <c r="F40" i="8"/>
  <c r="F64" i="13"/>
  <c r="F55" i="9"/>
  <c r="CM502" i="3"/>
  <c r="CL502" i="3" s="1"/>
  <c r="CJ491" i="3"/>
  <c r="CJ475" i="3"/>
  <c r="CJ470" i="3"/>
  <c r="CM448" i="3"/>
  <c r="CL448" i="3" s="1"/>
  <c r="CJ444" i="3"/>
  <c r="CK440" i="3"/>
  <c r="CM435" i="3"/>
  <c r="CL435" i="3" s="1"/>
  <c r="CK425" i="3"/>
  <c r="CM416" i="3"/>
  <c r="CL416" i="3" s="1"/>
  <c r="CM402" i="3"/>
  <c r="CL402" i="3" s="1"/>
  <c r="CI392" i="3"/>
  <c r="CK392" i="3"/>
  <c r="CJ354" i="3"/>
  <c r="CI345" i="3"/>
  <c r="CM345" i="3"/>
  <c r="CL345" i="3" s="1"/>
  <c r="CJ336" i="3"/>
  <c r="CJ272" i="3"/>
  <c r="CK272" i="3"/>
  <c r="CM266" i="3"/>
  <c r="CL266" i="3" s="1"/>
  <c r="CJ266" i="3"/>
  <c r="CJ261" i="3"/>
  <c r="CI245" i="3"/>
  <c r="CJ245" i="3"/>
  <c r="CK245" i="3"/>
  <c r="CM223" i="3"/>
  <c r="CL223" i="3" s="1"/>
  <c r="CI203" i="3"/>
  <c r="CK203" i="3"/>
  <c r="CI181" i="3"/>
  <c r="CK181" i="3"/>
  <c r="CM181" i="3"/>
  <c r="CL181" i="3" s="1"/>
  <c r="CI175" i="3"/>
  <c r="CJ175" i="3"/>
  <c r="CK175" i="3"/>
  <c r="CI87" i="3"/>
  <c r="CJ87" i="3"/>
  <c r="CK87" i="3"/>
  <c r="CM87" i="3"/>
  <c r="CL87" i="3" s="1"/>
  <c r="CK77" i="3"/>
  <c r="CI65" i="3"/>
  <c r="CM65" i="3"/>
  <c r="CL65" i="3" s="1"/>
  <c r="CK27" i="3"/>
  <c r="CM27" i="3"/>
  <c r="CL27" i="3" s="1"/>
  <c r="CJ12" i="3"/>
  <c r="CK12" i="3"/>
  <c r="CM12" i="3"/>
  <c r="CL12" i="3" s="1"/>
  <c r="CI12" i="3"/>
  <c r="CK502" i="3"/>
  <c r="CK448" i="3"/>
  <c r="CJ440" i="3"/>
  <c r="CK435" i="3"/>
  <c r="CK416" i="3"/>
  <c r="CJ402" i="3"/>
  <c r="CI349" i="3"/>
  <c r="CK349" i="3"/>
  <c r="CM326" i="3"/>
  <c r="CL326" i="3" s="1"/>
  <c r="CM312" i="3"/>
  <c r="CL312" i="3" s="1"/>
  <c r="CK312" i="3"/>
  <c r="CJ302" i="3"/>
  <c r="CM302" i="3"/>
  <c r="CL302" i="3" s="1"/>
  <c r="CI297" i="3"/>
  <c r="CK297" i="3"/>
  <c r="CK282" i="3"/>
  <c r="CJ282" i="3"/>
  <c r="CM271" i="3"/>
  <c r="CL271" i="3" s="1"/>
  <c r="CK271" i="3"/>
  <c r="CM250" i="3"/>
  <c r="CL250" i="3" s="1"/>
  <c r="CK250" i="3"/>
  <c r="CM234" i="3"/>
  <c r="CL234" i="3" s="1"/>
  <c r="CK234" i="3"/>
  <c r="CK223" i="3"/>
  <c r="CM218" i="3"/>
  <c r="CL218" i="3" s="1"/>
  <c r="CJ218" i="3"/>
  <c r="CK191" i="3"/>
  <c r="CM148" i="3"/>
  <c r="CL148" i="3" s="1"/>
  <c r="CI144" i="3"/>
  <c r="CM144" i="3"/>
  <c r="CL144" i="3" s="1"/>
  <c r="CI86" i="3"/>
  <c r="CJ86" i="3"/>
  <c r="CK86" i="3"/>
  <c r="CM86" i="3"/>
  <c r="CL86" i="3" s="1"/>
  <c r="CI441" i="3"/>
  <c r="CK441" i="3"/>
  <c r="CI99" i="3"/>
  <c r="CJ99" i="3"/>
  <c r="CK99" i="3"/>
  <c r="CJ79" i="3"/>
  <c r="CM79" i="3"/>
  <c r="CL79" i="3" s="1"/>
  <c r="CI138" i="3"/>
  <c r="CJ138" i="3"/>
  <c r="CJ502" i="3"/>
  <c r="CK496" i="3"/>
  <c r="CM490" i="3"/>
  <c r="CL490" i="3" s="1"/>
  <c r="CJ479" i="3"/>
  <c r="CM456" i="3"/>
  <c r="CL456" i="3" s="1"/>
  <c r="CK452" i="3"/>
  <c r="CJ448" i="3"/>
  <c r="CJ435" i="3"/>
  <c r="CK429" i="3"/>
  <c r="CJ416" i="3"/>
  <c r="CI402" i="3"/>
  <c r="CI397" i="3"/>
  <c r="CJ397" i="3"/>
  <c r="CK391" i="3"/>
  <c r="CK372" i="3"/>
  <c r="CI367" i="3"/>
  <c r="CJ367" i="3"/>
  <c r="CM353" i="3"/>
  <c r="CL353" i="3" s="1"/>
  <c r="CM317" i="3"/>
  <c r="CL317" i="3" s="1"/>
  <c r="CK296" i="3"/>
  <c r="CK281" i="3"/>
  <c r="CM276" i="3"/>
  <c r="CL276" i="3" s="1"/>
  <c r="CI276" i="3"/>
  <c r="CM243" i="3"/>
  <c r="CL243" i="3" s="1"/>
  <c r="CJ223" i="3"/>
  <c r="CI159" i="3"/>
  <c r="CM159" i="3"/>
  <c r="CL159" i="3" s="1"/>
  <c r="CI148" i="3"/>
  <c r="CJ85" i="3"/>
  <c r="CJ63" i="3"/>
  <c r="CK63" i="3"/>
  <c r="CI29" i="3"/>
  <c r="CM29" i="3"/>
  <c r="CL29" i="3" s="1"/>
  <c r="CI89" i="3"/>
  <c r="CM89" i="3"/>
  <c r="CL89" i="3" s="1"/>
  <c r="CJ89" i="3"/>
  <c r="CJ66" i="3"/>
  <c r="CI66" i="3"/>
  <c r="CK66" i="3"/>
  <c r="CM66" i="3"/>
  <c r="CL66" i="3" s="1"/>
  <c r="CK360" i="3"/>
  <c r="CI360" i="3"/>
  <c r="CM396" i="3"/>
  <c r="CL396" i="3" s="1"/>
  <c r="CI311" i="3"/>
  <c r="CJ311" i="3"/>
  <c r="CI249" i="3"/>
  <c r="CJ249" i="3"/>
  <c r="CK249" i="3"/>
  <c r="CK243" i="3"/>
  <c r="CI233" i="3"/>
  <c r="CJ233" i="3"/>
  <c r="CK233" i="3"/>
  <c r="CJ196" i="3"/>
  <c r="CI196" i="3"/>
  <c r="CI166" i="3"/>
  <c r="CJ166" i="3"/>
  <c r="CM166" i="3"/>
  <c r="CL166" i="3" s="1"/>
  <c r="CI62" i="3"/>
  <c r="CJ62" i="3"/>
  <c r="CK62" i="3"/>
  <c r="CM62" i="3"/>
  <c r="CL62" i="3" s="1"/>
  <c r="H20" i="9"/>
  <c r="H21" i="13"/>
  <c r="CJ326" i="3"/>
  <c r="CI326" i="3"/>
  <c r="CJ490" i="3"/>
  <c r="CM478" i="3"/>
  <c r="CL478" i="3" s="1"/>
  <c r="CJ456" i="3"/>
  <c r="CM442" i="3"/>
  <c r="CL442" i="3" s="1"/>
  <c r="CI434" i="3"/>
  <c r="CK396" i="3"/>
  <c r="CJ385" i="3"/>
  <c r="CI377" i="3"/>
  <c r="CJ377" i="3"/>
  <c r="CJ353" i="3"/>
  <c r="CI335" i="3"/>
  <c r="CM335" i="3"/>
  <c r="CL335" i="3" s="1"/>
  <c r="CI296" i="3"/>
  <c r="CJ290" i="3"/>
  <c r="CK290" i="3"/>
  <c r="CI275" i="3"/>
  <c r="CJ275" i="3"/>
  <c r="CJ243" i="3"/>
  <c r="CI227" i="3"/>
  <c r="CM227" i="3"/>
  <c r="CL227" i="3" s="1"/>
  <c r="CM222" i="3"/>
  <c r="CL222" i="3" s="1"/>
  <c r="CK222" i="3"/>
  <c r="CI157" i="3"/>
  <c r="CK157" i="3"/>
  <c r="CM157" i="3"/>
  <c r="CL157" i="3" s="1"/>
  <c r="CM136" i="3"/>
  <c r="CL136" i="3" s="1"/>
  <c r="CJ136" i="3"/>
  <c r="CI96" i="3"/>
  <c r="CK84" i="3"/>
  <c r="CI84" i="3"/>
  <c r="CJ84" i="3"/>
  <c r="CM84" i="3"/>
  <c r="CL84" i="3" s="1"/>
  <c r="CI47" i="3"/>
  <c r="CM47" i="3"/>
  <c r="CL47" i="3" s="1"/>
  <c r="CJ47" i="3"/>
  <c r="CM39" i="3"/>
  <c r="CL39" i="3" s="1"/>
  <c r="CI39" i="3"/>
  <c r="CJ39" i="3"/>
  <c r="CK39" i="3"/>
  <c r="CJ19" i="3"/>
  <c r="CK19" i="3"/>
  <c r="CI56" i="3"/>
  <c r="CM56" i="3"/>
  <c r="CL56" i="3" s="1"/>
  <c r="CK500" i="3"/>
  <c r="CM309" i="3"/>
  <c r="CL309" i="3" s="1"/>
  <c r="CM305" i="3"/>
  <c r="CL305" i="3" s="1"/>
  <c r="CM300" i="3"/>
  <c r="CL300" i="3" s="1"/>
  <c r="CI300" i="3"/>
  <c r="CJ156" i="3"/>
  <c r="CM113" i="3"/>
  <c r="CL113" i="3" s="1"/>
  <c r="CI78" i="3"/>
  <c r="CJ78" i="3"/>
  <c r="CK78" i="3"/>
  <c r="CM78" i="3"/>
  <c r="CL78" i="3" s="1"/>
  <c r="CK478" i="3"/>
  <c r="CK442" i="3"/>
  <c r="CM428" i="3"/>
  <c r="CL428" i="3" s="1"/>
  <c r="CJ396" i="3"/>
  <c r="CI362" i="3"/>
  <c r="CK362" i="3"/>
  <c r="CK330" i="3"/>
  <c r="CJ324" i="3"/>
  <c r="CI190" i="3"/>
  <c r="CK190" i="3"/>
  <c r="CM190" i="3"/>
  <c r="CL190" i="3" s="1"/>
  <c r="CJ500" i="3"/>
  <c r="CK494" i="3"/>
  <c r="CJ478" i="3"/>
  <c r="CK472" i="3"/>
  <c r="CK446" i="3"/>
  <c r="CJ442" i="3"/>
  <c r="CK428" i="3"/>
  <c r="CM418" i="3"/>
  <c r="CL418" i="3" s="1"/>
  <c r="CK413" i="3"/>
  <c r="CI401" i="3"/>
  <c r="CM401" i="3"/>
  <c r="CL401" i="3" s="1"/>
  <c r="CI380" i="3"/>
  <c r="CK380" i="3"/>
  <c r="CM365" i="3"/>
  <c r="CL365" i="3" s="1"/>
  <c r="CK361" i="3"/>
  <c r="CK356" i="3"/>
  <c r="CK333" i="3"/>
  <c r="CJ330" i="3"/>
  <c r="CI324" i="3"/>
  <c r="CJ309" i="3"/>
  <c r="CK305" i="3"/>
  <c r="CM299" i="3"/>
  <c r="CL299" i="3" s="1"/>
  <c r="CK295" i="3"/>
  <c r="CM295" i="3"/>
  <c r="CL295" i="3" s="1"/>
  <c r="CM284" i="3"/>
  <c r="CL284" i="3" s="1"/>
  <c r="CK269" i="3"/>
  <c r="CM263" i="3"/>
  <c r="CL263" i="3" s="1"/>
  <c r="CI253" i="3"/>
  <c r="CJ253" i="3"/>
  <c r="CK253" i="3"/>
  <c r="CJ242" i="3"/>
  <c r="CI237" i="3"/>
  <c r="CJ237" i="3"/>
  <c r="CK237" i="3"/>
  <c r="CK231" i="3"/>
  <c r="CM226" i="3"/>
  <c r="CL226" i="3" s="1"/>
  <c r="CJ226" i="3"/>
  <c r="CK210" i="3"/>
  <c r="CI179" i="3"/>
  <c r="CK179" i="3"/>
  <c r="CK171" i="3"/>
  <c r="CI156" i="3"/>
  <c r="CM151" i="3"/>
  <c r="CL151" i="3" s="1"/>
  <c r="CI113" i="3"/>
  <c r="CI102" i="3"/>
  <c r="CJ102" i="3"/>
  <c r="CK102" i="3"/>
  <c r="CM102" i="3"/>
  <c r="CL102" i="3" s="1"/>
  <c r="CJ82" i="3"/>
  <c r="CI82" i="3"/>
  <c r="CK82" i="3"/>
  <c r="CM82" i="3"/>
  <c r="CL82" i="3" s="1"/>
  <c r="CJ74" i="3"/>
  <c r="CK51" i="3"/>
  <c r="CJ23" i="3"/>
  <c r="CM121" i="3"/>
  <c r="CL121" i="3" s="1"/>
  <c r="CM92" i="3"/>
  <c r="CL92" i="3" s="1"/>
  <c r="CK34" i="3"/>
  <c r="CM32" i="3"/>
  <c r="CL32" i="3" s="1"/>
  <c r="V21" i="4"/>
  <c r="D97" i="7"/>
  <c r="CK7" i="3"/>
  <c r="CM321" i="3"/>
  <c r="CL321" i="3" s="1"/>
  <c r="CK288" i="3"/>
  <c r="CM257" i="3"/>
  <c r="CL257" i="3" s="1"/>
  <c r="CJ229" i="3"/>
  <c r="CJ225" i="3"/>
  <c r="CJ221" i="3"/>
  <c r="CJ217" i="3"/>
  <c r="CJ213" i="3"/>
  <c r="CJ209" i="3"/>
  <c r="CK194" i="3"/>
  <c r="CJ168" i="3"/>
  <c r="CM155" i="3"/>
  <c r="CL155" i="3" s="1"/>
  <c r="CM147" i="3"/>
  <c r="CL147" i="3" s="1"/>
  <c r="CM124" i="3"/>
  <c r="CL124" i="3" s="1"/>
  <c r="CM107" i="3"/>
  <c r="CL107" i="3" s="1"/>
  <c r="CM91" i="3"/>
  <c r="CL91" i="3" s="1"/>
  <c r="CJ76" i="3"/>
  <c r="CJ72" i="3"/>
  <c r="CM67" i="3"/>
  <c r="CL67" i="3" s="1"/>
  <c r="CK54" i="3"/>
  <c r="CK48" i="3"/>
  <c r="CM46" i="3"/>
  <c r="CL46" i="3" s="1"/>
  <c r="CI38" i="3"/>
  <c r="CM15" i="3"/>
  <c r="CL15" i="3" s="1"/>
  <c r="CJ7" i="3"/>
  <c r="CM142" i="3"/>
  <c r="CL142" i="3" s="1"/>
  <c r="CK67" i="3"/>
  <c r="CI54" i="3"/>
  <c r="CK46" i="3"/>
  <c r="CJ15" i="3"/>
  <c r="CK10" i="3"/>
  <c r="CI7" i="3"/>
  <c r="J22" i="10"/>
  <c r="K22" i="10" s="1"/>
  <c r="CM219" i="3"/>
  <c r="CL219" i="3" s="1"/>
  <c r="CM211" i="3"/>
  <c r="CL211" i="3" s="1"/>
  <c r="CM207" i="3"/>
  <c r="CL207" i="3" s="1"/>
  <c r="CK180" i="3"/>
  <c r="CM137" i="3"/>
  <c r="CL137" i="3" s="1"/>
  <c r="CK119" i="3"/>
  <c r="CM111" i="3"/>
  <c r="CL111" i="3" s="1"/>
  <c r="CJ98" i="3"/>
  <c r="CJ75" i="3"/>
  <c r="CJ43" i="3"/>
  <c r="CK35" i="3"/>
  <c r="CK11" i="3"/>
  <c r="CI10" i="3"/>
  <c r="AG56" i="4"/>
  <c r="J48" i="10"/>
  <c r="K48" i="10" s="1"/>
  <c r="CI17" i="3"/>
  <c r="CI11" i="3"/>
  <c r="H97" i="13"/>
  <c r="G4" i="4"/>
  <c r="D33" i="8" s="1"/>
  <c r="H97" i="7"/>
  <c r="T101" i="10"/>
  <c r="S30" i="10"/>
  <c r="T98" i="10"/>
  <c r="L97" i="13"/>
  <c r="S100" i="10"/>
  <c r="S98" i="10"/>
  <c r="S49" i="10"/>
  <c r="J25" i="10"/>
  <c r="K25" i="10" s="1"/>
  <c r="J52" i="10"/>
  <c r="K52" i="10" s="1"/>
  <c r="T89" i="10"/>
  <c r="J78" i="10"/>
  <c r="K78" i="10" s="1"/>
  <c r="T43" i="10"/>
  <c r="J100" i="10"/>
  <c r="K100" i="10" s="1"/>
  <c r="J49" i="10"/>
  <c r="K49" i="10" s="1"/>
  <c r="T40" i="10"/>
  <c r="S91" i="10"/>
  <c r="S25" i="10"/>
  <c r="J91" i="10"/>
  <c r="K91" i="10" s="1"/>
  <c r="T76" i="10"/>
  <c r="J40" i="10"/>
  <c r="K40" i="10" s="1"/>
  <c r="H21" i="7"/>
  <c r="H21" i="5"/>
  <c r="H20" i="8"/>
  <c r="J79" i="10"/>
  <c r="K79" i="10" s="1"/>
  <c r="T46" i="10"/>
  <c r="S28" i="10"/>
  <c r="S26" i="10"/>
  <c r="T24" i="10"/>
  <c r="T70" i="10"/>
  <c r="J51" i="10"/>
  <c r="K51" i="10" s="1"/>
  <c r="J54" i="10"/>
  <c r="K54" i="10" s="1"/>
  <c r="S89" i="10"/>
  <c r="J73" i="10"/>
  <c r="K73" i="10" s="1"/>
  <c r="J28" i="10"/>
  <c r="K28" i="10" s="1"/>
  <c r="J24" i="10"/>
  <c r="K24" i="10" s="1"/>
  <c r="S52" i="10"/>
  <c r="J46" i="10"/>
  <c r="K46" i="10" s="1"/>
  <c r="J30" i="10"/>
  <c r="K30" i="10" s="1"/>
  <c r="T27" i="10"/>
  <c r="T103" i="10"/>
  <c r="S29" i="10"/>
  <c r="S27" i="10"/>
  <c r="S103" i="10"/>
  <c r="J43" i="10"/>
  <c r="K43" i="10" s="1"/>
  <c r="M16" i="11"/>
  <c r="Y21" i="4" s="1"/>
  <c r="J87" i="10"/>
  <c r="K87" i="10" s="1"/>
  <c r="J109" i="10"/>
  <c r="K109" i="10" s="1"/>
  <c r="J85" i="10"/>
  <c r="K85" i="10" s="1"/>
  <c r="J81" i="10"/>
  <c r="K81" i="10" s="1"/>
  <c r="T78" i="10"/>
  <c r="S76" i="10"/>
  <c r="S70" i="10"/>
  <c r="J67" i="10"/>
  <c r="K67" i="10" s="1"/>
  <c r="T64" i="10"/>
  <c r="J63" i="10"/>
  <c r="K63" i="10" s="1"/>
  <c r="J61" i="10"/>
  <c r="K61" i="10" s="1"/>
  <c r="T58" i="10"/>
  <c r="T54" i="10"/>
  <c r="T48" i="10"/>
  <c r="T34" i="10"/>
  <c r="J33" i="10"/>
  <c r="K33" i="10" s="1"/>
  <c r="J31" i="10"/>
  <c r="K31" i="10" s="1"/>
  <c r="S23" i="10"/>
  <c r="T21" i="10"/>
  <c r="T19" i="10"/>
  <c r="J18" i="10"/>
  <c r="K18" i="10" s="1"/>
  <c r="J94" i="10"/>
  <c r="K94" i="10" s="1"/>
  <c r="J75" i="10"/>
  <c r="K75" i="10" s="1"/>
  <c r="J69" i="10"/>
  <c r="K69" i="10" s="1"/>
  <c r="J57" i="10"/>
  <c r="K57" i="10" s="1"/>
  <c r="J39" i="10"/>
  <c r="K39" i="10" s="1"/>
  <c r="J37" i="10"/>
  <c r="K37" i="10" s="1"/>
  <c r="T106" i="10"/>
  <c r="T95" i="10"/>
  <c r="T86" i="10"/>
  <c r="T82" i="10"/>
  <c r="T72" i="10"/>
  <c r="S64" i="10"/>
  <c r="S58" i="10"/>
  <c r="T42" i="10"/>
  <c r="S38" i="10"/>
  <c r="T36" i="10"/>
  <c r="S34" i="10"/>
  <c r="S21" i="10"/>
  <c r="J16" i="10"/>
  <c r="K16" i="10" s="1"/>
  <c r="J45" i="10"/>
  <c r="K45" i="10" s="1"/>
  <c r="T108" i="10"/>
  <c r="S95" i="10"/>
  <c r="S86" i="10"/>
  <c r="T84" i="10"/>
  <c r="T66" i="10"/>
  <c r="T60" i="10"/>
  <c r="S32" i="10"/>
  <c r="S17" i="10"/>
  <c r="T15" i="10"/>
  <c r="S15" i="10"/>
  <c r="J106" i="10"/>
  <c r="K106" i="10" s="1"/>
  <c r="T73" i="10"/>
  <c r="J72" i="10"/>
  <c r="K72" i="10" s="1"/>
  <c r="T55" i="10"/>
  <c r="J42" i="10"/>
  <c r="K42" i="10" s="1"/>
  <c r="J36" i="10"/>
  <c r="K36" i="10" s="1"/>
  <c r="J84" i="10"/>
  <c r="K84" i="10" s="1"/>
  <c r="J82" i="10"/>
  <c r="K82" i="10" s="1"/>
  <c r="T79" i="10"/>
  <c r="T67" i="10"/>
  <c r="J66" i="10"/>
  <c r="K66" i="10" s="1"/>
  <c r="T61" i="10"/>
  <c r="J60" i="10"/>
  <c r="K60" i="10" s="1"/>
  <c r="T51" i="10"/>
  <c r="T37" i="10"/>
  <c r="J108" i="10"/>
  <c r="K108" i="10" s="1"/>
  <c r="T94" i="10"/>
  <c r="T87" i="10"/>
  <c r="T85" i="10"/>
  <c r="T75" i="10"/>
  <c r="T69" i="10"/>
  <c r="T57" i="10"/>
  <c r="T45" i="10"/>
  <c r="T39" i="10"/>
  <c r="S35" i="10"/>
  <c r="T31" i="10"/>
  <c r="S20" i="10"/>
  <c r="T18" i="10"/>
  <c r="T16" i="10"/>
  <c r="J99" i="10"/>
  <c r="K99" i="10" s="1"/>
  <c r="T96" i="10"/>
  <c r="S83" i="10"/>
  <c r="T81" i="10"/>
  <c r="T63" i="10"/>
  <c r="T33" i="10"/>
  <c r="F64" i="5"/>
  <c r="J107" i="10"/>
  <c r="K107" i="10" s="1"/>
  <c r="J102" i="10"/>
  <c r="K102" i="10" s="1"/>
  <c r="J88" i="10"/>
  <c r="K88" i="10" s="1"/>
  <c r="AQ3" i="3"/>
  <c r="C28" i="3" s="1"/>
  <c r="J105" i="10"/>
  <c r="K105" i="10" s="1"/>
  <c r="S101" i="10"/>
  <c r="J93" i="10"/>
  <c r="K93" i="10" s="1"/>
  <c r="T83" i="10"/>
  <c r="J53" i="10"/>
  <c r="K53" i="10" s="1"/>
  <c r="T53" i="10"/>
  <c r="AB3" i="3"/>
  <c r="BY3" i="3"/>
  <c r="AE56" i="4"/>
  <c r="J74" i="10"/>
  <c r="K74" i="10" s="1"/>
  <c r="T74" i="10"/>
  <c r="T109" i="10"/>
  <c r="J68" i="10"/>
  <c r="K68" i="10" s="1"/>
  <c r="T68" i="10"/>
  <c r="J47" i="10"/>
  <c r="K47" i="10" s="1"/>
  <c r="T47" i="10"/>
  <c r="BZ3" i="3"/>
  <c r="C33" i="3" s="1"/>
  <c r="J80" i="10"/>
  <c r="K80" i="10" s="1"/>
  <c r="T80" i="10"/>
  <c r="BG3" i="3"/>
  <c r="N17" i="4" s="1"/>
  <c r="J110" i="10"/>
  <c r="K110" i="10" s="1"/>
  <c r="F65" i="7"/>
  <c r="F41" i="8"/>
  <c r="T104" i="10"/>
  <c r="T97" i="10"/>
  <c r="T92" i="10"/>
  <c r="S104" i="10"/>
  <c r="S97" i="10"/>
  <c r="J96" i="10"/>
  <c r="K96" i="10" s="1"/>
  <c r="S92" i="10"/>
  <c r="J62" i="10"/>
  <c r="K62" i="10" s="1"/>
  <c r="T62" i="10"/>
  <c r="J41" i="10"/>
  <c r="K41" i="10" s="1"/>
  <c r="T41" i="10"/>
  <c r="T107" i="10"/>
  <c r="T102" i="10"/>
  <c r="T90" i="10"/>
  <c r="T88" i="10"/>
  <c r="J77" i="10"/>
  <c r="K77" i="10" s="1"/>
  <c r="T77" i="10"/>
  <c r="AR3" i="3"/>
  <c r="L16" i="4" s="1"/>
  <c r="L15" i="4" s="1"/>
  <c r="J59" i="10"/>
  <c r="K59" i="10" s="1"/>
  <c r="T59" i="10"/>
  <c r="F65" i="5"/>
  <c r="J56" i="10"/>
  <c r="K56" i="10" s="1"/>
  <c r="T56" i="10"/>
  <c r="F64" i="7"/>
  <c r="T110" i="10"/>
  <c r="J71" i="10"/>
  <c r="K71" i="10" s="1"/>
  <c r="T71" i="10"/>
  <c r="J50" i="10"/>
  <c r="K50" i="10" s="1"/>
  <c r="T50" i="10"/>
  <c r="T105" i="10"/>
  <c r="T93" i="10"/>
  <c r="S80" i="10"/>
  <c r="S59" i="10"/>
  <c r="J90" i="10"/>
  <c r="K90" i="10" s="1"/>
  <c r="S74" i="10"/>
  <c r="J65" i="10"/>
  <c r="K65" i="10" s="1"/>
  <c r="T65" i="10"/>
  <c r="J44" i="10"/>
  <c r="K44" i="10" s="1"/>
  <c r="T44" i="10"/>
  <c r="T38" i="10"/>
  <c r="T35" i="10"/>
  <c r="T32" i="10"/>
  <c r="T29" i="10"/>
  <c r="T26" i="10"/>
  <c r="T23" i="10"/>
  <c r="T20" i="10"/>
  <c r="T17" i="10"/>
  <c r="B46" i="9"/>
  <c r="L51" i="9"/>
  <c r="L48" i="9"/>
  <c r="D51" i="9"/>
  <c r="D48" i="9"/>
  <c r="B51" i="9"/>
  <c r="B48" i="9"/>
  <c r="D47" i="9"/>
  <c r="B47" i="9"/>
  <c r="L87" i="9"/>
  <c r="H87" i="9"/>
  <c r="L73" i="8"/>
  <c r="H73" i="8"/>
  <c r="L98" i="5"/>
  <c r="H98" i="5"/>
  <c r="AF56" i="4"/>
  <c r="Z3" i="3"/>
  <c r="BI3" i="3"/>
  <c r="CM252" i="3"/>
  <c r="CL252" i="3" s="1"/>
  <c r="CI252" i="3"/>
  <c r="CJ252" i="3"/>
  <c r="CK252" i="3"/>
  <c r="CM506" i="3"/>
  <c r="CL506" i="3" s="1"/>
  <c r="CM494" i="3"/>
  <c r="CL494" i="3" s="1"/>
  <c r="CM488" i="3"/>
  <c r="CL488" i="3" s="1"/>
  <c r="CK457" i="3"/>
  <c r="CI457" i="3"/>
  <c r="CJ457" i="3"/>
  <c r="CJ467" i="3"/>
  <c r="CK467" i="3"/>
  <c r="CI467" i="3"/>
  <c r="CK443" i="3"/>
  <c r="CI443" i="3"/>
  <c r="CJ443" i="3"/>
  <c r="CI421" i="3"/>
  <c r="CM421" i="3"/>
  <c r="CL421" i="3" s="1"/>
  <c r="CK421" i="3"/>
  <c r="CI293" i="3"/>
  <c r="CM293" i="3"/>
  <c r="CL293" i="3" s="1"/>
  <c r="CM256" i="3"/>
  <c r="CL256" i="3" s="1"/>
  <c r="CK256" i="3"/>
  <c r="CJ256" i="3"/>
  <c r="CK497" i="3"/>
  <c r="CI497" i="3"/>
  <c r="CM248" i="3"/>
  <c r="CL248" i="3" s="1"/>
  <c r="CK248" i="3"/>
  <c r="CJ248" i="3"/>
  <c r="CK449" i="3"/>
  <c r="CI449" i="3"/>
  <c r="CJ449" i="3"/>
  <c r="CM158" i="3"/>
  <c r="CL158" i="3" s="1"/>
  <c r="CK158" i="3"/>
  <c r="CJ158" i="3"/>
  <c r="CK459" i="3"/>
  <c r="CI459" i="3"/>
  <c r="CJ459" i="3"/>
  <c r="CK436" i="3"/>
  <c r="CI419" i="3"/>
  <c r="CM419" i="3"/>
  <c r="CL419" i="3" s="1"/>
  <c r="CJ419" i="3"/>
  <c r="CK419" i="3"/>
  <c r="CI386" i="3"/>
  <c r="CJ386" i="3"/>
  <c r="CI355" i="3"/>
  <c r="CJ355" i="3"/>
  <c r="CM355" i="3"/>
  <c r="CL355" i="3" s="1"/>
  <c r="CK355" i="3"/>
  <c r="CK503" i="3"/>
  <c r="CI503" i="3"/>
  <c r="CK491" i="3"/>
  <c r="CI491" i="3"/>
  <c r="CK469" i="3"/>
  <c r="CI469" i="3"/>
  <c r="CJ469" i="3"/>
  <c r="CK445" i="3"/>
  <c r="CI445" i="3"/>
  <c r="CJ445" i="3"/>
  <c r="CI433" i="3"/>
  <c r="CJ433" i="3"/>
  <c r="CK433" i="3"/>
  <c r="CI423" i="3"/>
  <c r="CM423" i="3"/>
  <c r="CL423" i="3" s="1"/>
  <c r="CI427" i="3"/>
  <c r="CJ427" i="3"/>
  <c r="CI398" i="3"/>
  <c r="CM398" i="3"/>
  <c r="CL398" i="3" s="1"/>
  <c r="CK499" i="3"/>
  <c r="CI499" i="3"/>
  <c r="CK481" i="3"/>
  <c r="CI481" i="3"/>
  <c r="CJ455" i="3"/>
  <c r="CK455" i="3"/>
  <c r="CI455" i="3"/>
  <c r="CI436" i="3"/>
  <c r="CI389" i="3"/>
  <c r="CK389" i="3"/>
  <c r="CM389" i="3"/>
  <c r="CL389" i="3" s="1"/>
  <c r="CM370" i="3"/>
  <c r="CL370" i="3" s="1"/>
  <c r="CK370" i="3"/>
  <c r="CJ370" i="3"/>
  <c r="CI370" i="3"/>
  <c r="CI341" i="3"/>
  <c r="CK341" i="3"/>
  <c r="CM341" i="3"/>
  <c r="CL341" i="3" s="1"/>
  <c r="CJ341" i="3"/>
  <c r="CI313" i="3"/>
  <c r="CJ313" i="3"/>
  <c r="CK313" i="3"/>
  <c r="CM313" i="3"/>
  <c r="CL313" i="3" s="1"/>
  <c r="CM182" i="3"/>
  <c r="CL182" i="3" s="1"/>
  <c r="CK182" i="3"/>
  <c r="CJ182" i="3"/>
  <c r="CI182" i="3"/>
  <c r="CK453" i="3"/>
  <c r="CI453" i="3"/>
  <c r="CJ453" i="3"/>
  <c r="CM310" i="3"/>
  <c r="CL310" i="3" s="1"/>
  <c r="CJ310" i="3"/>
  <c r="CK310" i="3"/>
  <c r="CI310" i="3"/>
  <c r="CK505" i="3"/>
  <c r="CI505" i="3"/>
  <c r="CK493" i="3"/>
  <c r="CI493" i="3"/>
  <c r="CK487" i="3"/>
  <c r="CI487" i="3"/>
  <c r="CK475" i="3"/>
  <c r="CI475" i="3"/>
  <c r="CM504" i="3"/>
  <c r="CL504" i="3" s="1"/>
  <c r="CM498" i="3"/>
  <c r="CL498" i="3" s="1"/>
  <c r="CM492" i="3"/>
  <c r="CL492" i="3" s="1"/>
  <c r="CM486" i="3"/>
  <c r="CL486" i="3" s="1"/>
  <c r="CM480" i="3"/>
  <c r="CL480" i="3" s="1"/>
  <c r="CM474" i="3"/>
  <c r="CL474" i="3" s="1"/>
  <c r="CK465" i="3"/>
  <c r="CI465" i="3"/>
  <c r="CJ465" i="3"/>
  <c r="CK438" i="3"/>
  <c r="CM432" i="3"/>
  <c r="CL432" i="3" s="1"/>
  <c r="CJ432" i="3"/>
  <c r="CK432" i="3"/>
  <c r="CI381" i="3"/>
  <c r="CM381" i="3"/>
  <c r="CL381" i="3" s="1"/>
  <c r="CK381" i="3"/>
  <c r="CI307" i="3"/>
  <c r="CJ307" i="3"/>
  <c r="CM307" i="3"/>
  <c r="CL307" i="3" s="1"/>
  <c r="CM434" i="3"/>
  <c r="CL434" i="3" s="1"/>
  <c r="CK434" i="3"/>
  <c r="CM501" i="3"/>
  <c r="CL501" i="3" s="1"/>
  <c r="CM489" i="3"/>
  <c r="CL489" i="3" s="1"/>
  <c r="CM471" i="3"/>
  <c r="CL471" i="3" s="1"/>
  <c r="CK485" i="3"/>
  <c r="CI485" i="3"/>
  <c r="CK479" i="3"/>
  <c r="CI479" i="3"/>
  <c r="CK473" i="3"/>
  <c r="CI473" i="3"/>
  <c r="CM495" i="3"/>
  <c r="CL495" i="3" s="1"/>
  <c r="CM483" i="3"/>
  <c r="CL483" i="3" s="1"/>
  <c r="CM477" i="3"/>
  <c r="CL477" i="3" s="1"/>
  <c r="CK451" i="3"/>
  <c r="CI451" i="3"/>
  <c r="CJ451" i="3"/>
  <c r="CI404" i="3"/>
  <c r="CM404" i="3"/>
  <c r="CL404" i="3" s="1"/>
  <c r="CJ404" i="3"/>
  <c r="CK404" i="3"/>
  <c r="CK504" i="3"/>
  <c r="CK498" i="3"/>
  <c r="CK492" i="3"/>
  <c r="CK486" i="3"/>
  <c r="CK480" i="3"/>
  <c r="CK474" i="3"/>
  <c r="CK461" i="3"/>
  <c r="CI461" i="3"/>
  <c r="CJ461" i="3"/>
  <c r="CI438" i="3"/>
  <c r="CK414" i="3"/>
  <c r="CJ358" i="3"/>
  <c r="CM358" i="3"/>
  <c r="CL358" i="3" s="1"/>
  <c r="CK346" i="3"/>
  <c r="CJ430" i="3"/>
  <c r="CK430" i="3"/>
  <c r="CI430" i="3"/>
  <c r="CI407" i="3"/>
  <c r="CK407" i="3"/>
  <c r="CM407" i="3"/>
  <c r="CL407" i="3" s="1"/>
  <c r="CJ376" i="3"/>
  <c r="CK376" i="3"/>
  <c r="CM376" i="3"/>
  <c r="CL376" i="3" s="1"/>
  <c r="CI376" i="3"/>
  <c r="CI410" i="3"/>
  <c r="CM410" i="3"/>
  <c r="CL410" i="3" s="1"/>
  <c r="CJ410" i="3"/>
  <c r="CK410" i="3"/>
  <c r="CJ504" i="3"/>
  <c r="CK501" i="3"/>
  <c r="CI501" i="3"/>
  <c r="CJ498" i="3"/>
  <c r="CK495" i="3"/>
  <c r="CI495" i="3"/>
  <c r="CJ492" i="3"/>
  <c r="CK489" i="3"/>
  <c r="CI489" i="3"/>
  <c r="CJ486" i="3"/>
  <c r="CK483" i="3"/>
  <c r="CI483" i="3"/>
  <c r="CJ480" i="3"/>
  <c r="CK477" i="3"/>
  <c r="CI477" i="3"/>
  <c r="CJ474" i="3"/>
  <c r="CK471" i="3"/>
  <c r="CI471" i="3"/>
  <c r="CM457" i="3"/>
  <c r="CL457" i="3" s="1"/>
  <c r="CK447" i="3"/>
  <c r="CI447" i="3"/>
  <c r="CJ447" i="3"/>
  <c r="CJ392" i="3"/>
  <c r="CM392" i="3"/>
  <c r="CL392" i="3" s="1"/>
  <c r="CK293" i="3"/>
  <c r="CI387" i="3"/>
  <c r="CJ387" i="3"/>
  <c r="CM387" i="3"/>
  <c r="CL387" i="3" s="1"/>
  <c r="CK387" i="3"/>
  <c r="CI303" i="3"/>
  <c r="CM303" i="3"/>
  <c r="CL303" i="3" s="1"/>
  <c r="CJ303" i="3"/>
  <c r="CJ463" i="3"/>
  <c r="CK463" i="3"/>
  <c r="CI463" i="3"/>
  <c r="CM500" i="3"/>
  <c r="CL500" i="3" s="1"/>
  <c r="CM482" i="3"/>
  <c r="CL482" i="3" s="1"/>
  <c r="CM476" i="3"/>
  <c r="CL476" i="3" s="1"/>
  <c r="CI414" i="3"/>
  <c r="CM414" i="3"/>
  <c r="CL414" i="3" s="1"/>
  <c r="CM346" i="3"/>
  <c r="CL346" i="3" s="1"/>
  <c r="CJ346" i="3"/>
  <c r="CI327" i="3"/>
  <c r="CM327" i="3"/>
  <c r="CL327" i="3" s="1"/>
  <c r="CJ327" i="3"/>
  <c r="CK390" i="3"/>
  <c r="CI390" i="3"/>
  <c r="CM425" i="3"/>
  <c r="CL425" i="3" s="1"/>
  <c r="CI337" i="3"/>
  <c r="CJ337" i="3"/>
  <c r="CK337" i="3"/>
  <c r="CM337" i="3"/>
  <c r="CL337" i="3" s="1"/>
  <c r="CI331" i="3"/>
  <c r="CJ331" i="3"/>
  <c r="CI328" i="3"/>
  <c r="CM328" i="3"/>
  <c r="CL328" i="3" s="1"/>
  <c r="CI304" i="3"/>
  <c r="CJ304" i="3"/>
  <c r="CM304" i="3"/>
  <c r="CL304" i="3" s="1"/>
  <c r="CI173" i="3"/>
  <c r="CK173" i="3"/>
  <c r="CM173" i="3"/>
  <c r="CL173" i="3" s="1"/>
  <c r="CJ173" i="3"/>
  <c r="CK132" i="3"/>
  <c r="CJ132" i="3"/>
  <c r="CM132" i="3"/>
  <c r="CL132" i="3" s="1"/>
  <c r="CI132" i="3"/>
  <c r="CI115" i="3"/>
  <c r="CM115" i="3"/>
  <c r="CL115" i="3" s="1"/>
  <c r="CK115" i="3"/>
  <c r="CJ115" i="3"/>
  <c r="CI403" i="3"/>
  <c r="CJ403" i="3"/>
  <c r="CI395" i="3"/>
  <c r="CK395" i="3"/>
  <c r="CI375" i="3"/>
  <c r="CJ375" i="3"/>
  <c r="CM375" i="3"/>
  <c r="CL375" i="3" s="1"/>
  <c r="CI369" i="3"/>
  <c r="CJ369" i="3"/>
  <c r="CM369" i="3"/>
  <c r="CL369" i="3" s="1"/>
  <c r="CK366" i="3"/>
  <c r="CI366" i="3"/>
  <c r="CI352" i="3"/>
  <c r="CI343" i="3"/>
  <c r="CJ343" i="3"/>
  <c r="CI340" i="3"/>
  <c r="CM340" i="3"/>
  <c r="CL340" i="3" s="1"/>
  <c r="CJ317" i="3"/>
  <c r="CI281" i="3"/>
  <c r="CM281" i="3"/>
  <c r="CL281" i="3" s="1"/>
  <c r="CM260" i="3"/>
  <c r="CL260" i="3" s="1"/>
  <c r="CI260" i="3"/>
  <c r="CJ260" i="3"/>
  <c r="CK260" i="3"/>
  <c r="CM240" i="3"/>
  <c r="CL240" i="3" s="1"/>
  <c r="CK240" i="3"/>
  <c r="CJ240" i="3"/>
  <c r="CI69" i="3"/>
  <c r="CJ69" i="3"/>
  <c r="CM69" i="3"/>
  <c r="CL69" i="3" s="1"/>
  <c r="CI292" i="3"/>
  <c r="CJ292" i="3"/>
  <c r="CM292" i="3"/>
  <c r="CL292" i="3" s="1"/>
  <c r="CI269" i="3"/>
  <c r="CM269" i="3"/>
  <c r="CL269" i="3" s="1"/>
  <c r="CM264" i="3"/>
  <c r="CL264" i="3" s="1"/>
  <c r="CK264" i="3"/>
  <c r="CJ264" i="3"/>
  <c r="CI259" i="3"/>
  <c r="CK259" i="3"/>
  <c r="CM259" i="3"/>
  <c r="CL259" i="3" s="1"/>
  <c r="CJ259" i="3"/>
  <c r="CM232" i="3"/>
  <c r="CL232" i="3" s="1"/>
  <c r="CK232" i="3"/>
  <c r="CJ232" i="3"/>
  <c r="CJ176" i="3"/>
  <c r="CK176" i="3"/>
  <c r="CM176" i="3"/>
  <c r="CL176" i="3" s="1"/>
  <c r="CI176" i="3"/>
  <c r="CI164" i="3"/>
  <c r="CM164" i="3"/>
  <c r="CL164" i="3" s="1"/>
  <c r="CK164" i="3"/>
  <c r="CJ431" i="3"/>
  <c r="CM426" i="3"/>
  <c r="CL426" i="3" s="1"/>
  <c r="CJ420" i="3"/>
  <c r="CJ406" i="3"/>
  <c r="CM406" i="3"/>
  <c r="CL406" i="3" s="1"/>
  <c r="CK400" i="3"/>
  <c r="CJ394" i="3"/>
  <c r="CJ383" i="3"/>
  <c r="CK374" i="3"/>
  <c r="CK368" i="3"/>
  <c r="CI363" i="3"/>
  <c r="CJ363" i="3"/>
  <c r="CI357" i="3"/>
  <c r="CM357" i="3"/>
  <c r="CL357" i="3" s="1"/>
  <c r="CK357" i="3"/>
  <c r="CI339" i="3"/>
  <c r="CM339" i="3"/>
  <c r="CL339" i="3" s="1"/>
  <c r="CJ339" i="3"/>
  <c r="CM329" i="3"/>
  <c r="CL329" i="3" s="1"/>
  <c r="CM298" i="3"/>
  <c r="CL298" i="3" s="1"/>
  <c r="CJ298" i="3"/>
  <c r="CI291" i="3"/>
  <c r="CK291" i="3"/>
  <c r="CM291" i="3"/>
  <c r="CL291" i="3" s="1"/>
  <c r="CJ291" i="3"/>
  <c r="CI280" i="3"/>
  <c r="CJ280" i="3"/>
  <c r="CM280" i="3"/>
  <c r="CL280" i="3" s="1"/>
  <c r="CM224" i="3"/>
  <c r="CL224" i="3" s="1"/>
  <c r="CK224" i="3"/>
  <c r="CJ224" i="3"/>
  <c r="CK188" i="3"/>
  <c r="CM188" i="3"/>
  <c r="CL188" i="3" s="1"/>
  <c r="CJ188" i="3"/>
  <c r="CI163" i="3"/>
  <c r="CJ163" i="3"/>
  <c r="CK163" i="3"/>
  <c r="CM163" i="3"/>
  <c r="CL163" i="3" s="1"/>
  <c r="CK55" i="3"/>
  <c r="CJ55" i="3"/>
  <c r="CM55" i="3"/>
  <c r="CL55" i="3" s="1"/>
  <c r="CM439" i="3"/>
  <c r="CL439" i="3" s="1"/>
  <c r="CM415" i="3"/>
  <c r="CL415" i="3" s="1"/>
  <c r="CI400" i="3"/>
  <c r="CI368" i="3"/>
  <c r="CI351" i="3"/>
  <c r="CJ351" i="3"/>
  <c r="CK351" i="3"/>
  <c r="CM351" i="3"/>
  <c r="CL351" i="3" s="1"/>
  <c r="CK329" i="3"/>
  <c r="CM322" i="3"/>
  <c r="CL322" i="3" s="1"/>
  <c r="CJ322" i="3"/>
  <c r="CI316" i="3"/>
  <c r="CJ316" i="3"/>
  <c r="CM316" i="3"/>
  <c r="CL316" i="3" s="1"/>
  <c r="CI295" i="3"/>
  <c r="CJ295" i="3"/>
  <c r="CI279" i="3"/>
  <c r="CK279" i="3"/>
  <c r="CM279" i="3"/>
  <c r="CL279" i="3" s="1"/>
  <c r="CJ279" i="3"/>
  <c r="CI268" i="3"/>
  <c r="CJ268" i="3"/>
  <c r="CM268" i="3"/>
  <c r="CL268" i="3" s="1"/>
  <c r="CM216" i="3"/>
  <c r="CL216" i="3" s="1"/>
  <c r="CK216" i="3"/>
  <c r="CJ216" i="3"/>
  <c r="CI187" i="3"/>
  <c r="CJ187" i="3"/>
  <c r="CK187" i="3"/>
  <c r="CM187" i="3"/>
  <c r="CL187" i="3" s="1"/>
  <c r="CI167" i="3"/>
  <c r="CM167" i="3"/>
  <c r="CL167" i="3" s="1"/>
  <c r="CK167" i="3"/>
  <c r="CJ167" i="3"/>
  <c r="CM394" i="3"/>
  <c r="CL394" i="3" s="1"/>
  <c r="CK394" i="3"/>
  <c r="CM390" i="3"/>
  <c r="CL390" i="3" s="1"/>
  <c r="CI374" i="3"/>
  <c r="CM374" i="3"/>
  <c r="CL374" i="3" s="1"/>
  <c r="CI365" i="3"/>
  <c r="CK365" i="3"/>
  <c r="CM359" i="3"/>
  <c r="CL359" i="3" s="1"/>
  <c r="CI325" i="3"/>
  <c r="CJ325" i="3"/>
  <c r="CK325" i="3"/>
  <c r="CM325" i="3"/>
  <c r="CL325" i="3" s="1"/>
  <c r="CI319" i="3"/>
  <c r="CJ319" i="3"/>
  <c r="CI301" i="3"/>
  <c r="CJ301" i="3"/>
  <c r="CK301" i="3"/>
  <c r="CM301" i="3"/>
  <c r="CL301" i="3" s="1"/>
  <c r="CI267" i="3"/>
  <c r="CK267" i="3"/>
  <c r="CM267" i="3"/>
  <c r="CL267" i="3" s="1"/>
  <c r="CJ267" i="3"/>
  <c r="CM208" i="3"/>
  <c r="CL208" i="3" s="1"/>
  <c r="CK208" i="3"/>
  <c r="CJ208" i="3"/>
  <c r="CI145" i="3"/>
  <c r="CM145" i="3"/>
  <c r="CL145" i="3" s="1"/>
  <c r="CK145" i="3"/>
  <c r="CJ145" i="3"/>
  <c r="CJ426" i="3"/>
  <c r="CK415" i="3"/>
  <c r="CI405" i="3"/>
  <c r="CM405" i="3"/>
  <c r="CL405" i="3" s="1"/>
  <c r="CK405" i="3"/>
  <c r="CK382" i="3"/>
  <c r="CI379" i="3"/>
  <c r="CJ379" i="3"/>
  <c r="CI371" i="3"/>
  <c r="CK371" i="3"/>
  <c r="CK359" i="3"/>
  <c r="CK350" i="3"/>
  <c r="CK334" i="3"/>
  <c r="CI315" i="3"/>
  <c r="CM315" i="3"/>
  <c r="CL315" i="3" s="1"/>
  <c r="CJ315" i="3"/>
  <c r="CK286" i="3"/>
  <c r="CM286" i="3"/>
  <c r="CL286" i="3" s="1"/>
  <c r="CJ286" i="3"/>
  <c r="CI283" i="3"/>
  <c r="CJ283" i="3"/>
  <c r="H52" i="3"/>
  <c r="G56" i="3" a="1"/>
  <c r="G56" i="3" s="1"/>
  <c r="CK439" i="3"/>
  <c r="CJ439" i="3"/>
  <c r="CK417" i="3"/>
  <c r="CJ415" i="3"/>
  <c r="CJ390" i="3"/>
  <c r="CJ359" i="3"/>
  <c r="CK328" i="3"/>
  <c r="CK274" i="3"/>
  <c r="CM274" i="3"/>
  <c r="CL274" i="3" s="1"/>
  <c r="CJ274" i="3"/>
  <c r="CI271" i="3"/>
  <c r="CJ271" i="3"/>
  <c r="CI129" i="3"/>
  <c r="CM129" i="3"/>
  <c r="CL129" i="3" s="1"/>
  <c r="CK129" i="3"/>
  <c r="CI399" i="3"/>
  <c r="CJ399" i="3"/>
  <c r="CM399" i="3"/>
  <c r="CL399" i="3" s="1"/>
  <c r="CI393" i="3"/>
  <c r="CJ393" i="3"/>
  <c r="CM393" i="3"/>
  <c r="CL393" i="3" s="1"/>
  <c r="CJ382" i="3"/>
  <c r="CM382" i="3"/>
  <c r="CL382" i="3" s="1"/>
  <c r="CI350" i="3"/>
  <c r="CM350" i="3"/>
  <c r="CL350" i="3" s="1"/>
  <c r="CM334" i="3"/>
  <c r="CL334" i="3" s="1"/>
  <c r="CJ334" i="3"/>
  <c r="CM409" i="3"/>
  <c r="CL409" i="3" s="1"/>
  <c r="CM385" i="3"/>
  <c r="CL385" i="3" s="1"/>
  <c r="CM361" i="3"/>
  <c r="CL361" i="3" s="1"/>
  <c r="CM261" i="3"/>
  <c r="CL261" i="3" s="1"/>
  <c r="CM199" i="3"/>
  <c r="CL199" i="3" s="1"/>
  <c r="CI191" i="3"/>
  <c r="CM191" i="3"/>
  <c r="CL191" i="3" s="1"/>
  <c r="CI125" i="3"/>
  <c r="CJ125" i="3"/>
  <c r="CK125" i="3"/>
  <c r="CM125" i="3"/>
  <c r="CL125" i="3" s="1"/>
  <c r="CK122" i="3"/>
  <c r="CM122" i="3"/>
  <c r="CL122" i="3" s="1"/>
  <c r="CJ90" i="3"/>
  <c r="CM90" i="3"/>
  <c r="CL90" i="3" s="1"/>
  <c r="CI83" i="3"/>
  <c r="CM83" i="3"/>
  <c r="CL83" i="3" s="1"/>
  <c r="CJ83" i="3"/>
  <c r="CK83" i="3"/>
  <c r="CI77" i="3"/>
  <c r="CJ77" i="3"/>
  <c r="CK40" i="3"/>
  <c r="CM40" i="3"/>
  <c r="CL40" i="3" s="1"/>
  <c r="CJ40" i="3"/>
  <c r="CI40" i="3"/>
  <c r="CI266" i="3"/>
  <c r="CI258" i="3"/>
  <c r="CI250" i="3"/>
  <c r="CI242" i="3"/>
  <c r="CI234" i="3"/>
  <c r="CI226" i="3"/>
  <c r="CI218" i="3"/>
  <c r="CI210" i="3"/>
  <c r="CK202" i="3"/>
  <c r="CM202" i="3"/>
  <c r="CL202" i="3" s="1"/>
  <c r="CM195" i="3"/>
  <c r="CL195" i="3" s="1"/>
  <c r="CI193" i="3"/>
  <c r="CM193" i="3"/>
  <c r="CL193" i="3" s="1"/>
  <c r="CK154" i="3"/>
  <c r="CM154" i="3"/>
  <c r="CL154" i="3" s="1"/>
  <c r="CI150" i="3"/>
  <c r="CJ150" i="3"/>
  <c r="CK150" i="3"/>
  <c r="CI141" i="3"/>
  <c r="CK141" i="3"/>
  <c r="CM141" i="3"/>
  <c r="CL141" i="3" s="1"/>
  <c r="CK114" i="3"/>
  <c r="CI114" i="3"/>
  <c r="CJ114" i="3"/>
  <c r="CI95" i="3"/>
  <c r="CK95" i="3"/>
  <c r="CJ58" i="3"/>
  <c r="CM58" i="3"/>
  <c r="CL58" i="3" s="1"/>
  <c r="CK244" i="3"/>
  <c r="CK236" i="3"/>
  <c r="CK228" i="3"/>
  <c r="CK220" i="3"/>
  <c r="CK212" i="3"/>
  <c r="CK204" i="3"/>
  <c r="CI169" i="3"/>
  <c r="CM169" i="3"/>
  <c r="CL169" i="3" s="1"/>
  <c r="CM140" i="3"/>
  <c r="CL140" i="3" s="1"/>
  <c r="CK98" i="3"/>
  <c r="CM98" i="3"/>
  <c r="CL98" i="3" s="1"/>
  <c r="CI88" i="3"/>
  <c r="CM88" i="3"/>
  <c r="CL88" i="3" s="1"/>
  <c r="CJ88" i="3"/>
  <c r="CK88" i="3"/>
  <c r="CK72" i="3"/>
  <c r="CM72" i="3"/>
  <c r="CL72" i="3" s="1"/>
  <c r="CJ244" i="3"/>
  <c r="CJ236" i="3"/>
  <c r="CJ228" i="3"/>
  <c r="CJ220" i="3"/>
  <c r="CJ212" i="3"/>
  <c r="CJ204" i="3"/>
  <c r="CI198" i="3"/>
  <c r="CJ198" i="3"/>
  <c r="CK198" i="3"/>
  <c r="CK195" i="3"/>
  <c r="CK178" i="3"/>
  <c r="CM178" i="3"/>
  <c r="CL178" i="3" s="1"/>
  <c r="CK143" i="3"/>
  <c r="CK127" i="3"/>
  <c r="CK120" i="3"/>
  <c r="CJ120" i="3"/>
  <c r="CM120" i="3"/>
  <c r="CL120" i="3" s="1"/>
  <c r="CK110" i="3"/>
  <c r="CK61" i="3"/>
  <c r="CK347" i="3"/>
  <c r="CK335" i="3"/>
  <c r="CK323" i="3"/>
  <c r="CK311" i="3"/>
  <c r="CK299" i="3"/>
  <c r="CM289" i="3"/>
  <c r="CL289" i="3" s="1"/>
  <c r="CK287" i="3"/>
  <c r="CM277" i="3"/>
  <c r="CL277" i="3" s="1"/>
  <c r="CK275" i="3"/>
  <c r="CI244" i="3"/>
  <c r="CI236" i="3"/>
  <c r="CI228" i="3"/>
  <c r="CI220" i="3"/>
  <c r="CI212" i="3"/>
  <c r="CI204" i="3"/>
  <c r="CK201" i="3"/>
  <c r="CM197" i="3"/>
  <c r="CL197" i="3" s="1"/>
  <c r="CJ195" i="3"/>
  <c r="CM177" i="3"/>
  <c r="CL177" i="3" s="1"/>
  <c r="CI153" i="3"/>
  <c r="CJ153" i="3"/>
  <c r="CK153" i="3"/>
  <c r="CK134" i="3"/>
  <c r="CM134" i="3"/>
  <c r="CL134" i="3" s="1"/>
  <c r="CI85" i="3"/>
  <c r="CM85" i="3"/>
  <c r="CL85" i="3" s="1"/>
  <c r="CJ54" i="3"/>
  <c r="CI189" i="3"/>
  <c r="CK189" i="3"/>
  <c r="CM189" i="3"/>
  <c r="CL189" i="3" s="1"/>
  <c r="CI174" i="3"/>
  <c r="CJ174" i="3"/>
  <c r="CK174" i="3"/>
  <c r="CI143" i="3"/>
  <c r="CM143" i="3"/>
  <c r="CL143" i="3" s="1"/>
  <c r="CI140" i="3"/>
  <c r="CJ140" i="3"/>
  <c r="CI127" i="3"/>
  <c r="CM127" i="3"/>
  <c r="CL127" i="3" s="1"/>
  <c r="CI110" i="3"/>
  <c r="CM110" i="3"/>
  <c r="CL110" i="3" s="1"/>
  <c r="CI64" i="3"/>
  <c r="CM64" i="3"/>
  <c r="CL64" i="3" s="1"/>
  <c r="CK64" i="3"/>
  <c r="CI61" i="3"/>
  <c r="CM61" i="3"/>
  <c r="CL61" i="3" s="1"/>
  <c r="CK289" i="3"/>
  <c r="CK277" i="3"/>
  <c r="CJ262" i="3"/>
  <c r="CJ254" i="3"/>
  <c r="CJ246" i="3"/>
  <c r="CJ238" i="3"/>
  <c r="CJ230" i="3"/>
  <c r="CJ222" i="3"/>
  <c r="CJ214" i="3"/>
  <c r="CJ206" i="3"/>
  <c r="CK197" i="3"/>
  <c r="CK177" i="3"/>
  <c r="CI165" i="3"/>
  <c r="CK165" i="3"/>
  <c r="CM165" i="3"/>
  <c r="CL165" i="3" s="1"/>
  <c r="CJ152" i="3"/>
  <c r="CK152" i="3"/>
  <c r="CM152" i="3"/>
  <c r="CL152" i="3" s="1"/>
  <c r="CI139" i="3"/>
  <c r="CJ139" i="3"/>
  <c r="CK139" i="3"/>
  <c r="CM139" i="3"/>
  <c r="CL139" i="3" s="1"/>
  <c r="CJ100" i="3"/>
  <c r="CK80" i="3"/>
  <c r="CJ289" i="3"/>
  <c r="CJ277" i="3"/>
  <c r="CI262" i="3"/>
  <c r="CI254" i="3"/>
  <c r="CI246" i="3"/>
  <c r="CI238" i="3"/>
  <c r="CI230" i="3"/>
  <c r="CI222" i="3"/>
  <c r="CI214" i="3"/>
  <c r="CI206" i="3"/>
  <c r="CJ197" i="3"/>
  <c r="CJ177" i="3"/>
  <c r="CJ122" i="3"/>
  <c r="CI103" i="3"/>
  <c r="CK103" i="3"/>
  <c r="CJ103" i="3"/>
  <c r="CM103" i="3"/>
  <c r="CL103" i="3" s="1"/>
  <c r="CI100" i="3"/>
  <c r="CI93" i="3"/>
  <c r="CJ93" i="3"/>
  <c r="CK93" i="3"/>
  <c r="CM93" i="3"/>
  <c r="CL93" i="3" s="1"/>
  <c r="CK90" i="3"/>
  <c r="CJ200" i="3"/>
  <c r="CK200" i="3"/>
  <c r="CM200" i="3"/>
  <c r="CL200" i="3" s="1"/>
  <c r="CK126" i="3"/>
  <c r="CI126" i="3"/>
  <c r="CJ126" i="3"/>
  <c r="CK109" i="3"/>
  <c r="CI109" i="3"/>
  <c r="CJ109" i="3"/>
  <c r="CI80" i="3"/>
  <c r="CM80" i="3"/>
  <c r="CL80" i="3" s="1"/>
  <c r="CI63" i="3"/>
  <c r="CM63" i="3"/>
  <c r="CL63" i="3" s="1"/>
  <c r="CJ60" i="3"/>
  <c r="CI79" i="3"/>
  <c r="CK79" i="3"/>
  <c r="CI71" i="3"/>
  <c r="CK71" i="3"/>
  <c r="CI68" i="3"/>
  <c r="CK68" i="3"/>
  <c r="CI60" i="3"/>
  <c r="CI57" i="3"/>
  <c r="CJ57" i="3"/>
  <c r="CM52" i="3"/>
  <c r="CL52" i="3" s="1"/>
  <c r="CI52" i="3"/>
  <c r="CK52" i="3"/>
  <c r="CK196" i="3"/>
  <c r="CJ194" i="3"/>
  <c r="CK183" i="3"/>
  <c r="CJ181" i="3"/>
  <c r="CK172" i="3"/>
  <c r="CJ170" i="3"/>
  <c r="CK159" i="3"/>
  <c r="CJ157" i="3"/>
  <c r="CK148" i="3"/>
  <c r="CJ146" i="3"/>
  <c r="CK135" i="3"/>
  <c r="CI128" i="3"/>
  <c r="CK123" i="3"/>
  <c r="CI116" i="3"/>
  <c r="CJ111" i="3"/>
  <c r="CJ106" i="3"/>
  <c r="CK96" i="3"/>
  <c r="CJ81" i="3"/>
  <c r="CI76" i="3"/>
  <c r="CK73" i="3"/>
  <c r="CK70" i="3"/>
  <c r="CJ65" i="3"/>
  <c r="CW5" i="3"/>
  <c r="CK185" i="3"/>
  <c r="CJ183" i="3"/>
  <c r="CK161" i="3"/>
  <c r="CJ159" i="3"/>
  <c r="CK137" i="3"/>
  <c r="CJ135" i="3"/>
  <c r="CJ130" i="3"/>
  <c r="CJ123" i="3"/>
  <c r="CJ118" i="3"/>
  <c r="CI111" i="3"/>
  <c r="CI106" i="3"/>
  <c r="CJ96" i="3"/>
  <c r="CJ73" i="3"/>
  <c r="CI70" i="3"/>
  <c r="CK56" i="3"/>
  <c r="CI101" i="3"/>
  <c r="CJ101" i="3"/>
  <c r="CI59" i="3"/>
  <c r="CK59" i="3"/>
  <c r="CM59" i="3"/>
  <c r="CL59" i="3" s="1"/>
  <c r="CJ56" i="3"/>
  <c r="CI45" i="3"/>
  <c r="CJ45" i="3"/>
  <c r="CK45" i="3"/>
  <c r="CM45" i="3"/>
  <c r="CL45" i="3" s="1"/>
  <c r="CM99" i="3"/>
  <c r="CL99" i="3" s="1"/>
  <c r="CM75" i="3"/>
  <c r="CL75" i="3" s="1"/>
  <c r="CK49" i="3"/>
  <c r="CM49" i="3"/>
  <c r="CL49" i="3" s="1"/>
  <c r="CJ49" i="3"/>
  <c r="G45" i="3" a="1"/>
  <c r="G45" i="3" s="1"/>
  <c r="H46" i="7" s="1"/>
  <c r="CJ33" i="3"/>
  <c r="CK33" i="3"/>
  <c r="CK44" i="3"/>
  <c r="CM44" i="3"/>
  <c r="CL44" i="3" s="1"/>
  <c r="CJ44" i="3"/>
  <c r="G28" i="3"/>
  <c r="CI16" i="3"/>
  <c r="CJ16" i="3"/>
  <c r="CK16" i="3"/>
  <c r="CM16" i="3"/>
  <c r="CL16" i="3" s="1"/>
  <c r="CA3" i="3"/>
  <c r="Q16" i="4" s="1"/>
  <c r="BK3" i="3"/>
  <c r="AS3" i="3"/>
  <c r="L17" i="4" s="1"/>
  <c r="AC3" i="3"/>
  <c r="J10" i="4" s="1"/>
  <c r="J23" i="4" s="1"/>
  <c r="CI35" i="3"/>
  <c r="BW3" i="3"/>
  <c r="BF3" i="3"/>
  <c r="N16" i="4" s="1"/>
  <c r="N12" i="4" s="1"/>
  <c r="AP3" i="3"/>
  <c r="X3" i="3"/>
  <c r="I17" i="4" s="1"/>
  <c r="CI26" i="3"/>
  <c r="CK26" i="3"/>
  <c r="BU3" i="3"/>
  <c r="P17" i="4" s="1"/>
  <c r="BE3" i="3"/>
  <c r="AN3" i="3"/>
  <c r="W3" i="3"/>
  <c r="I16" i="4" s="1"/>
  <c r="CJ37" i="3"/>
  <c r="CM30" i="3"/>
  <c r="CL30" i="3" s="1"/>
  <c r="CI30" i="3"/>
  <c r="BT3" i="3"/>
  <c r="P16" i="4" s="1"/>
  <c r="BD3" i="3"/>
  <c r="AL3" i="3"/>
  <c r="K17" i="4" s="1"/>
  <c r="V3" i="3"/>
  <c r="C25" i="3" s="1"/>
  <c r="J18" i="11" s="1"/>
  <c r="CI27" i="3"/>
  <c r="CJ27" i="3"/>
  <c r="BS3" i="3"/>
  <c r="C32" i="3" s="1"/>
  <c r="BB3" i="3"/>
  <c r="AK3" i="3"/>
  <c r="K16" i="4" s="1"/>
  <c r="U3" i="3"/>
  <c r="BR3" i="3"/>
  <c r="AZ3" i="3"/>
  <c r="M17" i="4" s="1"/>
  <c r="AJ3" i="3"/>
  <c r="C27" i="3" s="1"/>
  <c r="J20" i="11" s="1"/>
  <c r="L20" i="11" s="1"/>
  <c r="S3" i="3"/>
  <c r="CK50" i="3"/>
  <c r="CK41" i="3"/>
  <c r="BP3" i="3"/>
  <c r="AY3" i="3"/>
  <c r="M16" i="4" s="1"/>
  <c r="M13" i="4" s="1"/>
  <c r="AI3" i="3"/>
  <c r="Q3" i="3"/>
  <c r="H17" i="4" s="1"/>
  <c r="CJ28" i="3"/>
  <c r="CI24" i="3"/>
  <c r="CJ24" i="3"/>
  <c r="CM24" i="3"/>
  <c r="CL24" i="3" s="1"/>
  <c r="CI22" i="3"/>
  <c r="CJ22" i="3"/>
  <c r="CM22" i="3"/>
  <c r="CL22" i="3" s="1"/>
  <c r="BN3" i="3"/>
  <c r="O17" i="4" s="1"/>
  <c r="AX3" i="3"/>
  <c r="AG3" i="3"/>
  <c r="P3" i="3"/>
  <c r="H16" i="4" s="1"/>
  <c r="H12" i="4" s="1"/>
  <c r="CD3" i="3"/>
  <c r="BM3" i="3"/>
  <c r="O16" i="4" s="1"/>
  <c r="O12" i="4" s="1"/>
  <c r="AW3" i="3"/>
  <c r="AE3" i="3"/>
  <c r="J17" i="4" s="1"/>
  <c r="O3" i="3"/>
  <c r="H10" i="4" s="1"/>
  <c r="H23" i="4" s="1"/>
  <c r="CK28" i="3"/>
  <c r="CM28" i="3"/>
  <c r="CL28" i="3" s="1"/>
  <c r="CB3" i="3"/>
  <c r="Q17" i="4" s="1"/>
  <c r="BL3" i="3"/>
  <c r="C31" i="3" s="1"/>
  <c r="AU3" i="3"/>
  <c r="AD3" i="3"/>
  <c r="J16" i="4" s="1"/>
  <c r="N3" i="3"/>
  <c r="CI19" i="3"/>
  <c r="CM17" i="3"/>
  <c r="CL17" i="3" s="1"/>
  <c r="CJ13" i="3"/>
  <c r="CI13" i="3"/>
  <c r="CM6" i="3"/>
  <c r="CL6" i="3" s="1"/>
  <c r="CM9" i="3"/>
  <c r="CL9" i="3" s="1"/>
  <c r="CK6" i="3"/>
  <c r="CM5" i="3"/>
  <c r="CK29" i="3"/>
  <c r="CK21" i="3"/>
  <c r="CK15" i="3"/>
  <c r="CJ6" i="3"/>
  <c r="CM19" i="3"/>
  <c r="CL19" i="3" s="1"/>
  <c r="CJ9" i="3"/>
  <c r="CM13" i="3"/>
  <c r="CL13" i="3" s="1"/>
  <c r="X8" i="4" l="1"/>
  <c r="C52" i="3"/>
  <c r="J31" i="13" s="1"/>
  <c r="J46" i="13" s="1"/>
  <c r="B50" i="9"/>
  <c r="L49" i="9"/>
  <c r="F47" i="9"/>
  <c r="D46" i="9"/>
  <c r="F48" i="9"/>
  <c r="F51" i="9"/>
  <c r="G40" i="4"/>
  <c r="D50" i="9"/>
  <c r="L52" i="9"/>
  <c r="F49" i="9"/>
  <c r="F52" i="9"/>
  <c r="D36" i="13"/>
  <c r="F46" i="9"/>
  <c r="F50" i="9"/>
  <c r="B49" i="9"/>
  <c r="D34" i="13"/>
  <c r="D31" i="9"/>
  <c r="L47" i="9"/>
  <c r="B52" i="9"/>
  <c r="H46" i="9"/>
  <c r="D37" i="9"/>
  <c r="L50" i="9"/>
  <c r="L46" i="9"/>
  <c r="D49" i="9"/>
  <c r="D37" i="13"/>
  <c r="D37" i="8"/>
  <c r="D33" i="9"/>
  <c r="D35" i="13"/>
  <c r="D32" i="9"/>
  <c r="B31" i="9"/>
  <c r="B31" i="8"/>
  <c r="H31" i="9"/>
  <c r="H31" i="8"/>
  <c r="H31" i="5"/>
  <c r="D34" i="9"/>
  <c r="D34" i="8"/>
  <c r="H31" i="13"/>
  <c r="H46" i="13" s="1"/>
  <c r="H31" i="7"/>
  <c r="D35" i="9"/>
  <c r="D36" i="9"/>
  <c r="D35" i="8"/>
  <c r="D36" i="8"/>
  <c r="D31" i="13"/>
  <c r="D32" i="8"/>
  <c r="F31" i="9"/>
  <c r="F31" i="8"/>
  <c r="F31" i="13"/>
  <c r="D33" i="13"/>
  <c r="D31" i="8"/>
  <c r="D32" i="13"/>
  <c r="D52" i="9"/>
  <c r="Q10" i="4"/>
  <c r="Q23" i="4" s="1"/>
  <c r="T26" i="4"/>
  <c r="J21" i="11"/>
  <c r="T30" i="4"/>
  <c r="V30" i="4" s="1"/>
  <c r="J25" i="11"/>
  <c r="M20" i="11"/>
  <c r="T31" i="4"/>
  <c r="V31" i="4" s="1"/>
  <c r="J26" i="11"/>
  <c r="T29" i="4"/>
  <c r="V29" i="4" s="1"/>
  <c r="J24" i="11"/>
  <c r="L18" i="11"/>
  <c r="M18" i="11"/>
  <c r="Q15" i="4"/>
  <c r="Q13" i="4"/>
  <c r="Q14" i="4"/>
  <c r="Q42" i="4" s="1"/>
  <c r="Q12" i="4"/>
  <c r="C30" i="3"/>
  <c r="N10" i="4"/>
  <c r="N23" i="4" s="1"/>
  <c r="L10" i="4"/>
  <c r="L23" i="4" s="1"/>
  <c r="O10" i="4"/>
  <c r="O23" i="4" s="1"/>
  <c r="K10" i="4"/>
  <c r="K23" i="4" s="1"/>
  <c r="C29" i="3"/>
  <c r="J22" i="11" s="1"/>
  <c r="M10" i="4"/>
  <c r="M23" i="4" s="1"/>
  <c r="I10" i="4"/>
  <c r="I23" i="4" s="1"/>
  <c r="P10" i="4"/>
  <c r="P23" i="4" s="1"/>
  <c r="O15" i="4"/>
  <c r="X12" i="4"/>
  <c r="AI56" i="4" s="1"/>
  <c r="Q4" i="4"/>
  <c r="AH56" i="4"/>
  <c r="AJ56" i="4" s="1"/>
  <c r="N13" i="4"/>
  <c r="N15" i="4"/>
  <c r="H13" i="4"/>
  <c r="N14" i="4"/>
  <c r="N42" i="4" s="1"/>
  <c r="O14" i="4"/>
  <c r="O42" i="4" s="1"/>
  <c r="O13" i="4"/>
  <c r="L14" i="4"/>
  <c r="L42" i="4" s="1"/>
  <c r="L12" i="4"/>
  <c r="L13" i="4"/>
  <c r="M14" i="4"/>
  <c r="M42" i="4" s="1"/>
  <c r="H14" i="4"/>
  <c r="H42" i="4" s="1"/>
  <c r="H15" i="4"/>
  <c r="M15" i="4"/>
  <c r="M12" i="4"/>
  <c r="G27" i="3"/>
  <c r="T25" i="4"/>
  <c r="K13" i="4"/>
  <c r="K14" i="4"/>
  <c r="K42" i="4" s="1"/>
  <c r="K15" i="4"/>
  <c r="K12" i="4"/>
  <c r="P13" i="4"/>
  <c r="P12" i="4"/>
  <c r="P15" i="4"/>
  <c r="P14" i="4"/>
  <c r="P42" i="4" s="1"/>
  <c r="J13" i="4"/>
  <c r="J15" i="4"/>
  <c r="J12" i="4"/>
  <c r="J14" i="4"/>
  <c r="J42" i="4" s="1"/>
  <c r="G25" i="3"/>
  <c r="T23" i="4"/>
  <c r="I13" i="4"/>
  <c r="I15" i="4"/>
  <c r="I12" i="4"/>
  <c r="I14" i="4"/>
  <c r="I42" i="4" s="1"/>
  <c r="CL5" i="3"/>
  <c r="CU5" i="3" s="1"/>
  <c r="CQ5" i="3"/>
  <c r="C39" i="3"/>
  <c r="C24" i="3"/>
  <c r="J17" i="11" s="1"/>
  <c r="CW6" i="3"/>
  <c r="CW7" i="3" s="1"/>
  <c r="C26" i="3"/>
  <c r="J19" i="11" s="1"/>
  <c r="C50" i="3"/>
  <c r="C53" i="3" s="1"/>
  <c r="J31" i="8" l="1"/>
  <c r="J46" i="7"/>
  <c r="J31" i="7"/>
  <c r="J31" i="5"/>
  <c r="J31" i="9"/>
  <c r="J46" i="9"/>
  <c r="C54" i="3"/>
  <c r="T27" i="4"/>
  <c r="B36" i="8"/>
  <c r="G29" i="3"/>
  <c r="B36" i="9"/>
  <c r="B37" i="9"/>
  <c r="B33" i="9"/>
  <c r="B35" i="9"/>
  <c r="V26" i="4"/>
  <c r="L24" i="11"/>
  <c r="M24" i="11"/>
  <c r="T28" i="4"/>
  <c r="V28" i="4" s="1"/>
  <c r="J23" i="11"/>
  <c r="L25" i="11"/>
  <c r="M25" i="11"/>
  <c r="L17" i="11"/>
  <c r="M17" i="11"/>
  <c r="L26" i="11"/>
  <c r="M26" i="11"/>
  <c r="L19" i="11"/>
  <c r="M19" i="11"/>
  <c r="Y24" i="4" s="1"/>
  <c r="L22" i="11"/>
  <c r="M22" i="11"/>
  <c r="L21" i="11"/>
  <c r="M21" i="11"/>
  <c r="AK56" i="4"/>
  <c r="B35" i="8"/>
  <c r="B33" i="8"/>
  <c r="B37" i="8"/>
  <c r="V25" i="4"/>
  <c r="F35" i="13" s="1"/>
  <c r="V23" i="4"/>
  <c r="F33" i="13" s="1"/>
  <c r="V27" i="4"/>
  <c r="F37" i="13" s="1"/>
  <c r="G26" i="3"/>
  <c r="T24" i="4"/>
  <c r="G24" i="3"/>
  <c r="T22" i="4"/>
  <c r="CW8" i="3"/>
  <c r="F36" i="8" l="1"/>
  <c r="G34" i="3" a="1"/>
  <c r="G34" i="3" s="1"/>
  <c r="B32" i="9"/>
  <c r="F36" i="13"/>
  <c r="F36" i="9"/>
  <c r="B34" i="9"/>
  <c r="L23" i="11"/>
  <c r="M23" i="11"/>
  <c r="F33" i="8"/>
  <c r="F33" i="9"/>
  <c r="F35" i="8"/>
  <c r="F35" i="9"/>
  <c r="F37" i="8"/>
  <c r="F37" i="9"/>
  <c r="B34" i="8"/>
  <c r="B32" i="8"/>
  <c r="V22" i="4"/>
  <c r="F32" i="13" s="1"/>
  <c r="V24" i="4"/>
  <c r="F34" i="13" s="1"/>
  <c r="CW9" i="3"/>
  <c r="F34" i="8" l="1"/>
  <c r="F34" i="9"/>
  <c r="F32" i="8"/>
  <c r="F32" i="9"/>
  <c r="CW10" i="3"/>
  <c r="CW11" i="3" s="1"/>
  <c r="Y25" i="4"/>
  <c r="Y22" i="4"/>
  <c r="Y31" i="4"/>
  <c r="Y29" i="4"/>
  <c r="Y30" i="4"/>
  <c r="Y23" i="4"/>
  <c r="CW12" i="3" l="1"/>
  <c r="Y26" i="4"/>
  <c r="Y28" i="4"/>
  <c r="Y27" i="4"/>
  <c r="CW13" i="3" l="1"/>
  <c r="CW14" i="3" l="1"/>
  <c r="CW15" i="3" l="1"/>
  <c r="CW16" i="3" l="1"/>
  <c r="CW17" i="3" l="1"/>
  <c r="CW18" i="3" l="1"/>
  <c r="CW19" i="3" l="1"/>
  <c r="CW20" i="3" l="1"/>
  <c r="CW21" i="3" l="1"/>
  <c r="CW22" i="3" l="1"/>
  <c r="CW23" i="3" l="1"/>
  <c r="CW24" i="3" l="1"/>
  <c r="CW25" i="3" l="1"/>
  <c r="CW26" i="3" l="1"/>
  <c r="CW27" i="3" l="1"/>
  <c r="CW28" i="3" l="1"/>
  <c r="CW29" i="3" l="1"/>
  <c r="CW30" i="3" l="1"/>
  <c r="CW31" i="3" l="1"/>
  <c r="CW32" i="3" l="1"/>
  <c r="CW33" i="3" l="1"/>
  <c r="CW34" i="3" l="1"/>
  <c r="CW35" i="3" l="1"/>
  <c r="CW36" i="3" l="1"/>
  <c r="CW37" i="3" l="1"/>
  <c r="CW38" i="3" l="1"/>
  <c r="CW39" i="3" l="1"/>
  <c r="CW40" i="3" l="1"/>
  <c r="CW41" i="3" l="1"/>
  <c r="CW42" i="3" l="1"/>
  <c r="CW43" i="3" l="1"/>
  <c r="CW44" i="3" l="1"/>
  <c r="CW45" i="3" l="1"/>
  <c r="CW46" i="3" l="1"/>
  <c r="CW47" i="3" l="1"/>
  <c r="CW48" i="3" l="1"/>
  <c r="CW49" i="3" l="1"/>
  <c r="CW50" i="3" l="1"/>
  <c r="CW51" i="3" l="1"/>
  <c r="CW52" i="3" l="1"/>
  <c r="CW53" i="3" l="1"/>
  <c r="CW54" i="3" l="1"/>
  <c r="CV50" i="3" s="1"/>
  <c r="CV52" i="3" l="1"/>
  <c r="CV53" i="3"/>
  <c r="CV54" i="3"/>
  <c r="CV7" i="3"/>
  <c r="CV6" i="3"/>
  <c r="CV5" i="3"/>
  <c r="CV9" i="3"/>
  <c r="CV8" i="3"/>
  <c r="CV12" i="3"/>
  <c r="CV11" i="3"/>
  <c r="CV10" i="3"/>
  <c r="CV13" i="3"/>
  <c r="CV14" i="3"/>
  <c r="CV15" i="3"/>
  <c r="CV17" i="3"/>
  <c r="CV16" i="3"/>
  <c r="CV18" i="3"/>
  <c r="CV19" i="3"/>
  <c r="CV20" i="3"/>
  <c r="CV21" i="3"/>
  <c r="CV22" i="3"/>
  <c r="CV23" i="3"/>
  <c r="CV24" i="3"/>
  <c r="CV25" i="3"/>
  <c r="CV26" i="3"/>
  <c r="CV27" i="3"/>
  <c r="CV28" i="3"/>
  <c r="CV29" i="3"/>
  <c r="CV30" i="3"/>
  <c r="CV31" i="3"/>
  <c r="CV33" i="3"/>
  <c r="CV32" i="3"/>
  <c r="CV34" i="3"/>
  <c r="CV35" i="3"/>
  <c r="CV37" i="3"/>
  <c r="CV36" i="3"/>
  <c r="CV38" i="3"/>
  <c r="CV39" i="3"/>
  <c r="CV40" i="3"/>
  <c r="CV41" i="3"/>
  <c r="CV42" i="3"/>
  <c r="CV43" i="3"/>
  <c r="CV44" i="3"/>
  <c r="CV45" i="3"/>
  <c r="CV46" i="3"/>
  <c r="CV47" i="3"/>
  <c r="CV48" i="3"/>
  <c r="CV49" i="3"/>
  <c r="CV51" i="3"/>
  <c r="CS6" i="3" l="1"/>
  <c r="E98" i="13" s="1"/>
  <c r="CS16" i="3"/>
  <c r="E108" i="13" s="1"/>
  <c r="CS12" i="3"/>
  <c r="E104" i="13" s="1"/>
  <c r="CS7" i="3"/>
  <c r="E99" i="13" s="1"/>
  <c r="CS10" i="3"/>
  <c r="E102" i="13" s="1"/>
  <c r="CS17" i="3"/>
  <c r="E109" i="13" s="1"/>
  <c r="CS25" i="3"/>
  <c r="E117" i="13" s="1"/>
  <c r="CS8" i="3"/>
  <c r="E100" i="13" s="1"/>
  <c r="CS18" i="3"/>
  <c r="E110" i="13" s="1"/>
  <c r="CS23" i="3"/>
  <c r="E115" i="13" s="1"/>
  <c r="CS13" i="3"/>
  <c r="E105" i="13" s="1"/>
  <c r="CS28" i="3"/>
  <c r="AB29" i="4" s="1"/>
  <c r="CS26" i="3"/>
  <c r="AB27" i="4" s="1"/>
  <c r="CS11" i="3"/>
  <c r="E103" i="13" s="1"/>
  <c r="CS14" i="3"/>
  <c r="E106" i="13" s="1"/>
  <c r="CS20" i="3"/>
  <c r="E112" i="13" s="1"/>
  <c r="CS9" i="3"/>
  <c r="E101" i="13" s="1"/>
  <c r="CS24" i="3"/>
  <c r="E116" i="13" s="1"/>
  <c r="CS15" i="3"/>
  <c r="E107" i="13" s="1"/>
  <c r="CS30" i="3"/>
  <c r="AB31" i="4" s="1"/>
  <c r="CS37" i="3"/>
  <c r="AB38" i="4" s="1"/>
  <c r="CS42" i="3"/>
  <c r="AB43" i="4" s="1"/>
  <c r="CS46" i="3"/>
  <c r="AB47" i="4" s="1"/>
  <c r="CS19" i="3"/>
  <c r="E111" i="13" s="1"/>
  <c r="CS31" i="3"/>
  <c r="AB32" i="4" s="1"/>
  <c r="CS47" i="3"/>
  <c r="AB48" i="4" s="1"/>
  <c r="CS51" i="3"/>
  <c r="AB52" i="4" s="1"/>
  <c r="CS32" i="3"/>
  <c r="AB33" i="4" s="1"/>
  <c r="CS34" i="3"/>
  <c r="AB35" i="4" s="1"/>
  <c r="CS35" i="3"/>
  <c r="AB36" i="4" s="1"/>
  <c r="CS39" i="3"/>
  <c r="AB40" i="4" s="1"/>
  <c r="CS43" i="3"/>
  <c r="AB44" i="4" s="1"/>
  <c r="CS36" i="3"/>
  <c r="AB37" i="4" s="1"/>
  <c r="CS22" i="3"/>
  <c r="E114" i="13" s="1"/>
  <c r="CS33" i="3"/>
  <c r="AB34" i="4" s="1"/>
  <c r="CS29" i="3"/>
  <c r="AB30" i="4" s="1"/>
  <c r="CS40" i="3"/>
  <c r="AB41" i="4" s="1"/>
  <c r="CS44" i="3"/>
  <c r="AB45" i="4" s="1"/>
  <c r="CS38" i="3"/>
  <c r="AB39" i="4" s="1"/>
  <c r="CS27" i="3"/>
  <c r="AB28" i="4" s="1"/>
  <c r="CS45" i="3"/>
  <c r="AB46" i="4" s="1"/>
  <c r="CS41" i="3"/>
  <c r="AB42" i="4" s="1"/>
  <c r="CS49" i="3"/>
  <c r="AB50" i="4" s="1"/>
  <c r="CS54" i="3"/>
  <c r="AB55" i="4" s="1"/>
  <c r="CS53" i="3"/>
  <c r="AB54" i="4" s="1"/>
  <c r="CS21" i="3"/>
  <c r="E113" i="13" s="1"/>
  <c r="CS48" i="3"/>
  <c r="AB49" i="4" s="1"/>
  <c r="CS52" i="3"/>
  <c r="AB53" i="4" s="1"/>
  <c r="CS50" i="3"/>
  <c r="AB51" i="4" s="1"/>
  <c r="E101" i="9" l="1"/>
  <c r="E87" i="8"/>
  <c r="E111" i="7"/>
  <c r="E112" i="5"/>
  <c r="AB20" i="4"/>
  <c r="AD51" i="4"/>
  <c r="AC51" i="4"/>
  <c r="AG51" i="4"/>
  <c r="AF51" i="4"/>
  <c r="AC34" i="4"/>
  <c r="AG34" i="4"/>
  <c r="AD34" i="4"/>
  <c r="AF34" i="4"/>
  <c r="E104" i="9"/>
  <c r="E90" i="8"/>
  <c r="AB23" i="4"/>
  <c r="E114" i="7"/>
  <c r="E115" i="5"/>
  <c r="AC43" i="4"/>
  <c r="AF43" i="4"/>
  <c r="AG43" i="4"/>
  <c r="AD43" i="4"/>
  <c r="AB24" i="4"/>
  <c r="E91" i="8"/>
  <c r="E116" i="5"/>
  <c r="E105" i="9"/>
  <c r="E115" i="7"/>
  <c r="AC30" i="4"/>
  <c r="AG30" i="4"/>
  <c r="AF30" i="4"/>
  <c r="AD30" i="4"/>
  <c r="AE30" i="4" s="1"/>
  <c r="AD54" i="4"/>
  <c r="AC54" i="4"/>
  <c r="AG54" i="4"/>
  <c r="AF54" i="4"/>
  <c r="AC37" i="4"/>
  <c r="AD37" i="4"/>
  <c r="AF37" i="4"/>
  <c r="AI37" i="4" s="1"/>
  <c r="AG37" i="4"/>
  <c r="AC38" i="4"/>
  <c r="AG38" i="4"/>
  <c r="AF38" i="4"/>
  <c r="AD38" i="4"/>
  <c r="AE38" i="4" s="1"/>
  <c r="E110" i="7"/>
  <c r="E111" i="5"/>
  <c r="AB19" i="4"/>
  <c r="E100" i="9"/>
  <c r="E86" i="8"/>
  <c r="AD53" i="4"/>
  <c r="AC53" i="4"/>
  <c r="AG53" i="4"/>
  <c r="AF53" i="4"/>
  <c r="E81" i="8"/>
  <c r="AB14" i="4"/>
  <c r="E105" i="7"/>
  <c r="E95" i="9"/>
  <c r="E106" i="5"/>
  <c r="AD55" i="4"/>
  <c r="AC55" i="4"/>
  <c r="AG55" i="4"/>
  <c r="AF55" i="4"/>
  <c r="AF44" i="4"/>
  <c r="AC44" i="4"/>
  <c r="AG44" i="4"/>
  <c r="AD44" i="4"/>
  <c r="AC31" i="4"/>
  <c r="AD31" i="4"/>
  <c r="AF31" i="4"/>
  <c r="AG31" i="4"/>
  <c r="E100" i="7"/>
  <c r="E101" i="5"/>
  <c r="E76" i="8"/>
  <c r="AB9" i="4"/>
  <c r="E90" i="9"/>
  <c r="AD50" i="4"/>
  <c r="AC50" i="4"/>
  <c r="AG50" i="4"/>
  <c r="AF50" i="4"/>
  <c r="AD40" i="4"/>
  <c r="AC40" i="4"/>
  <c r="AG40" i="4"/>
  <c r="AF40" i="4"/>
  <c r="AB16" i="4"/>
  <c r="E97" i="9"/>
  <c r="E83" i="8"/>
  <c r="E108" i="5"/>
  <c r="E107" i="7"/>
  <c r="E107" i="9"/>
  <c r="E93" i="8"/>
  <c r="E117" i="7"/>
  <c r="AB26" i="4"/>
  <c r="E118" i="5"/>
  <c r="AC29" i="4"/>
  <c r="AD29" i="4"/>
  <c r="AF29" i="4"/>
  <c r="AG29" i="4"/>
  <c r="E89" i="8"/>
  <c r="E113" i="7"/>
  <c r="E114" i="5"/>
  <c r="E103" i="9"/>
  <c r="AB22" i="4"/>
  <c r="AD42" i="4"/>
  <c r="AF42" i="4"/>
  <c r="AG42" i="4"/>
  <c r="AC42" i="4"/>
  <c r="AG36" i="4"/>
  <c r="AD36" i="4"/>
  <c r="AF36" i="4"/>
  <c r="AC36" i="4"/>
  <c r="E92" i="8"/>
  <c r="AB25" i="4"/>
  <c r="E116" i="7"/>
  <c r="E117" i="5"/>
  <c r="E106" i="9"/>
  <c r="AB18" i="4"/>
  <c r="E99" i="9"/>
  <c r="E85" i="8"/>
  <c r="E110" i="5"/>
  <c r="E109" i="7"/>
  <c r="AC46" i="4"/>
  <c r="AD46" i="4"/>
  <c r="AF46" i="4"/>
  <c r="AI46" i="4" s="1"/>
  <c r="AG46" i="4"/>
  <c r="AC35" i="4"/>
  <c r="AD35" i="4"/>
  <c r="AF35" i="4"/>
  <c r="AG35" i="4"/>
  <c r="E91" i="9"/>
  <c r="E102" i="5"/>
  <c r="E77" i="8"/>
  <c r="AB10" i="4"/>
  <c r="E101" i="7"/>
  <c r="E92" i="9"/>
  <c r="E78" i="8"/>
  <c r="E102" i="7"/>
  <c r="AB11" i="4"/>
  <c r="E103" i="5"/>
  <c r="AC49" i="4"/>
  <c r="AF49" i="4"/>
  <c r="AG49" i="4"/>
  <c r="AD49" i="4"/>
  <c r="AC28" i="4"/>
  <c r="AG28" i="4"/>
  <c r="AD28" i="4"/>
  <c r="AF28" i="4"/>
  <c r="AG33" i="4"/>
  <c r="AD33" i="4"/>
  <c r="AF33" i="4"/>
  <c r="AC33" i="4"/>
  <c r="E112" i="7"/>
  <c r="AB21" i="4"/>
  <c r="E113" i="5"/>
  <c r="E102" i="9"/>
  <c r="E88" i="8"/>
  <c r="E89" i="9"/>
  <c r="E100" i="5"/>
  <c r="E75" i="8"/>
  <c r="E99" i="7"/>
  <c r="AB8" i="4"/>
  <c r="AF39" i="4"/>
  <c r="AD39" i="4"/>
  <c r="AG39" i="4"/>
  <c r="AC39" i="4"/>
  <c r="AD52" i="4"/>
  <c r="AC52" i="4"/>
  <c r="AG52" i="4"/>
  <c r="AF52" i="4"/>
  <c r="E96" i="9"/>
  <c r="E107" i="5"/>
  <c r="AB15" i="4"/>
  <c r="E82" i="8"/>
  <c r="E106" i="7"/>
  <c r="E94" i="9"/>
  <c r="E105" i="5"/>
  <c r="E80" i="8"/>
  <c r="E104" i="7"/>
  <c r="AB13" i="4"/>
  <c r="AC47" i="4"/>
  <c r="AG47" i="4"/>
  <c r="AD47" i="4"/>
  <c r="AF47" i="4"/>
  <c r="AF45" i="4"/>
  <c r="AC45" i="4"/>
  <c r="AD45" i="4"/>
  <c r="AG45" i="4"/>
  <c r="AC48" i="4"/>
  <c r="AF48" i="4"/>
  <c r="AG48" i="4"/>
  <c r="AD48" i="4"/>
  <c r="E104" i="5"/>
  <c r="E79" i="8"/>
  <c r="E103" i="7"/>
  <c r="AB12" i="4"/>
  <c r="E93" i="9"/>
  <c r="AB17" i="4"/>
  <c r="E84" i="8"/>
  <c r="E109" i="5"/>
  <c r="E108" i="7"/>
  <c r="E98" i="9"/>
  <c r="AG41" i="4"/>
  <c r="AD41" i="4"/>
  <c r="AF41" i="4"/>
  <c r="AC41" i="4"/>
  <c r="AC32" i="4"/>
  <c r="AH32" i="4" s="1"/>
  <c r="AG32" i="4"/>
  <c r="AD32" i="4"/>
  <c r="AF32" i="4"/>
  <c r="AC27" i="4"/>
  <c r="AD27" i="4"/>
  <c r="AF27" i="4"/>
  <c r="AG27" i="4"/>
  <c r="E88" i="9"/>
  <c r="E99" i="5"/>
  <c r="E74" i="8"/>
  <c r="E98" i="7"/>
  <c r="AB7" i="4"/>
  <c r="CT29" i="3"/>
  <c r="CP29" i="3"/>
  <c r="CQ29" i="3"/>
  <c r="CR29" i="3"/>
  <c r="CU29" i="3"/>
  <c r="CQ19" i="3"/>
  <c r="CR19" i="3"/>
  <c r="D111" i="13" s="1"/>
  <c r="CT19" i="3"/>
  <c r="H111" i="13" s="1"/>
  <c r="CU19" i="3"/>
  <c r="L111" i="13" s="1"/>
  <c r="CP19" i="3"/>
  <c r="B111" i="13" s="1"/>
  <c r="CP28" i="3"/>
  <c r="CR28" i="3"/>
  <c r="CU28" i="3"/>
  <c r="CQ28" i="3"/>
  <c r="CT28" i="3"/>
  <c r="CP33" i="3"/>
  <c r="CQ33" i="3"/>
  <c r="CR33" i="3"/>
  <c r="CT33" i="3"/>
  <c r="CU33" i="3"/>
  <c r="CU46" i="3"/>
  <c r="CR46" i="3"/>
  <c r="CT46" i="3"/>
  <c r="CP46" i="3"/>
  <c r="CQ46" i="3"/>
  <c r="CP13" i="3"/>
  <c r="B105" i="13" s="1"/>
  <c r="CR13" i="3"/>
  <c r="D105" i="13" s="1"/>
  <c r="CT13" i="3"/>
  <c r="H105" i="13" s="1"/>
  <c r="CU13" i="3"/>
  <c r="L105" i="13" s="1"/>
  <c r="CQ13" i="3"/>
  <c r="CR22" i="3"/>
  <c r="D114" i="13" s="1"/>
  <c r="CT22" i="3"/>
  <c r="H114" i="13" s="1"/>
  <c r="CU22" i="3"/>
  <c r="L114" i="13" s="1"/>
  <c r="CP22" i="3"/>
  <c r="B114" i="13" s="1"/>
  <c r="CQ22" i="3"/>
  <c r="CU42" i="3"/>
  <c r="CR42" i="3"/>
  <c r="CP42" i="3"/>
  <c r="CQ42" i="3"/>
  <c r="CT42" i="3"/>
  <c r="CP23" i="3"/>
  <c r="B115" i="13" s="1"/>
  <c r="CQ23" i="3"/>
  <c r="CT23" i="3"/>
  <c r="H115" i="13" s="1"/>
  <c r="CR23" i="3"/>
  <c r="D115" i="13" s="1"/>
  <c r="CU23" i="3"/>
  <c r="L115" i="13" s="1"/>
  <c r="CP36" i="3"/>
  <c r="CQ36" i="3"/>
  <c r="CR36" i="3"/>
  <c r="CT36" i="3"/>
  <c r="CU36" i="3"/>
  <c r="CU37" i="3"/>
  <c r="CR37" i="3"/>
  <c r="CP37" i="3"/>
  <c r="CQ37" i="3"/>
  <c r="CT37" i="3"/>
  <c r="CP18" i="3"/>
  <c r="B110" i="13" s="1"/>
  <c r="CQ18" i="3"/>
  <c r="CT18" i="3"/>
  <c r="H110" i="13" s="1"/>
  <c r="CR18" i="3"/>
  <c r="D110" i="13" s="1"/>
  <c r="CU18" i="3"/>
  <c r="L110" i="13" s="1"/>
  <c r="CQ54" i="3"/>
  <c r="CR54" i="3"/>
  <c r="CP54" i="3"/>
  <c r="CT54" i="3"/>
  <c r="CU54" i="3"/>
  <c r="CP43" i="3"/>
  <c r="CR43" i="3"/>
  <c r="CT43" i="3"/>
  <c r="CU43" i="3"/>
  <c r="CQ43" i="3"/>
  <c r="CQ30" i="3"/>
  <c r="CT30" i="3"/>
  <c r="CU30" i="3"/>
  <c r="CR30" i="3"/>
  <c r="CP30" i="3"/>
  <c r="CP8" i="3"/>
  <c r="B100" i="13" s="1"/>
  <c r="CQ8" i="3"/>
  <c r="CT8" i="3"/>
  <c r="H100" i="13" s="1"/>
  <c r="CU8" i="3"/>
  <c r="L100" i="13" s="1"/>
  <c r="CR8" i="3"/>
  <c r="D100" i="13" s="1"/>
  <c r="CQ48" i="3"/>
  <c r="CR48" i="3"/>
  <c r="CT48" i="3"/>
  <c r="CU48" i="3"/>
  <c r="CP48" i="3"/>
  <c r="CU39" i="3"/>
  <c r="CP39" i="3"/>
  <c r="CR39" i="3"/>
  <c r="CT39" i="3"/>
  <c r="CQ39" i="3"/>
  <c r="CT15" i="3"/>
  <c r="H107" i="13" s="1"/>
  <c r="CU15" i="3"/>
  <c r="L107" i="13" s="1"/>
  <c r="CP15" i="3"/>
  <c r="B107" i="13" s="1"/>
  <c r="CQ15" i="3"/>
  <c r="CR15" i="3"/>
  <c r="D107" i="13" s="1"/>
  <c r="CP25" i="3"/>
  <c r="B117" i="13" s="1"/>
  <c r="CR25" i="3"/>
  <c r="D117" i="13" s="1"/>
  <c r="CU25" i="3"/>
  <c r="L117" i="13" s="1"/>
  <c r="CQ25" i="3"/>
  <c r="CT25" i="3"/>
  <c r="H117" i="13" s="1"/>
  <c r="CU52" i="3"/>
  <c r="CP52" i="3"/>
  <c r="CQ52" i="3"/>
  <c r="CR52" i="3"/>
  <c r="CT52" i="3"/>
  <c r="CR35" i="3"/>
  <c r="CQ35" i="3"/>
  <c r="CT35" i="3"/>
  <c r="CU35" i="3"/>
  <c r="CP35" i="3"/>
  <c r="CU24" i="3"/>
  <c r="L116" i="13" s="1"/>
  <c r="CQ24" i="3"/>
  <c r="CP24" i="3"/>
  <c r="B116" i="13" s="1"/>
  <c r="CR24" i="3"/>
  <c r="D116" i="13" s="1"/>
  <c r="CT24" i="3"/>
  <c r="H116" i="13" s="1"/>
  <c r="CP17" i="3"/>
  <c r="B109" i="13" s="1"/>
  <c r="CQ17" i="3"/>
  <c r="CR17" i="3"/>
  <c r="D109" i="13" s="1"/>
  <c r="CU17" i="3"/>
  <c r="L109" i="13" s="1"/>
  <c r="CT17" i="3"/>
  <c r="H109" i="13" s="1"/>
  <c r="CU53" i="3"/>
  <c r="CR53" i="3"/>
  <c r="CT53" i="3"/>
  <c r="CP53" i="3"/>
  <c r="CQ53" i="3"/>
  <c r="CT34" i="3"/>
  <c r="CP34" i="3"/>
  <c r="CR34" i="3"/>
  <c r="CU34" i="3"/>
  <c r="CQ34" i="3"/>
  <c r="CU9" i="3"/>
  <c r="L101" i="13" s="1"/>
  <c r="CP9" i="3"/>
  <c r="B101" i="13" s="1"/>
  <c r="CQ9" i="3"/>
  <c r="CR9" i="3"/>
  <c r="D101" i="13" s="1"/>
  <c r="CT9" i="3"/>
  <c r="H101" i="13" s="1"/>
  <c r="CP10" i="3"/>
  <c r="B102" i="13" s="1"/>
  <c r="CQ10" i="3"/>
  <c r="CR10" i="3"/>
  <c r="D102" i="13" s="1"/>
  <c r="CU10" i="3"/>
  <c r="L102" i="13" s="1"/>
  <c r="CT10" i="3"/>
  <c r="H102" i="13" s="1"/>
  <c r="CP49" i="3"/>
  <c r="CQ49" i="3"/>
  <c r="CR49" i="3"/>
  <c r="CT49" i="3"/>
  <c r="CU49" i="3"/>
  <c r="CR27" i="3"/>
  <c r="CT27" i="3"/>
  <c r="CU27" i="3"/>
  <c r="CP27" i="3"/>
  <c r="CQ27" i="3"/>
  <c r="CQ32" i="3"/>
  <c r="CR32" i="3"/>
  <c r="CT32" i="3"/>
  <c r="CU32" i="3"/>
  <c r="CP32" i="3"/>
  <c r="CP20" i="3"/>
  <c r="B112" i="13" s="1"/>
  <c r="CR20" i="3"/>
  <c r="D112" i="13" s="1"/>
  <c r="CT20" i="3"/>
  <c r="H112" i="13" s="1"/>
  <c r="CQ20" i="3"/>
  <c r="CU20" i="3"/>
  <c r="L112" i="13" s="1"/>
  <c r="CP7" i="3"/>
  <c r="B99" i="13" s="1"/>
  <c r="CQ7" i="3"/>
  <c r="CR7" i="3"/>
  <c r="D99" i="13" s="1"/>
  <c r="CU7" i="3"/>
  <c r="L99" i="13" s="1"/>
  <c r="CT7" i="3"/>
  <c r="H99" i="13" s="1"/>
  <c r="CP41" i="3"/>
  <c r="CQ41" i="3"/>
  <c r="CR41" i="3"/>
  <c r="CU41" i="3"/>
  <c r="CT41" i="3"/>
  <c r="CR38" i="3"/>
  <c r="CT38" i="3"/>
  <c r="CU38" i="3"/>
  <c r="CQ38" i="3"/>
  <c r="CP38" i="3"/>
  <c r="CQ51" i="3"/>
  <c r="CT51" i="3"/>
  <c r="CP51" i="3"/>
  <c r="CR51" i="3"/>
  <c r="CU51" i="3"/>
  <c r="CP14" i="3"/>
  <c r="B106" i="13" s="1"/>
  <c r="CQ14" i="3"/>
  <c r="CR14" i="3"/>
  <c r="D106" i="13" s="1"/>
  <c r="CT14" i="3"/>
  <c r="H106" i="13" s="1"/>
  <c r="CU14" i="3"/>
  <c r="L106" i="13" s="1"/>
  <c r="CQ12" i="3"/>
  <c r="CR12" i="3"/>
  <c r="D104" i="13" s="1"/>
  <c r="CT12" i="3"/>
  <c r="H104" i="13" s="1"/>
  <c r="CP12" i="3"/>
  <c r="B104" i="13" s="1"/>
  <c r="CU12" i="3"/>
  <c r="L104" i="13" s="1"/>
  <c r="CU45" i="3"/>
  <c r="CT45" i="3"/>
  <c r="CQ45" i="3"/>
  <c r="CR45" i="3"/>
  <c r="CP45" i="3"/>
  <c r="CP44" i="3"/>
  <c r="CQ44" i="3"/>
  <c r="CR44" i="3"/>
  <c r="CT44" i="3"/>
  <c r="CU44" i="3"/>
  <c r="CQ47" i="3"/>
  <c r="CT47" i="3"/>
  <c r="CP47" i="3"/>
  <c r="CR47" i="3"/>
  <c r="CU47" i="3"/>
  <c r="CP11" i="3"/>
  <c r="B103" i="13" s="1"/>
  <c r="CQ11" i="3"/>
  <c r="CR11" i="3"/>
  <c r="D103" i="13" s="1"/>
  <c r="CT11" i="3"/>
  <c r="H103" i="13" s="1"/>
  <c r="CU11" i="3"/>
  <c r="L103" i="13" s="1"/>
  <c r="CR16" i="3"/>
  <c r="D108" i="13" s="1"/>
  <c r="CT16" i="3"/>
  <c r="H108" i="13" s="1"/>
  <c r="CU16" i="3"/>
  <c r="L108" i="13" s="1"/>
  <c r="CP16" i="3"/>
  <c r="B108" i="13" s="1"/>
  <c r="CQ16" i="3"/>
  <c r="CT21" i="3"/>
  <c r="H113" i="13" s="1"/>
  <c r="CP21" i="3"/>
  <c r="B113" i="13" s="1"/>
  <c r="CQ21" i="3"/>
  <c r="CR21" i="3"/>
  <c r="D113" i="13" s="1"/>
  <c r="CU21" i="3"/>
  <c r="L113" i="13" s="1"/>
  <c r="CU50" i="3"/>
  <c r="CQ50" i="3"/>
  <c r="CR50" i="3"/>
  <c r="CP50" i="3"/>
  <c r="CT50" i="3"/>
  <c r="CP40" i="3"/>
  <c r="CQ40" i="3"/>
  <c r="CR40" i="3"/>
  <c r="CT40" i="3"/>
  <c r="CU40" i="3"/>
  <c r="CP31" i="3"/>
  <c r="CR31" i="3"/>
  <c r="CT31" i="3"/>
  <c r="CU31" i="3"/>
  <c r="CQ31" i="3"/>
  <c r="CP26" i="3"/>
  <c r="CQ26" i="3"/>
  <c r="CU26" i="3"/>
  <c r="CT26" i="3"/>
  <c r="CR26" i="3"/>
  <c r="CT2" i="3"/>
  <c r="CT6" i="3"/>
  <c r="H98" i="13" s="1"/>
  <c r="CU6" i="3"/>
  <c r="L98" i="13" s="1"/>
  <c r="CP6" i="3"/>
  <c r="B98" i="13" s="1"/>
  <c r="CQ6" i="3"/>
  <c r="CR6" i="3"/>
  <c r="D98" i="13" s="1"/>
  <c r="AH37" i="4" l="1"/>
  <c r="AI41" i="4"/>
  <c r="AI50" i="4"/>
  <c r="AI38" i="4"/>
  <c r="AI30" i="4"/>
  <c r="AE45" i="4"/>
  <c r="AH55" i="4"/>
  <c r="AE36" i="4"/>
  <c r="AI54" i="4"/>
  <c r="AH47" i="4"/>
  <c r="AI45" i="4"/>
  <c r="AE31" i="4"/>
  <c r="AH53" i="4"/>
  <c r="AE34" i="4"/>
  <c r="AE49" i="4"/>
  <c r="AI48" i="4"/>
  <c r="AH39" i="4"/>
  <c r="AI49" i="4"/>
  <c r="AI42" i="4"/>
  <c r="AE40" i="4"/>
  <c r="AI44" i="4"/>
  <c r="AH41" i="4"/>
  <c r="AK41" i="4" s="1"/>
  <c r="AI52" i="4"/>
  <c r="AH51" i="4"/>
  <c r="AH28" i="4"/>
  <c r="AE42" i="4"/>
  <c r="AI29" i="4"/>
  <c r="AE32" i="4"/>
  <c r="AJ32" i="4" s="1"/>
  <c r="AK37" i="4"/>
  <c r="AE46" i="4"/>
  <c r="AH36" i="4"/>
  <c r="AI55" i="4"/>
  <c r="AK55" i="4" s="1"/>
  <c r="AH34" i="4"/>
  <c r="AE48" i="4"/>
  <c r="AI51" i="4"/>
  <c r="AK51" i="4" s="1"/>
  <c r="AH43" i="4"/>
  <c r="AH31" i="4"/>
  <c r="AE51" i="4"/>
  <c r="AE44" i="4"/>
  <c r="AI53" i="4"/>
  <c r="AE37" i="4"/>
  <c r="AJ37" i="4" s="1"/>
  <c r="L98" i="9"/>
  <c r="L84" i="8"/>
  <c r="L109" i="5"/>
  <c r="L108" i="7"/>
  <c r="D84" i="8"/>
  <c r="D109" i="5"/>
  <c r="D108" i="7"/>
  <c r="D98" i="9"/>
  <c r="B94" i="9"/>
  <c r="B105" i="5"/>
  <c r="B80" i="8"/>
  <c r="B104" i="7"/>
  <c r="B102" i="9"/>
  <c r="B88" i="8"/>
  <c r="B112" i="7"/>
  <c r="B113" i="5"/>
  <c r="D91" i="9"/>
  <c r="D102" i="5"/>
  <c r="D77" i="8"/>
  <c r="D101" i="7"/>
  <c r="L101" i="5"/>
  <c r="L76" i="8"/>
  <c r="L100" i="7"/>
  <c r="L90" i="9"/>
  <c r="B110" i="7"/>
  <c r="B100" i="9"/>
  <c r="B86" i="8"/>
  <c r="B111" i="5"/>
  <c r="L91" i="8"/>
  <c r="L115" i="7"/>
  <c r="L116" i="5"/>
  <c r="L105" i="9"/>
  <c r="B104" i="9"/>
  <c r="B90" i="8"/>
  <c r="B114" i="7"/>
  <c r="B115" i="5"/>
  <c r="AF7" i="4"/>
  <c r="AC7" i="4"/>
  <c r="AD7" i="4"/>
  <c r="AG7" i="4"/>
  <c r="AE47" i="4"/>
  <c r="AE28" i="4"/>
  <c r="AH46" i="4"/>
  <c r="AI36" i="4"/>
  <c r="H104" i="7"/>
  <c r="H94" i="9"/>
  <c r="H80" i="8"/>
  <c r="H105" i="5"/>
  <c r="H76" i="8"/>
  <c r="H90" i="9"/>
  <c r="H100" i="7"/>
  <c r="H101" i="5"/>
  <c r="AF10" i="4"/>
  <c r="AC10" i="4"/>
  <c r="AD10" i="4"/>
  <c r="AG10" i="4"/>
  <c r="AC16" i="4"/>
  <c r="AG16" i="4"/>
  <c r="AF16" i="4"/>
  <c r="AD16" i="4"/>
  <c r="L88" i="9"/>
  <c r="L99" i="5"/>
  <c r="L74" i="8"/>
  <c r="L98" i="7"/>
  <c r="L89" i="8"/>
  <c r="L113" i="7"/>
  <c r="L114" i="5"/>
  <c r="L103" i="9"/>
  <c r="L93" i="9"/>
  <c r="L104" i="5"/>
  <c r="L79" i="8"/>
  <c r="L103" i="7"/>
  <c r="D94" i="9"/>
  <c r="D105" i="5"/>
  <c r="D80" i="8"/>
  <c r="D104" i="7"/>
  <c r="H100" i="5"/>
  <c r="H75" i="8"/>
  <c r="H89" i="9"/>
  <c r="H99" i="7"/>
  <c r="B91" i="9"/>
  <c r="B102" i="5"/>
  <c r="B77" i="8"/>
  <c r="B101" i="7"/>
  <c r="H115" i="7"/>
  <c r="H116" i="5"/>
  <c r="H105" i="9"/>
  <c r="H91" i="8"/>
  <c r="H104" i="9"/>
  <c r="H90" i="8"/>
  <c r="H115" i="5"/>
  <c r="H114" i="7"/>
  <c r="B87" i="8"/>
  <c r="B111" i="7"/>
  <c r="B112" i="5"/>
  <c r="B101" i="9"/>
  <c r="AE29" i="4"/>
  <c r="AH40" i="4"/>
  <c r="AJ40" i="4" s="1"/>
  <c r="AI40" i="4"/>
  <c r="AE55" i="4"/>
  <c r="AJ55" i="4" s="1"/>
  <c r="AC19" i="4"/>
  <c r="AD19" i="4"/>
  <c r="AF19" i="4"/>
  <c r="AG19" i="4"/>
  <c r="AE43" i="4"/>
  <c r="AJ34" i="4"/>
  <c r="H118" i="5"/>
  <c r="H107" i="9"/>
  <c r="H117" i="7"/>
  <c r="H93" i="8"/>
  <c r="H88" i="9"/>
  <c r="H99" i="5"/>
  <c r="H74" i="8"/>
  <c r="H98" i="7"/>
  <c r="D89" i="8"/>
  <c r="D113" i="7"/>
  <c r="D114" i="5"/>
  <c r="D103" i="9"/>
  <c r="L91" i="9"/>
  <c r="L102" i="5"/>
  <c r="L101" i="7"/>
  <c r="L77" i="8"/>
  <c r="H99" i="9"/>
  <c r="H85" i="8"/>
  <c r="H109" i="7"/>
  <c r="H110" i="5"/>
  <c r="L118" i="5"/>
  <c r="L107" i="9"/>
  <c r="L93" i="8"/>
  <c r="L117" i="7"/>
  <c r="B90" i="9"/>
  <c r="B76" i="8"/>
  <c r="B100" i="7"/>
  <c r="B101" i="5"/>
  <c r="D104" i="9"/>
  <c r="D90" i="8"/>
  <c r="D114" i="7"/>
  <c r="D115" i="5"/>
  <c r="L101" i="9"/>
  <c r="L87" i="8"/>
  <c r="L111" i="7"/>
  <c r="L112" i="5"/>
  <c r="AE41" i="4"/>
  <c r="AC13" i="4"/>
  <c r="AG13" i="4"/>
  <c r="AF13" i="4"/>
  <c r="AD13" i="4"/>
  <c r="AH52" i="4"/>
  <c r="AH42" i="4"/>
  <c r="AJ42" i="4" s="1"/>
  <c r="AH29" i="4"/>
  <c r="AH54" i="4"/>
  <c r="B98" i="7"/>
  <c r="B88" i="9"/>
  <c r="B74" i="8"/>
  <c r="B99" i="5"/>
  <c r="H93" i="9"/>
  <c r="H104" i="5"/>
  <c r="H79" i="8"/>
  <c r="H103" i="7"/>
  <c r="L99" i="7"/>
  <c r="L89" i="9"/>
  <c r="L100" i="5"/>
  <c r="L75" i="8"/>
  <c r="D104" i="5"/>
  <c r="D79" i="8"/>
  <c r="D103" i="7"/>
  <c r="D93" i="9"/>
  <c r="D89" i="9"/>
  <c r="D100" i="5"/>
  <c r="D99" i="7"/>
  <c r="D75" i="8"/>
  <c r="L99" i="9"/>
  <c r="L110" i="5"/>
  <c r="L85" i="8"/>
  <c r="L109" i="7"/>
  <c r="D117" i="7"/>
  <c r="D118" i="5"/>
  <c r="D107" i="9"/>
  <c r="D93" i="8"/>
  <c r="B105" i="9"/>
  <c r="B115" i="7"/>
  <c r="B91" i="8"/>
  <c r="B116" i="5"/>
  <c r="H101" i="9"/>
  <c r="H87" i="8"/>
  <c r="H111" i="7"/>
  <c r="H112" i="5"/>
  <c r="AE52" i="4"/>
  <c r="AI31" i="4"/>
  <c r="AK31" i="4" s="1"/>
  <c r="AE54" i="4"/>
  <c r="AI43" i="4"/>
  <c r="AK43" i="4" s="1"/>
  <c r="D116" i="5"/>
  <c r="D115" i="7"/>
  <c r="D105" i="9"/>
  <c r="D91" i="8"/>
  <c r="AC24" i="4"/>
  <c r="AF24" i="4"/>
  <c r="AD24" i="4"/>
  <c r="AG24" i="4"/>
  <c r="H102" i="7"/>
  <c r="H92" i="9"/>
  <c r="H103" i="5"/>
  <c r="H78" i="8"/>
  <c r="D99" i="9"/>
  <c r="D85" i="8"/>
  <c r="D110" i="5"/>
  <c r="D109" i="7"/>
  <c r="B107" i="9"/>
  <c r="B93" i="8"/>
  <c r="B117" i="7"/>
  <c r="B118" i="5"/>
  <c r="D87" i="8"/>
  <c r="D111" i="7"/>
  <c r="D112" i="5"/>
  <c r="D101" i="9"/>
  <c r="AC21" i="4"/>
  <c r="AD21" i="4"/>
  <c r="AF21" i="4"/>
  <c r="AG21" i="4"/>
  <c r="AG18" i="4"/>
  <c r="AC18" i="4"/>
  <c r="AD18" i="4"/>
  <c r="AF18" i="4"/>
  <c r="AC26" i="4"/>
  <c r="AF26" i="4"/>
  <c r="AD26" i="4"/>
  <c r="AG26" i="4"/>
  <c r="AJ51" i="4"/>
  <c r="B79" i="8"/>
  <c r="B103" i="7"/>
  <c r="B93" i="9"/>
  <c r="B104" i="5"/>
  <c r="H96" i="9"/>
  <c r="H107" i="5"/>
  <c r="H82" i="8"/>
  <c r="H106" i="7"/>
  <c r="B89" i="9"/>
  <c r="B100" i="5"/>
  <c r="B75" i="8"/>
  <c r="B99" i="7"/>
  <c r="L102" i="7"/>
  <c r="L78" i="8"/>
  <c r="L103" i="5"/>
  <c r="L92" i="9"/>
  <c r="L106" i="5"/>
  <c r="L81" i="8"/>
  <c r="L105" i="7"/>
  <c r="L95" i="9"/>
  <c r="AI27" i="4"/>
  <c r="AH48" i="4"/>
  <c r="AH49" i="4"/>
  <c r="AJ49" i="4" s="1"/>
  <c r="AI35" i="4"/>
  <c r="AJ31" i="4"/>
  <c r="AD14" i="4"/>
  <c r="AC14" i="4"/>
  <c r="AF14" i="4"/>
  <c r="AG14" i="4"/>
  <c r="L114" i="7"/>
  <c r="L104" i="9"/>
  <c r="L115" i="5"/>
  <c r="L90" i="8"/>
  <c r="H89" i="8"/>
  <c r="H113" i="7"/>
  <c r="H103" i="9"/>
  <c r="H114" i="5"/>
  <c r="D96" i="9"/>
  <c r="D107" i="5"/>
  <c r="D82" i="8"/>
  <c r="D106" i="7"/>
  <c r="D92" i="9"/>
  <c r="D103" i="5"/>
  <c r="D78" i="8"/>
  <c r="D102" i="7"/>
  <c r="B99" i="9"/>
  <c r="B85" i="8"/>
  <c r="B110" i="5"/>
  <c r="B109" i="7"/>
  <c r="D97" i="9"/>
  <c r="D83" i="8"/>
  <c r="D107" i="7"/>
  <c r="D108" i="5"/>
  <c r="H106" i="5"/>
  <c r="H81" i="8"/>
  <c r="H105" i="7"/>
  <c r="H95" i="9"/>
  <c r="AE27" i="4"/>
  <c r="AE39" i="4"/>
  <c r="AJ39" i="4" s="1"/>
  <c r="AH33" i="4"/>
  <c r="AE35" i="4"/>
  <c r="AF22" i="4"/>
  <c r="AD22" i="4"/>
  <c r="AC22" i="4"/>
  <c r="AG22" i="4"/>
  <c r="AF20" i="4"/>
  <c r="AC20" i="4"/>
  <c r="AD20" i="4"/>
  <c r="AG20" i="4"/>
  <c r="L106" i="9"/>
  <c r="L92" i="8"/>
  <c r="L116" i="7"/>
  <c r="L117" i="5"/>
  <c r="B113" i="7"/>
  <c r="B114" i="5"/>
  <c r="B103" i="9"/>
  <c r="B89" i="8"/>
  <c r="L113" i="5"/>
  <c r="L102" i="9"/>
  <c r="L88" i="8"/>
  <c r="L112" i="7"/>
  <c r="L86" i="8"/>
  <c r="L110" i="7"/>
  <c r="L111" i="5"/>
  <c r="L100" i="9"/>
  <c r="D105" i="7"/>
  <c r="D106" i="5"/>
  <c r="D95" i="9"/>
  <c r="D81" i="8"/>
  <c r="AH27" i="4"/>
  <c r="AI39" i="4"/>
  <c r="AK39" i="4" s="1"/>
  <c r="AI33" i="4"/>
  <c r="AG11" i="4"/>
  <c r="AC11" i="4"/>
  <c r="AD11" i="4"/>
  <c r="AF11" i="4"/>
  <c r="AH35" i="4"/>
  <c r="AH50" i="4"/>
  <c r="AH38" i="4"/>
  <c r="AJ38" i="4" s="1"/>
  <c r="AH30" i="4"/>
  <c r="AJ30" i="4" s="1"/>
  <c r="AC23" i="4"/>
  <c r="AG23" i="4"/>
  <c r="AD23" i="4"/>
  <c r="AF23" i="4"/>
  <c r="L96" i="9"/>
  <c r="L107" i="5"/>
  <c r="L82" i="8"/>
  <c r="L106" i="7"/>
  <c r="B84" i="8"/>
  <c r="B109" i="5"/>
  <c r="B108" i="7"/>
  <c r="B98" i="9"/>
  <c r="B107" i="5"/>
  <c r="B82" i="8"/>
  <c r="B106" i="7"/>
  <c r="B96" i="9"/>
  <c r="B92" i="9"/>
  <c r="B103" i="5"/>
  <c r="B78" i="8"/>
  <c r="B102" i="7"/>
  <c r="H106" i="9"/>
  <c r="H92" i="8"/>
  <c r="H116" i="7"/>
  <c r="H117" i="5"/>
  <c r="B97" i="9"/>
  <c r="B107" i="7"/>
  <c r="B108" i="5"/>
  <c r="B83" i="8"/>
  <c r="D86" i="8"/>
  <c r="D100" i="9"/>
  <c r="D110" i="7"/>
  <c r="D111" i="5"/>
  <c r="B105" i="7"/>
  <c r="B95" i="9"/>
  <c r="B106" i="5"/>
  <c r="B81" i="8"/>
  <c r="AI32" i="4"/>
  <c r="AK32" i="4" s="1"/>
  <c r="AC17" i="4"/>
  <c r="AG17" i="4"/>
  <c r="AD17" i="4"/>
  <c r="AF17" i="4"/>
  <c r="AH45" i="4"/>
  <c r="AJ45" i="4" s="1"/>
  <c r="AG8" i="4"/>
  <c r="AC8" i="4"/>
  <c r="AD8" i="4"/>
  <c r="AF8" i="4"/>
  <c r="AE33" i="4"/>
  <c r="AC25" i="4"/>
  <c r="AF25" i="4"/>
  <c r="AG25" i="4"/>
  <c r="AD25" i="4"/>
  <c r="AE50" i="4"/>
  <c r="AH44" i="4"/>
  <c r="AJ44" i="4" s="1"/>
  <c r="L107" i="7"/>
  <c r="L97" i="9"/>
  <c r="L83" i="8"/>
  <c r="L108" i="5"/>
  <c r="H86" i="8"/>
  <c r="H110" i="7"/>
  <c r="H111" i="5"/>
  <c r="H100" i="9"/>
  <c r="AC15" i="4"/>
  <c r="AD15" i="4"/>
  <c r="AF15" i="4"/>
  <c r="AG15" i="4"/>
  <c r="AK46" i="4"/>
  <c r="H102" i="9"/>
  <c r="H88" i="8"/>
  <c r="H112" i="7"/>
  <c r="H113" i="5"/>
  <c r="D106" i="9"/>
  <c r="D92" i="8"/>
  <c r="D116" i="7"/>
  <c r="D117" i="5"/>
  <c r="D99" i="5"/>
  <c r="D74" i="8"/>
  <c r="D98" i="7"/>
  <c r="D88" i="9"/>
  <c r="H84" i="8"/>
  <c r="H109" i="5"/>
  <c r="H108" i="7"/>
  <c r="H98" i="9"/>
  <c r="L94" i="9"/>
  <c r="L80" i="8"/>
  <c r="L105" i="5"/>
  <c r="L104" i="7"/>
  <c r="D102" i="9"/>
  <c r="D112" i="7"/>
  <c r="D88" i="8"/>
  <c r="D113" i="5"/>
  <c r="H91" i="9"/>
  <c r="H102" i="5"/>
  <c r="H77" i="8"/>
  <c r="H101" i="7"/>
  <c r="B92" i="8"/>
  <c r="B116" i="7"/>
  <c r="B117" i="5"/>
  <c r="B106" i="9"/>
  <c r="H107" i="7"/>
  <c r="H108" i="5"/>
  <c r="H97" i="9"/>
  <c r="H83" i="8"/>
  <c r="D76" i="8"/>
  <c r="D100" i="7"/>
  <c r="D101" i="5"/>
  <c r="D90" i="9"/>
  <c r="AC12" i="4"/>
  <c r="AD12" i="4"/>
  <c r="AG12" i="4"/>
  <c r="AF12" i="4"/>
  <c r="AI47" i="4"/>
  <c r="AK47" i="4" s="1"/>
  <c r="AI28" i="4"/>
  <c r="AK28" i="4" s="1"/>
  <c r="AJ36" i="4"/>
  <c r="AC9" i="4"/>
  <c r="AF9" i="4"/>
  <c r="AG9" i="4"/>
  <c r="AD9" i="4"/>
  <c r="AE53" i="4"/>
  <c r="AJ53" i="4" s="1"/>
  <c r="AI34" i="4"/>
  <c r="AK34" i="4" s="1"/>
  <c r="H25" i="2"/>
  <c r="I25" i="2" s="1"/>
  <c r="H24" i="2"/>
  <c r="I24" i="2" s="1"/>
  <c r="H26" i="2"/>
  <c r="R8" i="3"/>
  <c r="AF8" i="3"/>
  <c r="AT8" i="3"/>
  <c r="BH8" i="3"/>
  <c r="BV8" i="3"/>
  <c r="Y15" i="3"/>
  <c r="AM15" i="3"/>
  <c r="BA15" i="3"/>
  <c r="BO15" i="3"/>
  <c r="CC15" i="3"/>
  <c r="R18" i="3"/>
  <c r="AF18" i="3"/>
  <c r="AT18" i="3"/>
  <c r="BH18" i="3"/>
  <c r="BV18" i="3"/>
  <c r="Y21" i="3"/>
  <c r="AM21" i="3"/>
  <c r="BA21" i="3"/>
  <c r="BO21" i="3"/>
  <c r="CC21" i="3"/>
  <c r="R23" i="3"/>
  <c r="AF23" i="3"/>
  <c r="AT23" i="3"/>
  <c r="BH23" i="3"/>
  <c r="BV23" i="3"/>
  <c r="Y29" i="3"/>
  <c r="AM29" i="3"/>
  <c r="BA29" i="3"/>
  <c r="BO29" i="3"/>
  <c r="CC29" i="3"/>
  <c r="Y34" i="3"/>
  <c r="AM34" i="3"/>
  <c r="BA34" i="3"/>
  <c r="BO34" i="3"/>
  <c r="CC34" i="3"/>
  <c r="R37" i="3"/>
  <c r="AF37" i="3"/>
  <c r="AT37" i="3"/>
  <c r="BH37" i="3"/>
  <c r="BV37" i="3"/>
  <c r="Y6" i="3"/>
  <c r="AM6" i="3"/>
  <c r="BA6" i="3"/>
  <c r="BO6" i="3"/>
  <c r="CC6" i="3"/>
  <c r="R13" i="3"/>
  <c r="AF13" i="3"/>
  <c r="AT13" i="3"/>
  <c r="BH13" i="3"/>
  <c r="BV13" i="3"/>
  <c r="Y16" i="3"/>
  <c r="AM16" i="3"/>
  <c r="BA16" i="3"/>
  <c r="BO16" i="3"/>
  <c r="CC16" i="3"/>
  <c r="R19" i="3"/>
  <c r="AF19" i="3"/>
  <c r="AT19" i="3"/>
  <c r="BH19" i="3"/>
  <c r="BV19" i="3"/>
  <c r="Y22" i="3"/>
  <c r="AM22" i="3"/>
  <c r="BA22" i="3"/>
  <c r="BO22" i="3"/>
  <c r="CC22" i="3"/>
  <c r="Y27" i="3"/>
  <c r="AM27" i="3"/>
  <c r="BA27" i="3"/>
  <c r="BO27" i="3"/>
  <c r="CC27" i="3"/>
  <c r="Y12" i="3"/>
  <c r="AM12" i="3"/>
  <c r="BA12" i="3"/>
  <c r="BO12" i="3"/>
  <c r="CC12" i="3"/>
  <c r="R26" i="3"/>
  <c r="AF26" i="3"/>
  <c r="AT26" i="3"/>
  <c r="BH26" i="3"/>
  <c r="BV26" i="3"/>
  <c r="R5" i="3"/>
  <c r="AF5" i="3"/>
  <c r="AT5" i="3"/>
  <c r="BH5" i="3"/>
  <c r="BV5" i="3"/>
  <c r="R9" i="3"/>
  <c r="AF9" i="3"/>
  <c r="AT9" i="3"/>
  <c r="BH9" i="3"/>
  <c r="BV9" i="3"/>
  <c r="R24" i="3"/>
  <c r="AF24" i="3"/>
  <c r="AT24" i="3"/>
  <c r="BH24" i="3"/>
  <c r="BV24" i="3"/>
  <c r="Y30" i="3"/>
  <c r="AM30" i="3"/>
  <c r="BA30" i="3"/>
  <c r="BO30" i="3"/>
  <c r="CC30" i="3"/>
  <c r="Y8" i="3"/>
  <c r="AM8" i="3"/>
  <c r="BA8" i="3"/>
  <c r="BO8" i="3"/>
  <c r="CC8" i="3"/>
  <c r="R15" i="3"/>
  <c r="AF15" i="3"/>
  <c r="AT15" i="3"/>
  <c r="BH15" i="3"/>
  <c r="BV15" i="3"/>
  <c r="Y18" i="3"/>
  <c r="AM18" i="3"/>
  <c r="BA18" i="3"/>
  <c r="BO18" i="3"/>
  <c r="CC18" i="3"/>
  <c r="R21" i="3"/>
  <c r="AF21" i="3"/>
  <c r="AT21" i="3"/>
  <c r="BH21" i="3"/>
  <c r="BV21" i="3"/>
  <c r="Y23" i="3"/>
  <c r="AM23" i="3"/>
  <c r="BA23" i="3"/>
  <c r="BO23" i="3"/>
  <c r="CC23" i="3"/>
  <c r="R29" i="3"/>
  <c r="AF29" i="3"/>
  <c r="AT29" i="3"/>
  <c r="BH29" i="3"/>
  <c r="BV29" i="3"/>
  <c r="R6" i="3"/>
  <c r="AF6" i="3"/>
  <c r="AT6" i="3"/>
  <c r="BH6" i="3"/>
  <c r="BV6" i="3"/>
  <c r="Y13" i="3"/>
  <c r="AM13" i="3"/>
  <c r="BA13" i="3"/>
  <c r="BO13" i="3"/>
  <c r="CC13" i="3"/>
  <c r="R16" i="3"/>
  <c r="AF16" i="3"/>
  <c r="AT16" i="3"/>
  <c r="BH16" i="3"/>
  <c r="BV16" i="3"/>
  <c r="Y19" i="3"/>
  <c r="AM19" i="3"/>
  <c r="BA19" i="3"/>
  <c r="BO19" i="3"/>
  <c r="CC19" i="3"/>
  <c r="R22" i="3"/>
  <c r="AF22" i="3"/>
  <c r="AT22" i="3"/>
  <c r="BH22" i="3"/>
  <c r="BV22" i="3"/>
  <c r="R27" i="3"/>
  <c r="AF27" i="3"/>
  <c r="AT27" i="3"/>
  <c r="BH27" i="3"/>
  <c r="BV27" i="3"/>
  <c r="R12" i="3"/>
  <c r="AF12" i="3"/>
  <c r="AT12" i="3"/>
  <c r="BH12" i="3"/>
  <c r="BV12" i="3"/>
  <c r="R7" i="3"/>
  <c r="AF7" i="3"/>
  <c r="AT7" i="3"/>
  <c r="BH7" i="3"/>
  <c r="BV7" i="3"/>
  <c r="R10" i="3"/>
  <c r="AF10" i="3"/>
  <c r="AT10" i="3"/>
  <c r="BH10" i="3"/>
  <c r="BV10" i="3"/>
  <c r="Y11" i="3"/>
  <c r="AM11" i="3"/>
  <c r="BA11" i="3"/>
  <c r="BO11" i="3"/>
  <c r="CC11" i="3"/>
  <c r="Y14" i="3"/>
  <c r="AM14" i="3"/>
  <c r="BA14" i="3"/>
  <c r="BO14" i="3"/>
  <c r="CC14" i="3"/>
  <c r="R17" i="3"/>
  <c r="AF17" i="3"/>
  <c r="AT17" i="3"/>
  <c r="BH17" i="3"/>
  <c r="BV17" i="3"/>
  <c r="Y20" i="3"/>
  <c r="AM20" i="3"/>
  <c r="BA20" i="3"/>
  <c r="BO20" i="3"/>
  <c r="CC20" i="3"/>
  <c r="R25" i="3"/>
  <c r="AF25" i="3"/>
  <c r="AT25" i="3"/>
  <c r="BH25" i="3"/>
  <c r="BV25" i="3"/>
  <c r="Y5" i="3"/>
  <c r="AM5" i="3"/>
  <c r="BA5" i="3"/>
  <c r="BO5" i="3"/>
  <c r="CC5" i="3"/>
  <c r="Y9" i="3"/>
  <c r="AM9" i="3"/>
  <c r="BA9" i="3"/>
  <c r="BO9" i="3"/>
  <c r="CC9" i="3"/>
  <c r="BA10" i="3"/>
  <c r="AF11" i="3"/>
  <c r="CC24" i="3"/>
  <c r="BH30" i="3"/>
  <c r="R32" i="3"/>
  <c r="AF32" i="3"/>
  <c r="AT32" i="3"/>
  <c r="BH32" i="3"/>
  <c r="BV32" i="3"/>
  <c r="BH34" i="3"/>
  <c r="R36" i="3"/>
  <c r="AF36" i="3"/>
  <c r="AT36" i="3"/>
  <c r="BH36" i="3"/>
  <c r="BV36" i="3"/>
  <c r="AM10" i="3"/>
  <c r="R11" i="3"/>
  <c r="BO24" i="3"/>
  <c r="AT30" i="3"/>
  <c r="Y10" i="3"/>
  <c r="BV20" i="3"/>
  <c r="BA24" i="3"/>
  <c r="CC25" i="3"/>
  <c r="AF30" i="3"/>
  <c r="AF34" i="3"/>
  <c r="CC37" i="3"/>
  <c r="R52" i="3"/>
  <c r="AF52" i="3"/>
  <c r="AT52" i="3"/>
  <c r="BH52" i="3"/>
  <c r="BV52" i="3"/>
  <c r="BH20" i="3"/>
  <c r="AM24" i="3"/>
  <c r="BO25" i="3"/>
  <c r="R30" i="3"/>
  <c r="Y31" i="3"/>
  <c r="AM31" i="3"/>
  <c r="BA31" i="3"/>
  <c r="BO31" i="3"/>
  <c r="CC31" i="3"/>
  <c r="R34" i="3"/>
  <c r="BO37" i="3"/>
  <c r="Y38" i="3"/>
  <c r="AM38" i="3"/>
  <c r="BA38" i="3"/>
  <c r="BO38" i="3"/>
  <c r="CC38" i="3"/>
  <c r="Y47" i="3"/>
  <c r="AM47" i="3"/>
  <c r="BA47" i="3"/>
  <c r="BO47" i="3"/>
  <c r="CC47" i="3"/>
  <c r="Y51" i="3"/>
  <c r="AM51" i="3"/>
  <c r="BA51" i="3"/>
  <c r="BO51" i="3"/>
  <c r="CC51" i="3"/>
  <c r="BV14" i="3"/>
  <c r="AT20" i="3"/>
  <c r="Y24" i="3"/>
  <c r="BA25" i="3"/>
  <c r="R28" i="3"/>
  <c r="AF28" i="3"/>
  <c r="AT28" i="3"/>
  <c r="BH28" i="3"/>
  <c r="BV28" i="3"/>
  <c r="BA37" i="3"/>
  <c r="Y39" i="3"/>
  <c r="AM39" i="3"/>
  <c r="BA39" i="3"/>
  <c r="BO39" i="3"/>
  <c r="CC39" i="3"/>
  <c r="R41" i="3"/>
  <c r="AF41" i="3"/>
  <c r="AT41" i="3"/>
  <c r="BH41" i="3"/>
  <c r="BV41" i="3"/>
  <c r="Y43" i="3"/>
  <c r="AM43" i="3"/>
  <c r="BA43" i="3"/>
  <c r="BO43" i="3"/>
  <c r="CC43" i="3"/>
  <c r="CC7" i="3"/>
  <c r="BH14" i="3"/>
  <c r="AF20" i="3"/>
  <c r="AM25" i="3"/>
  <c r="CC26" i="3"/>
  <c r="Y35" i="3"/>
  <c r="AM35" i="3"/>
  <c r="BA35" i="3"/>
  <c r="BO35" i="3"/>
  <c r="CC35" i="3"/>
  <c r="AM37" i="3"/>
  <c r="R45" i="3"/>
  <c r="AF45" i="3"/>
  <c r="AT45" i="3"/>
  <c r="BH45" i="3"/>
  <c r="BV45" i="3"/>
  <c r="Y48" i="3"/>
  <c r="AM48" i="3"/>
  <c r="BA48" i="3"/>
  <c r="BO48" i="3"/>
  <c r="CC48" i="3"/>
  <c r="BO7" i="3"/>
  <c r="AT14" i="3"/>
  <c r="CC17" i="3"/>
  <c r="R20" i="3"/>
  <c r="Y25" i="3"/>
  <c r="BO26" i="3"/>
  <c r="Y32" i="3"/>
  <c r="AM32" i="3"/>
  <c r="BA32" i="3"/>
  <c r="BO32" i="3"/>
  <c r="CC32" i="3"/>
  <c r="Y36" i="3"/>
  <c r="AM36" i="3"/>
  <c r="BA36" i="3"/>
  <c r="BO36" i="3"/>
  <c r="CC36" i="3"/>
  <c r="Y37" i="3"/>
  <c r="BA7" i="3"/>
  <c r="AF14" i="3"/>
  <c r="BO17" i="3"/>
  <c r="BA26" i="3"/>
  <c r="Y33" i="3"/>
  <c r="AM33" i="3"/>
  <c r="BA33" i="3"/>
  <c r="BO33" i="3"/>
  <c r="CC33" i="3"/>
  <c r="Y40" i="3"/>
  <c r="AM40" i="3"/>
  <c r="BA40" i="3"/>
  <c r="BO40" i="3"/>
  <c r="CC40" i="3"/>
  <c r="R42" i="3"/>
  <c r="AF42" i="3"/>
  <c r="AT42" i="3"/>
  <c r="BH42" i="3"/>
  <c r="BV42" i="3"/>
  <c r="AM7" i="3"/>
  <c r="R14" i="3"/>
  <c r="BA17" i="3"/>
  <c r="AM26" i="3"/>
  <c r="BO10" i="3"/>
  <c r="AT11" i="3"/>
  <c r="BV30" i="3"/>
  <c r="BV34" i="3"/>
  <c r="R35" i="3"/>
  <c r="AF35" i="3"/>
  <c r="AT35" i="3"/>
  <c r="BH35" i="3"/>
  <c r="BV35" i="3"/>
  <c r="Y45" i="3"/>
  <c r="AM45" i="3"/>
  <c r="BA45" i="3"/>
  <c r="BO45" i="3"/>
  <c r="CC45" i="3"/>
  <c r="R48" i="3"/>
  <c r="AF48" i="3"/>
  <c r="AT48" i="3"/>
  <c r="BH48" i="3"/>
  <c r="BV48" i="3"/>
  <c r="CC10" i="3"/>
  <c r="Y17" i="3"/>
  <c r="BA28" i="3"/>
  <c r="BV38" i="3"/>
  <c r="BA41" i="3"/>
  <c r="CC42" i="3"/>
  <c r="BH43" i="3"/>
  <c r="AM28" i="3"/>
  <c r="BH38" i="3"/>
  <c r="BV39" i="3"/>
  <c r="AM41" i="3"/>
  <c r="BO42" i="3"/>
  <c r="AT43" i="3"/>
  <c r="Y49" i="3"/>
  <c r="AM49" i="3"/>
  <c r="BA49" i="3"/>
  <c r="BO49" i="3"/>
  <c r="CC49" i="3"/>
  <c r="Y28" i="3"/>
  <c r="AT38" i="3"/>
  <c r="BH39" i="3"/>
  <c r="Y41" i="3"/>
  <c r="BA42" i="3"/>
  <c r="AF43" i="3"/>
  <c r="Y46" i="3"/>
  <c r="AM46" i="3"/>
  <c r="BA46" i="3"/>
  <c r="BO46" i="3"/>
  <c r="CC46" i="3"/>
  <c r="BV47" i="3"/>
  <c r="BV51" i="3"/>
  <c r="AF38" i="3"/>
  <c r="AT39" i="3"/>
  <c r="AM42" i="3"/>
  <c r="R43" i="3"/>
  <c r="BH47" i="3"/>
  <c r="BH51" i="3"/>
  <c r="CC52" i="3"/>
  <c r="Y53" i="3"/>
  <c r="AM53" i="3"/>
  <c r="BA53" i="3"/>
  <c r="BO53" i="3"/>
  <c r="CC53" i="3"/>
  <c r="R38" i="3"/>
  <c r="AF39" i="3"/>
  <c r="BV40" i="3"/>
  <c r="Y42" i="3"/>
  <c r="AT47" i="3"/>
  <c r="AT51" i="3"/>
  <c r="BO52" i="3"/>
  <c r="R39" i="3"/>
  <c r="BH40" i="3"/>
  <c r="R44" i="3"/>
  <c r="AF44" i="3"/>
  <c r="AT44" i="3"/>
  <c r="BH44" i="3"/>
  <c r="BV44" i="3"/>
  <c r="AF47" i="3"/>
  <c r="AT40" i="3"/>
  <c r="R47" i="3"/>
  <c r="R51" i="3"/>
  <c r="BV11" i="3"/>
  <c r="BV31" i="3"/>
  <c r="BV33" i="3"/>
  <c r="AT34" i="3"/>
  <c r="AF40" i="3"/>
  <c r="R49" i="3"/>
  <c r="AF49" i="3"/>
  <c r="AT49" i="3"/>
  <c r="BH49" i="3"/>
  <c r="BV49" i="3"/>
  <c r="Y52" i="3"/>
  <c r="Y44" i="3"/>
  <c r="CC28" i="3"/>
  <c r="CC41" i="3"/>
  <c r="BV43" i="3"/>
  <c r="BV53" i="3"/>
  <c r="BO28" i="3"/>
  <c r="BO41" i="3"/>
  <c r="Y50" i="3"/>
  <c r="AM50" i="3"/>
  <c r="BA50" i="3"/>
  <c r="BO50" i="3"/>
  <c r="CC50" i="3"/>
  <c r="BH53" i="3"/>
  <c r="BV46" i="3"/>
  <c r="AT53" i="3"/>
  <c r="BH46" i="3"/>
  <c r="AF53" i="3"/>
  <c r="AT46" i="3"/>
  <c r="AF51" i="3"/>
  <c r="R53" i="3"/>
  <c r="Y54" i="3"/>
  <c r="AM54" i="3"/>
  <c r="BA54" i="3"/>
  <c r="BO54" i="3"/>
  <c r="CC54" i="3"/>
  <c r="BH33" i="3"/>
  <c r="AF46" i="3"/>
  <c r="R31" i="3"/>
  <c r="AM44" i="3"/>
  <c r="R40" i="3"/>
  <c r="R46" i="3"/>
  <c r="AF50" i="3"/>
  <c r="R50" i="3"/>
  <c r="AT33" i="3"/>
  <c r="CC44" i="3"/>
  <c r="BH31" i="3"/>
  <c r="AF33" i="3"/>
  <c r="BO44" i="3"/>
  <c r="AT31" i="3"/>
  <c r="R33" i="3"/>
  <c r="BA44" i="3"/>
  <c r="BA52" i="3"/>
  <c r="AF31" i="3"/>
  <c r="AM52" i="3"/>
  <c r="Y26" i="3"/>
  <c r="BH11" i="3"/>
  <c r="BV54" i="3"/>
  <c r="AT50" i="3"/>
  <c r="R54" i="3"/>
  <c r="BV50" i="3"/>
  <c r="BH50" i="3"/>
  <c r="BH54" i="3"/>
  <c r="AM17" i="3"/>
  <c r="AT54" i="3"/>
  <c r="AF54" i="3"/>
  <c r="Y7" i="3"/>
  <c r="AJ28" i="4" l="1"/>
  <c r="AK53" i="4"/>
  <c r="AJ35" i="4"/>
  <c r="AK52" i="4"/>
  <c r="AI19" i="4"/>
  <c r="AJ47" i="4"/>
  <c r="AI9" i="4"/>
  <c r="AH10" i="4"/>
  <c r="AJ41" i="4"/>
  <c r="AI16" i="4"/>
  <c r="AE12" i="4"/>
  <c r="AI13" i="4"/>
  <c r="AJ43" i="4"/>
  <c r="AH26" i="4"/>
  <c r="AI25" i="4"/>
  <c r="AE18" i="4"/>
  <c r="AE21" i="4"/>
  <c r="AH7" i="4"/>
  <c r="AK42" i="4"/>
  <c r="AH23" i="4"/>
  <c r="AJ27" i="4"/>
  <c r="AI20" i="4"/>
  <c r="AK36" i="4"/>
  <c r="AJ46" i="4"/>
  <c r="AI22" i="4"/>
  <c r="AE14" i="4"/>
  <c r="AK49" i="4"/>
  <c r="AE13" i="4"/>
  <c r="AH9" i="4"/>
  <c r="AK40" i="4"/>
  <c r="AE17" i="4"/>
  <c r="AH11" i="4"/>
  <c r="AJ48" i="4"/>
  <c r="AE15" i="4"/>
  <c r="AI7" i="4"/>
  <c r="AK7" i="4" s="1"/>
  <c r="AH25" i="4"/>
  <c r="AH16" i="4"/>
  <c r="AE9" i="4"/>
  <c r="AH22" i="4"/>
  <c r="AE8" i="4"/>
  <c r="AE22" i="4"/>
  <c r="AH19" i="4"/>
  <c r="AK27" i="4"/>
  <c r="AJ33" i="4"/>
  <c r="AK38" i="4"/>
  <c r="AK44" i="4"/>
  <c r="AH8" i="4"/>
  <c r="AI14" i="4"/>
  <c r="AE24" i="4"/>
  <c r="AE19" i="4"/>
  <c r="AI24" i="4"/>
  <c r="AE10" i="4"/>
  <c r="AJ10" i="4" s="1"/>
  <c r="AI15" i="4"/>
  <c r="AH15" i="4"/>
  <c r="AI23" i="4"/>
  <c r="AK23" i="4" s="1"/>
  <c r="AK45" i="4"/>
  <c r="AK33" i="4"/>
  <c r="AE26" i="4"/>
  <c r="AH21" i="4"/>
  <c r="AH13" i="4"/>
  <c r="AI12" i="4"/>
  <c r="AI17" i="4"/>
  <c r="AE11" i="4"/>
  <c r="AJ11" i="4" s="1"/>
  <c r="AJ54" i="4"/>
  <c r="AK54" i="4"/>
  <c r="AJ29" i="4"/>
  <c r="AK29" i="4"/>
  <c r="AE25" i="4"/>
  <c r="AK35" i="4"/>
  <c r="AK19" i="4"/>
  <c r="AH12" i="4"/>
  <c r="AJ12" i="4" s="1"/>
  <c r="AH17" i="4"/>
  <c r="AE23" i="4"/>
  <c r="AJ23" i="4" s="1"/>
  <c r="AE20" i="4"/>
  <c r="AI21" i="4"/>
  <c r="AH24" i="4"/>
  <c r="AJ52" i="4"/>
  <c r="AH20" i="4"/>
  <c r="AI10" i="4"/>
  <c r="AK10" i="4" s="1"/>
  <c r="AI26" i="4"/>
  <c r="AI8" i="4"/>
  <c r="AK30" i="4"/>
  <c r="AK48" i="4"/>
  <c r="AJ50" i="4"/>
  <c r="AK50" i="4"/>
  <c r="AI18" i="4"/>
  <c r="AE16" i="4"/>
  <c r="AJ16" i="4" s="1"/>
  <c r="AE7" i="4"/>
  <c r="AJ7" i="4" s="1"/>
  <c r="AI11" i="4"/>
  <c r="AH14" i="4"/>
  <c r="AH18" i="4"/>
  <c r="CC3" i="3"/>
  <c r="Q18" i="4" s="1"/>
  <c r="BV3" i="3"/>
  <c r="P18" i="4" s="1"/>
  <c r="BO3" i="3"/>
  <c r="O18" i="4" s="1"/>
  <c r="BH3" i="3"/>
  <c r="N18" i="4" s="1"/>
  <c r="BA3" i="3"/>
  <c r="M18" i="4" s="1"/>
  <c r="AT3" i="3"/>
  <c r="L18" i="4" s="1"/>
  <c r="AM3" i="3"/>
  <c r="K18" i="4" s="1"/>
  <c r="AF3" i="3"/>
  <c r="J18" i="4" s="1"/>
  <c r="Y3" i="3"/>
  <c r="I18" i="4" s="1"/>
  <c r="R3" i="3"/>
  <c r="H18" i="4" s="1"/>
  <c r="AK21" i="4" l="1"/>
  <c r="AK16" i="4"/>
  <c r="AJ8" i="4"/>
  <c r="AK26" i="4"/>
  <c r="AJ26" i="4"/>
  <c r="AJ14" i="4"/>
  <c r="AK20" i="4"/>
  <c r="AK11" i="4"/>
  <c r="AK15" i="4"/>
  <c r="AK9" i="4"/>
  <c r="AJ18" i="4"/>
  <c r="AJ19" i="4"/>
  <c r="AJ22" i="4"/>
  <c r="AJ21" i="4"/>
  <c r="AK8" i="4"/>
  <c r="AJ9" i="4"/>
  <c r="AK25" i="4"/>
  <c r="AJ13" i="4"/>
  <c r="AK13" i="4"/>
  <c r="AK22" i="4"/>
  <c r="AJ25" i="4"/>
  <c r="AJ24" i="4"/>
  <c r="AJ15" i="4"/>
  <c r="AK18" i="4"/>
  <c r="AJ17" i="4"/>
  <c r="AK17" i="4"/>
  <c r="AK14" i="4"/>
  <c r="AJ20" i="4"/>
  <c r="AK24" i="4"/>
  <c r="AK12" i="4"/>
  <c r="I31" i="4" a="1"/>
  <c r="I31" i="4" s="1"/>
  <c r="I30" i="4" a="1"/>
  <c r="I30" i="4" s="1"/>
  <c r="I20" i="4"/>
  <c r="I32" i="4" a="1"/>
  <c r="I32" i="4" s="1"/>
  <c r="I25" i="4" a="1"/>
  <c r="I25" i="4" s="1"/>
  <c r="I26" i="4" a="1"/>
  <c r="I26" i="4" s="1"/>
  <c r="I27" i="4" a="1"/>
  <c r="I27" i="4" s="1"/>
  <c r="I29" i="4" a="1"/>
  <c r="I29" i="4" s="1"/>
  <c r="I28" i="4" a="1"/>
  <c r="I28" i="4" s="1"/>
  <c r="J31" i="4" a="1"/>
  <c r="J31" i="4" s="1"/>
  <c r="J26" i="4" a="1"/>
  <c r="J26" i="4" s="1"/>
  <c r="J28" i="4" a="1"/>
  <c r="J28" i="4" s="1"/>
  <c r="J27" i="4" a="1"/>
  <c r="J27" i="4" s="1"/>
  <c r="J29" i="4" a="1"/>
  <c r="J29" i="4" s="1"/>
  <c r="J20" i="4"/>
  <c r="J30" i="4" a="1"/>
  <c r="J30" i="4" s="1"/>
  <c r="J25" i="4" a="1"/>
  <c r="J25" i="4" s="1"/>
  <c r="J32" i="4" a="1"/>
  <c r="J32" i="4" s="1"/>
  <c r="K31" i="4" a="1"/>
  <c r="K31" i="4" s="1"/>
  <c r="K25" i="4" a="1"/>
  <c r="K25" i="4" s="1"/>
  <c r="K26" i="4" a="1"/>
  <c r="K26" i="4" s="1"/>
  <c r="K27" i="4" a="1"/>
  <c r="K27" i="4" s="1"/>
  <c r="K29" i="4" a="1"/>
  <c r="K29" i="4" s="1"/>
  <c r="K30" i="4" a="1"/>
  <c r="K30" i="4" s="1"/>
  <c r="K32" i="4" a="1"/>
  <c r="K32" i="4" s="1"/>
  <c r="K28" i="4" a="1"/>
  <c r="K28" i="4" s="1"/>
  <c r="K20" i="4"/>
  <c r="L31" i="4" a="1"/>
  <c r="L31" i="4" s="1"/>
  <c r="L27" i="4" a="1"/>
  <c r="L27" i="4" s="1"/>
  <c r="L32" i="4" a="1"/>
  <c r="L32" i="4" s="1"/>
  <c r="L20" i="4"/>
  <c r="L25" i="4" a="1"/>
  <c r="L25" i="4" s="1"/>
  <c r="L28" i="4" a="1"/>
  <c r="L28" i="4" s="1"/>
  <c r="L29" i="4" a="1"/>
  <c r="L29" i="4" s="1"/>
  <c r="L30" i="4" a="1"/>
  <c r="L30" i="4" s="1"/>
  <c r="L26" i="4" a="1"/>
  <c r="L26" i="4" s="1"/>
  <c r="M31" i="4" a="1"/>
  <c r="M31" i="4" s="1"/>
  <c r="M28" i="4" a="1"/>
  <c r="M28" i="4" s="1"/>
  <c r="M27" i="4" a="1"/>
  <c r="M27" i="4" s="1"/>
  <c r="M25" i="4" a="1"/>
  <c r="M25" i="4" s="1"/>
  <c r="M29" i="4" a="1"/>
  <c r="M29" i="4" s="1"/>
  <c r="M20" i="4"/>
  <c r="M30" i="4" a="1"/>
  <c r="M30" i="4" s="1"/>
  <c r="M32" i="4" a="1"/>
  <c r="M32" i="4" s="1"/>
  <c r="M26" i="4" a="1"/>
  <c r="M26" i="4" s="1"/>
  <c r="N31" i="4" a="1"/>
  <c r="N31" i="4" s="1"/>
  <c r="N28" i="4" a="1"/>
  <c r="N28" i="4" s="1"/>
  <c r="N29" i="4" a="1"/>
  <c r="N29" i="4" s="1"/>
  <c r="N30" i="4" a="1"/>
  <c r="N30" i="4" s="1"/>
  <c r="N27" i="4" a="1"/>
  <c r="N27" i="4" s="1"/>
  <c r="N32" i="4" a="1"/>
  <c r="N32" i="4" s="1"/>
  <c r="N20" i="4"/>
  <c r="K23" i="11" s="1"/>
  <c r="N26" i="4" a="1"/>
  <c r="N26" i="4" s="1"/>
  <c r="N25" i="4" a="1"/>
  <c r="N25" i="4" s="1"/>
  <c r="O31" i="4" a="1"/>
  <c r="O31" i="4" s="1"/>
  <c r="O32" i="4" a="1"/>
  <c r="O32" i="4" s="1"/>
  <c r="O25" i="4" a="1"/>
  <c r="O25" i="4" s="1"/>
  <c r="O27" i="4" a="1"/>
  <c r="O27" i="4" s="1"/>
  <c r="O20" i="4"/>
  <c r="K24" i="11" s="1"/>
  <c r="O30" i="4" a="1"/>
  <c r="O30" i="4" s="1"/>
  <c r="O28" i="4" a="1"/>
  <c r="O28" i="4" s="1"/>
  <c r="O29" i="4" a="1"/>
  <c r="O29" i="4" s="1"/>
  <c r="O26" i="4" a="1"/>
  <c r="O26" i="4" s="1"/>
  <c r="P31" i="4" a="1"/>
  <c r="P31" i="4" s="1"/>
  <c r="P27" i="4" a="1"/>
  <c r="P27" i="4" s="1"/>
  <c r="P26" i="4" a="1"/>
  <c r="P26" i="4" s="1"/>
  <c r="P28" i="4" a="1"/>
  <c r="P28" i="4" s="1"/>
  <c r="P20" i="4"/>
  <c r="K25" i="11" s="1"/>
  <c r="P29" i="4" a="1"/>
  <c r="P29" i="4" s="1"/>
  <c r="P30" i="4" a="1"/>
  <c r="P30" i="4" s="1"/>
  <c r="P32" i="4" a="1"/>
  <c r="P32" i="4" s="1"/>
  <c r="P25" i="4" a="1"/>
  <c r="P25" i="4" s="1"/>
  <c r="H31" i="4" a="1"/>
  <c r="H31" i="4" s="1"/>
  <c r="H27" i="4" a="1"/>
  <c r="H27" i="4" s="1"/>
  <c r="H32" i="4" a="1"/>
  <c r="H32" i="4" s="1"/>
  <c r="H26" i="4" a="1"/>
  <c r="H26" i="4" s="1"/>
  <c r="H25" i="4" a="1"/>
  <c r="H25" i="4" s="1"/>
  <c r="H30" i="4" a="1"/>
  <c r="H30" i="4" s="1"/>
  <c r="H20" i="4"/>
  <c r="H28" i="4" a="1"/>
  <c r="H28" i="4" s="1"/>
  <c r="H29" i="4" a="1"/>
  <c r="H29" i="4" s="1"/>
  <c r="Q31" i="4" a="1"/>
  <c r="Q31" i="4" s="1"/>
  <c r="Q32" i="4" a="1"/>
  <c r="Q32" i="4" s="1"/>
  <c r="Q30" i="4" a="1"/>
  <c r="Q30" i="4" s="1"/>
  <c r="Q20" i="4"/>
  <c r="K26" i="11" s="1"/>
  <c r="Q29" i="4" a="1"/>
  <c r="Q29" i="4" s="1"/>
  <c r="Q26" i="4" a="1"/>
  <c r="Q26" i="4" s="1"/>
  <c r="Q27" i="4" a="1"/>
  <c r="Q27" i="4" s="1"/>
  <c r="Q25" i="4" a="1"/>
  <c r="Q25" i="4" s="1"/>
  <c r="Q28" i="4" a="1"/>
  <c r="Q28" i="4" s="1"/>
  <c r="P33" i="4" l="1"/>
  <c r="L33" i="4"/>
  <c r="K33" i="4"/>
  <c r="G49" i="4"/>
  <c r="G59" i="4" s="1"/>
  <c r="H59" i="4" s="1"/>
  <c r="X30" i="4"/>
  <c r="G41" i="4"/>
  <c r="G51" i="4" s="1"/>
  <c r="H51" i="4" s="1"/>
  <c r="I5" i="4" a="1"/>
  <c r="I5" i="4" s="1"/>
  <c r="J5" i="4" a="1"/>
  <c r="J5" i="4" s="1"/>
  <c r="G45" i="4"/>
  <c r="G55" i="4" s="1"/>
  <c r="H55" i="4" s="1"/>
  <c r="W26" i="4" s="1"/>
  <c r="O33" i="4"/>
  <c r="N33" i="4"/>
  <c r="G46" i="4"/>
  <c r="G56" i="4" s="1"/>
  <c r="H56" i="4" s="1"/>
  <c r="W27" i="4" s="1"/>
  <c r="J33" i="4"/>
  <c r="I33" i="4"/>
  <c r="X28" i="4"/>
  <c r="G47" i="4"/>
  <c r="G57" i="4" s="1"/>
  <c r="H57" i="4" s="1"/>
  <c r="M33" i="4"/>
  <c r="X29" i="4"/>
  <c r="G48" i="4"/>
  <c r="G58" i="4" s="1"/>
  <c r="H58" i="4" s="1"/>
  <c r="Q33" i="4"/>
  <c r="G44" i="4"/>
  <c r="G54" i="4" s="1"/>
  <c r="H54" i="4" s="1"/>
  <c r="W25" i="4" s="1"/>
  <c r="G43" i="4"/>
  <c r="G53" i="4" s="1"/>
  <c r="H53" i="4" s="1"/>
  <c r="W24" i="4" s="1"/>
  <c r="G42" i="4"/>
  <c r="G52" i="4" s="1"/>
  <c r="H52" i="4" s="1"/>
  <c r="W23" i="4" s="1"/>
  <c r="H33" i="4"/>
  <c r="G50" i="4"/>
  <c r="G60" i="4" s="1"/>
  <c r="H60" i="4" s="1"/>
  <c r="X31" i="4"/>
  <c r="W38" i="4" l="1"/>
  <c r="K18" i="11"/>
  <c r="W42" i="4"/>
  <c r="K22" i="11"/>
  <c r="X24" i="4"/>
  <c r="X26" i="4"/>
  <c r="K21" i="11"/>
  <c r="W40" i="4"/>
  <c r="K20" i="11"/>
  <c r="W39" i="4"/>
  <c r="K19" i="11"/>
  <c r="W41" i="4"/>
  <c r="W21" i="4"/>
  <c r="W22" i="4"/>
  <c r="K17" i="11" s="1"/>
  <c r="X25" i="4"/>
  <c r="X27" i="4"/>
  <c r="L36" i="9" l="1"/>
  <c r="L34" i="9"/>
  <c r="L36" i="8"/>
  <c r="L35" i="9"/>
  <c r="L34" i="8"/>
  <c r="L37" i="8"/>
  <c r="L37" i="9"/>
  <c r="L35" i="8"/>
  <c r="W37" i="4"/>
  <c r="X23" i="4"/>
  <c r="W36" i="4"/>
  <c r="X21" i="4"/>
  <c r="X22" i="4"/>
  <c r="L33" i="9" l="1"/>
  <c r="L31" i="9"/>
  <c r="L32" i="9"/>
  <c r="L33" i="8"/>
  <c r="L31" i="8"/>
  <c r="L32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Y4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Para este calculo se deja el valor de referencia de 8 000 kg/m3</t>
        </r>
      </text>
    </comment>
  </commentList>
</comments>
</file>

<file path=xl/sharedStrings.xml><?xml version="1.0" encoding="utf-8"?>
<sst xmlns="http://schemas.openxmlformats.org/spreadsheetml/2006/main" count="2324" uniqueCount="1416">
  <si>
    <t>OR(ISERROR(MATCH(G24,Calibración!$BW$5:$BW$54,0)),H24&lt;C26)=FALSE</t>
  </si>
  <si>
    <t>OR(ISERROR(MATCH(G23,Calibración!$BW$5:$BW$54,0)),H23&lt;C25)=FALSE</t>
  </si>
  <si>
    <t>OR(ISERROR(MATCH(G22,Calibración!$BW$5:$BW$54,0)),H22&lt;C24)=FALSE</t>
  </si>
  <si>
    <t>Formato condicional</t>
  </si>
  <si>
    <t>No aplica</t>
  </si>
  <si>
    <t>No</t>
  </si>
  <si>
    <t>Sí</t>
  </si>
  <si>
    <t>Talleres abiertos, salas de fábricas</t>
  </si>
  <si>
    <t>Lugares sin ventanas en el centro de un edificio</t>
  </si>
  <si>
    <t>Una oficina o un laboratorio cerrados con ventanas</t>
  </si>
  <si>
    <t>in situ</t>
  </si>
  <si>
    <t>lab. Metrocal</t>
  </si>
  <si>
    <t>||||</t>
  </si>
  <si>
    <t>|||</t>
  </si>
  <si>
    <t>||</t>
  </si>
  <si>
    <t>|</t>
  </si>
  <si>
    <t>Multi-intervalo</t>
  </si>
  <si>
    <t>Intervalo único</t>
  </si>
  <si>
    <t>Tolva</t>
  </si>
  <si>
    <t>Balanza Colgante</t>
  </si>
  <si>
    <t>Balanza de Humedad</t>
  </si>
  <si>
    <t>Balanza Analítica</t>
  </si>
  <si>
    <t>Balanza Digital</t>
  </si>
  <si>
    <t>Balanza Mecánica</t>
  </si>
  <si>
    <t>Balanza Analógica</t>
  </si>
  <si>
    <t>-</t>
  </si>
  <si>
    <t>M1</t>
  </si>
  <si>
    <t>F2</t>
  </si>
  <si>
    <t>(valores típicos recomendados para obtener resultados exitosos)</t>
  </si>
  <si>
    <t>F1</t>
  </si>
  <si>
    <t>Condiciones termales y de humedad relativa durante calibración (R111-1-e04, C1)</t>
  </si>
  <si>
    <t>¬</t>
  </si>
  <si>
    <t>E2</t>
  </si>
  <si>
    <t>E1</t>
  </si>
  <si>
    <r>
      <rPr>
        <sz val="11"/>
        <color theme="1"/>
        <rFont val="Symbol"/>
        <family val="1"/>
        <charset val="2"/>
      </rPr>
      <t>D</t>
    </r>
    <r>
      <rPr>
        <sz val="9.15"/>
        <color theme="1"/>
        <rFont val="Calibri"/>
        <family val="2"/>
      </rPr>
      <t>RHx4h ±%</t>
    </r>
  </si>
  <si>
    <t>Clase</t>
  </si>
  <si>
    <r>
      <t xml:space="preserve">Variación de </t>
    </r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Aptos Narrow"/>
        <family val="2"/>
        <scheme val="minor"/>
      </rPr>
      <t xml:space="preserve">t o </t>
    </r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Aptos Narrow"/>
        <family val="2"/>
        <scheme val="minor"/>
      </rPr>
      <t>RH durante calibración excede recomendada.</t>
    </r>
  </si>
  <si>
    <r>
      <rPr>
        <b/>
        <sz val="10"/>
        <rFont val="Symbol"/>
        <family val="1"/>
        <charset val="2"/>
      </rPr>
      <t>D</t>
    </r>
    <r>
      <rPr>
        <b/>
        <sz val="10"/>
        <rFont val="Aptos Narrow"/>
        <family val="2"/>
        <scheme val="minor"/>
      </rPr>
      <t>RH [%]</t>
    </r>
  </si>
  <si>
    <r>
      <rPr>
        <b/>
        <sz val="10"/>
        <rFont val="Symbol"/>
        <family val="1"/>
        <charset val="2"/>
      </rPr>
      <t>D</t>
    </r>
    <r>
      <rPr>
        <b/>
        <sz val="7.5"/>
        <rFont val="Calibri"/>
        <family val="2"/>
      </rPr>
      <t>t</t>
    </r>
    <r>
      <rPr>
        <b/>
        <sz val="10"/>
        <rFont val="Aptos Narrow"/>
        <family val="2"/>
        <scheme val="minor"/>
      </rPr>
      <t>=t</t>
    </r>
    <r>
      <rPr>
        <b/>
        <vertAlign val="subscript"/>
        <sz val="10"/>
        <rFont val="Aptos Narrow"/>
        <family val="2"/>
        <scheme val="minor"/>
      </rPr>
      <t>inicio.cal</t>
    </r>
    <r>
      <rPr>
        <b/>
        <sz val="10"/>
        <rFont val="Aptos Narrow"/>
        <family val="2"/>
        <scheme val="minor"/>
      </rPr>
      <t>-t</t>
    </r>
    <r>
      <rPr>
        <b/>
        <vertAlign val="subscript"/>
        <sz val="10"/>
        <rFont val="Aptos Narrow"/>
        <family val="2"/>
        <scheme val="minor"/>
      </rPr>
      <t>fin.cal</t>
    </r>
    <r>
      <rPr>
        <b/>
        <sz val="10"/>
        <rFont val="Aptos Narrow"/>
        <family val="2"/>
        <scheme val="minor"/>
      </rPr>
      <t xml:space="preserve"> [</t>
    </r>
    <r>
      <rPr>
        <b/>
        <vertAlign val="superscript"/>
        <sz val="10"/>
        <rFont val="Aptos Narrow"/>
        <family val="2"/>
        <scheme val="minor"/>
      </rPr>
      <t>o</t>
    </r>
    <r>
      <rPr>
        <b/>
        <sz val="10"/>
        <rFont val="Aptos Narrow"/>
        <family val="2"/>
        <scheme val="minor"/>
      </rPr>
      <t>C]</t>
    </r>
  </si>
  <si>
    <r>
      <rPr>
        <sz val="11"/>
        <color theme="1"/>
        <rFont val="Symbol"/>
        <family val="1"/>
        <charset val="2"/>
      </rPr>
      <t>D</t>
    </r>
    <r>
      <rPr>
        <sz val="9.15"/>
        <color theme="1"/>
        <rFont val="Calibri"/>
        <family val="2"/>
      </rPr>
      <t>t por hora ±</t>
    </r>
    <r>
      <rPr>
        <vertAlign val="superscript"/>
        <sz val="7.6"/>
        <color theme="1"/>
        <rFont val="Calibri"/>
        <family val="2"/>
      </rPr>
      <t>o</t>
    </r>
    <r>
      <rPr>
        <sz val="7.6"/>
        <color theme="1"/>
        <rFont val="Calibri"/>
        <family val="2"/>
      </rPr>
      <t>C</t>
    </r>
  </si>
  <si>
    <t>Control ambiental funcionamiento normal patrones (R111-1)</t>
  </si>
  <si>
    <t>Exactitud medición PB ±</t>
  </si>
  <si>
    <t>Promedio presión barométrica, hPa</t>
  </si>
  <si>
    <t>Clase exactitud</t>
  </si>
  <si>
    <t>Celda condicional</t>
  </si>
  <si>
    <t>Presión barométrica final, hPa</t>
  </si>
  <si>
    <t>Incertidumbre fabricante 2 ±</t>
  </si>
  <si>
    <t>Presión barométrica inicial, hPa</t>
  </si>
  <si>
    <t>Incertidumbre fabricante 1 ±</t>
  </si>
  <si>
    <t>Resultados de cálculos</t>
  </si>
  <si>
    <t>Resolución higrotermometro HR %</t>
  </si>
  <si>
    <t>Resolución 2</t>
  </si>
  <si>
    <t>Exactitud medición HR ± %</t>
  </si>
  <si>
    <t>0,01 g</t>
  </si>
  <si>
    <t>Resolución 1</t>
  </si>
  <si>
    <t>Celdas fuente listas despl.</t>
  </si>
  <si>
    <t>Promedio humedad relativa, %</t>
  </si>
  <si>
    <t>Rango de medida 2</t>
  </si>
  <si>
    <t>Humedad relativa final, %</t>
  </si>
  <si>
    <t>0 g a 100 g</t>
  </si>
  <si>
    <t>Rango de medida 1</t>
  </si>
  <si>
    <t>Fórmulas de búsqueda</t>
  </si>
  <si>
    <t>Humedad relativa inicial, %</t>
  </si>
  <si>
    <t>Tipo de escala</t>
  </si>
  <si>
    <r>
      <t xml:space="preserve">Resolución temperatura higrotm. </t>
    </r>
    <r>
      <rPr>
        <vertAlign val="super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C</t>
    </r>
  </si>
  <si>
    <t>54654asd</t>
  </si>
  <si>
    <t>Serie</t>
  </si>
  <si>
    <t>Ing. Fredman A. Méndez M.</t>
  </si>
  <si>
    <t>Director calidad</t>
  </si>
  <si>
    <r>
      <t xml:space="preserve">Exactitud med. temp. ambiental </t>
    </r>
    <r>
      <rPr>
        <sz val="11"/>
        <color theme="1"/>
        <rFont val="Calibri"/>
        <family val="2"/>
      </rPr>
      <t xml:space="preserve">± </t>
    </r>
    <r>
      <rPr>
        <vertAlign val="superscript"/>
        <sz val="11"/>
        <color theme="1"/>
        <rFont val="Calibri"/>
        <family val="2"/>
      </rPr>
      <t>0</t>
    </r>
    <r>
      <rPr>
        <sz val="11"/>
        <color theme="1"/>
        <rFont val="Calibri"/>
        <family val="2"/>
      </rPr>
      <t>C</t>
    </r>
  </si>
  <si>
    <t>346asd</t>
  </si>
  <si>
    <t>Modelo</t>
  </si>
  <si>
    <t>Director técnico</t>
  </si>
  <si>
    <t>Promedio temperaturas, °C</t>
  </si>
  <si>
    <t>gtergd</t>
  </si>
  <si>
    <t>Fabricante / Marca</t>
  </si>
  <si>
    <t>Aprobada por</t>
  </si>
  <si>
    <t>Temperatura ambiental final, °C</t>
  </si>
  <si>
    <t>Objeto de calibración</t>
  </si>
  <si>
    <t xml:space="preserve">Fecha de aprobación </t>
  </si>
  <si>
    <t>Ambiente de calibracion</t>
  </si>
  <si>
    <t>Temperatura ambiental inicial, °C</t>
  </si>
  <si>
    <t>002456635</t>
  </si>
  <si>
    <t>Código de identificación</t>
  </si>
  <si>
    <t>Fecha de validación</t>
  </si>
  <si>
    <t>Nicaragua, Managua, Bello Horizonte VI Etapa, Casa #135.</t>
  </si>
  <si>
    <t>Lugar de calibración</t>
  </si>
  <si>
    <t>Higrotermometro marca</t>
  </si>
  <si>
    <t>2021-01-01</t>
  </si>
  <si>
    <t>Fecha de calibración</t>
  </si>
  <si>
    <t>Fecha de revisión</t>
  </si>
  <si>
    <t>Dirección del solicitante</t>
  </si>
  <si>
    <t>NI-MCPPT-06</t>
  </si>
  <si>
    <t>Higrotermometro código</t>
  </si>
  <si>
    <t>NI-CS-075-17</t>
  </si>
  <si>
    <t>Código de servicio</t>
  </si>
  <si>
    <t xml:space="preserve">Versión </t>
  </si>
  <si>
    <t>San Lotano Cigars S.A.</t>
  </si>
  <si>
    <t>Solicitante</t>
  </si>
  <si>
    <t>NI-MC-B-XXX-2020</t>
  </si>
  <si>
    <t>Identificación del certificado</t>
  </si>
  <si>
    <t>NI-R02-MCIT-B-01</t>
  </si>
  <si>
    <t>Código</t>
  </si>
  <si>
    <t>Detalles</t>
  </si>
  <si>
    <t>Cliente</t>
  </si>
  <si>
    <t>Condiciones ambientales</t>
  </si>
  <si>
    <t>Certificado Balanza</t>
  </si>
  <si>
    <t>Hoja de cálculo</t>
  </si>
  <si>
    <t>tblCompPuntosCal[mN1 '[g']],tblCompPuntosCal[mN2],tblCompPuntosCal[mN3 '[g']],tblCompPuntosCal[mN4 '[g']],tblCompPuntosCal[mN5 '[g']],tblCompPuntosCal[mN6 '[g']],tblCompPuntosCal[mN7 '[g']],tblCompPuntosCal[mN8],tblCompPuntosCal[mN9],tblCompPuntosCal[mN10]</t>
  </si>
  <si>
    <t>PatronsList</t>
  </si>
  <si>
    <t>La resolución de una indicación no puede ser mayor que la división de escala del istrumento de pesaje.</t>
  </si>
  <si>
    <t>EXACT(E23,ROUND(E23,decimales))</t>
  </si>
  <si>
    <t>Validación hasta división de escala de balanza más fina</t>
  </si>
  <si>
    <t>© https://www.extendoffice.com/documents/excel/4095-excel-highlight-closest-value.html</t>
  </si>
  <si>
    <t>IF($H$3&lt;&gt;0,IF($J$3=0,ABS(J8-$H$3/3)=MIN(ABS($J$8:$J$13-$H$3/3)),ABS(J8-($I$3+($J$3-$I$3)/3))=MIN(ABS($J$8:$J$13-($I$3+($J$3-$I$3)/3)))),)</t>
  </si>
  <si>
    <t>columna J</t>
  </si>
  <si>
    <t>IF($H$3&lt;&gt;0,IF($J$3=0,ABS(I8-$H$3/3)=MIN(ABS($I$8:$I$13-$H$3/3)),ABS(I8-($I$3+($J$3-$I$3)/3))=MIN(ABS($I$8:$I$13-($I$3+($J$3-$I$3)/3)))),)</t>
  </si>
  <si>
    <t>columna I</t>
  </si>
  <si>
    <t>IF($H$3&lt;&gt;0,IF($J$3=0,ABS(H8-$H$3/3)=MIN(ABS($H$8:$H$12-$H$3/3)),ABS(H8-($I$3+($J$3-$I$3)/3))=MIN(ABS($H$8:$H$12-($I$3+($J$3-$I$3)/3)))),)</t>
  </si>
  <si>
    <t>columna H</t>
  </si>
  <si>
    <t>IF(AND($J$3&lt;&gt;0,$J$3-$I$3&lt;0.15*$H$3),ABS(G8-$H$3/3)=MIN(ABS($G$8:$G$11-$H$3/3)),0)</t>
  </si>
  <si>
    <t>columna G</t>
  </si>
  <si>
    <t>calabaza - excentricidad</t>
  </si>
  <si>
    <t>IF($J$3&lt;&gt;0,ABS(J8-$J$3*0.55)=MIN(ABS($J$8:$J$13-$J$3*0.55)),IF($H$3&lt;&gt;0,ABS(J8-$H$3*0.55)=MIN(ABS($J$8:$J$13-$H$3*0.55)),))</t>
  </si>
  <si>
    <t>IF($H$3&lt;&gt;0,IF($J$3&lt;&gt;0,ABS(I8-$J$3*0.55)=MIN(ABS($I$8:$I$13-$J$3*0.55)),ABS(I8-$H$3*0.55)=MIN(ABS($I$8:$I$13-$H$3*0.55))),)</t>
  </si>
  <si>
    <t>IF($H$3&lt;&gt;0,IF($J$3&lt;&gt;0,ABS(H8-$J$3*0.55)=MIN(ABS($H$8:$H$12-$J$3*0.55)),ABS(H8-$H$3*0.55)=MIN(ABS($H$8:$H$12-$H$3*0.55))),)</t>
  </si>
  <si>
    <t>IF(AND($J$3&lt;&gt;0,$J$3-$I$3&lt;0.15*$H$3),ABS(G8-$H$3*0.55)=MIN(ABS($G$8:$G$10-$H$3*0.55)),)</t>
  </si>
  <si>
    <t>verde - repetibilidad:</t>
  </si>
  <si>
    <t>Formatos condicionales calculo puntos</t>
  </si>
  <si>
    <t>lb</t>
  </si>
  <si>
    <t>kg</t>
  </si>
  <si>
    <t>g</t>
  </si>
  <si>
    <r>
      <t>u(E</t>
    </r>
    <r>
      <rPr>
        <i/>
        <vertAlign val="subscript"/>
        <sz val="11"/>
        <color theme="1"/>
        <rFont val="Aptos Narrow"/>
        <family val="2"/>
        <scheme val="minor"/>
      </rPr>
      <t>L</t>
    </r>
    <r>
      <rPr>
        <i/>
        <sz val="11"/>
        <color theme="1"/>
        <rFont val="Aptos Narrow"/>
        <family val="2"/>
        <scheme val="minor"/>
      </rPr>
      <t>)</t>
    </r>
  </si>
  <si>
    <t>der. inf. 5</t>
  </si>
  <si>
    <t>der. sup 4</t>
  </si>
  <si>
    <r>
      <t xml:space="preserve">Incert. excentr. </t>
    </r>
    <r>
      <rPr>
        <i/>
        <sz val="11"/>
        <color theme="1"/>
        <rFont val="Aptos Narrow"/>
        <family val="2"/>
        <scheme val="minor"/>
      </rPr>
      <t>u(</t>
    </r>
    <r>
      <rPr>
        <i/>
        <sz val="11"/>
        <color theme="1"/>
        <rFont val="Symbol"/>
        <family val="1"/>
        <charset val="2"/>
      </rPr>
      <t>d</t>
    </r>
    <r>
      <rPr>
        <i/>
        <sz val="11"/>
        <color theme="1"/>
        <rFont val="Aptos Narrow"/>
        <family val="2"/>
        <scheme val="minor"/>
      </rPr>
      <t>I</t>
    </r>
    <r>
      <rPr>
        <i/>
        <vertAlign val="subscript"/>
        <sz val="11"/>
        <color theme="1"/>
        <rFont val="Aptos Narrow"/>
        <family val="2"/>
        <scheme val="minor"/>
      </rPr>
      <t>ecc</t>
    </r>
    <r>
      <rPr>
        <i/>
        <sz val="11"/>
        <color theme="1"/>
        <rFont val="Aptos Narrow"/>
        <family val="2"/>
        <scheme val="minor"/>
      </rPr>
      <t>)</t>
    </r>
  </si>
  <si>
    <t>izq. sup. 3</t>
  </si>
  <si>
    <r>
      <rPr>
        <i/>
        <sz val="11"/>
        <color theme="1"/>
        <rFont val="Aptos Narrow"/>
        <family val="2"/>
        <scheme val="minor"/>
      </rPr>
      <t>2L</t>
    </r>
    <r>
      <rPr>
        <i/>
        <vertAlign val="subscript"/>
        <sz val="11"/>
        <color theme="1"/>
        <rFont val="Aptos Narrow"/>
        <family val="2"/>
        <scheme val="minor"/>
      </rPr>
      <t>ecc</t>
    </r>
    <r>
      <rPr>
        <i/>
        <sz val="11"/>
        <color theme="1"/>
        <rFont val="Symbol"/>
        <family val="1"/>
        <charset val="2"/>
      </rPr>
      <t>Ö</t>
    </r>
    <r>
      <rPr>
        <i/>
        <sz val="11"/>
        <color theme="1"/>
        <rFont val="Calibri"/>
        <family val="2"/>
      </rPr>
      <t>3 =</t>
    </r>
  </si>
  <si>
    <t>izq. inf. 2</t>
  </si>
  <si>
    <r>
      <rPr>
        <sz val="11"/>
        <color theme="1"/>
        <rFont val="Aptos Narrow"/>
        <family val="2"/>
        <scheme val="minor"/>
      </rPr>
      <t xml:space="preserve">Desviacion max </t>
    </r>
    <r>
      <rPr>
        <i/>
        <sz val="11"/>
        <color theme="1"/>
        <rFont val="Aptos Narrow"/>
        <family val="2"/>
        <scheme val="minor"/>
      </rPr>
      <t>|</t>
    </r>
    <r>
      <rPr>
        <i/>
        <sz val="11"/>
        <color theme="1"/>
        <rFont val="Symbol"/>
        <family val="1"/>
        <charset val="2"/>
      </rPr>
      <t>DI</t>
    </r>
    <r>
      <rPr>
        <i/>
        <vertAlign val="subscript"/>
        <sz val="11"/>
        <color theme="1"/>
        <rFont val="Calibri"/>
        <family val="2"/>
      </rPr>
      <t>ecc,i</t>
    </r>
    <r>
      <rPr>
        <i/>
        <sz val="11"/>
        <color theme="1"/>
        <rFont val="Calibri"/>
        <family val="2"/>
      </rPr>
      <t>|</t>
    </r>
    <r>
      <rPr>
        <i/>
        <vertAlign val="subscript"/>
        <sz val="11"/>
        <color theme="1"/>
        <rFont val="Calibri"/>
        <family val="2"/>
      </rPr>
      <t>max</t>
    </r>
  </si>
  <si>
    <t>centro 1</t>
  </si>
  <si>
    <t>Unidad de medición</t>
  </si>
  <si>
    <r>
      <t xml:space="preserve">Desviación de centro </t>
    </r>
    <r>
      <rPr>
        <sz val="11"/>
        <color theme="1"/>
        <rFont val="Symbol"/>
        <family val="1"/>
        <charset val="2"/>
      </rPr>
      <t>D</t>
    </r>
    <r>
      <rPr>
        <i/>
        <sz val="11"/>
        <color theme="1"/>
        <rFont val="Aptos Narrow"/>
        <family val="2"/>
        <scheme val="minor"/>
      </rPr>
      <t>I</t>
    </r>
    <r>
      <rPr>
        <i/>
        <vertAlign val="subscript"/>
        <sz val="11"/>
        <color theme="1"/>
        <rFont val="Aptos Narrow"/>
        <family val="2"/>
        <scheme val="minor"/>
      </rPr>
      <t>ecc,i</t>
    </r>
    <r>
      <rPr>
        <i/>
        <sz val="11"/>
        <color theme="1"/>
        <rFont val="Aptos Narrow"/>
        <family val="2"/>
        <scheme val="minor"/>
      </rPr>
      <t>=I</t>
    </r>
    <r>
      <rPr>
        <i/>
        <vertAlign val="subscript"/>
        <sz val="11"/>
        <color theme="1"/>
        <rFont val="Aptos Narrow"/>
        <family val="2"/>
        <scheme val="minor"/>
      </rPr>
      <t>i</t>
    </r>
    <r>
      <rPr>
        <i/>
        <sz val="11"/>
        <color theme="1"/>
        <rFont val="Aptos Narrow"/>
        <family val="2"/>
        <scheme val="minor"/>
      </rPr>
      <t>-I</t>
    </r>
    <r>
      <rPr>
        <i/>
        <vertAlign val="subscript"/>
        <sz val="11"/>
        <color theme="1"/>
        <rFont val="Aptos Narrow"/>
        <family val="2"/>
        <scheme val="minor"/>
      </rPr>
      <t>1</t>
    </r>
  </si>
  <si>
    <r>
      <t xml:space="preserve">Corregida </t>
    </r>
    <r>
      <rPr>
        <i/>
        <sz val="11"/>
        <color theme="1"/>
        <rFont val="Aptos Narrow"/>
        <family val="2"/>
        <scheme val="minor"/>
      </rPr>
      <t>I</t>
    </r>
    <r>
      <rPr>
        <i/>
        <vertAlign val="subscript"/>
        <sz val="11"/>
        <color theme="1"/>
        <rFont val="Aptos Narrow"/>
        <family val="2"/>
        <scheme val="minor"/>
      </rPr>
      <t>i</t>
    </r>
    <r>
      <rPr>
        <i/>
        <sz val="11"/>
        <color theme="1"/>
        <rFont val="Aptos Narrow"/>
        <family val="2"/>
        <scheme val="minor"/>
      </rPr>
      <t>=I</t>
    </r>
    <r>
      <rPr>
        <i/>
        <vertAlign val="subscript"/>
        <sz val="11"/>
        <color theme="1"/>
        <rFont val="Aptos Narrow"/>
        <family val="2"/>
        <scheme val="minor"/>
      </rPr>
      <t>L</t>
    </r>
    <r>
      <rPr>
        <i/>
        <sz val="11"/>
        <color theme="1"/>
        <rFont val="Aptos Narrow"/>
        <family val="2"/>
        <scheme val="minor"/>
      </rPr>
      <t>-I</t>
    </r>
    <r>
      <rPr>
        <i/>
        <vertAlign val="subscript"/>
        <sz val="11"/>
        <color theme="1"/>
        <rFont val="Aptos Narrow"/>
        <family val="2"/>
        <scheme val="minor"/>
      </rPr>
      <t>0</t>
    </r>
  </si>
  <si>
    <r>
      <t xml:space="preserve">Indicación sin carga </t>
    </r>
    <r>
      <rPr>
        <i/>
        <sz val="11"/>
        <color theme="1"/>
        <rFont val="Aptos Narrow"/>
        <family val="2"/>
        <scheme val="minor"/>
      </rPr>
      <t>I</t>
    </r>
    <r>
      <rPr>
        <i/>
        <vertAlign val="subscript"/>
        <sz val="11"/>
        <color theme="1"/>
        <rFont val="Aptos Narrow"/>
        <family val="2"/>
        <scheme val="minor"/>
      </rPr>
      <t>0</t>
    </r>
  </si>
  <si>
    <r>
      <t xml:space="preserve">Indicación </t>
    </r>
    <r>
      <rPr>
        <i/>
        <sz val="11"/>
        <color theme="1"/>
        <rFont val="Aptos Narrow"/>
        <family val="2"/>
        <scheme val="minor"/>
      </rPr>
      <t>I</t>
    </r>
    <r>
      <rPr>
        <i/>
        <vertAlign val="subscript"/>
        <sz val="11"/>
        <color theme="1"/>
        <rFont val="Aptos Narrow"/>
        <family val="2"/>
        <scheme val="minor"/>
      </rPr>
      <t>L</t>
    </r>
  </si>
  <si>
    <t>Punto #</t>
  </si>
  <si>
    <r>
      <t xml:space="preserve">Carga </t>
    </r>
    <r>
      <rPr>
        <i/>
        <sz val="11"/>
        <color theme="1"/>
        <rFont val="Aptos Narrow"/>
        <family val="2"/>
        <scheme val="minor"/>
      </rPr>
      <t>L</t>
    </r>
    <r>
      <rPr>
        <i/>
        <vertAlign val="subscript"/>
        <sz val="11"/>
        <color theme="1"/>
        <rFont val="Aptos Narrow"/>
        <family val="2"/>
        <scheme val="minor"/>
      </rPr>
      <t>T</t>
    </r>
    <r>
      <rPr>
        <sz val="11"/>
        <color theme="1"/>
        <rFont val="Aptos Narrow"/>
        <family val="2"/>
        <scheme val="minor"/>
      </rPr>
      <t>:</t>
    </r>
  </si>
  <si>
    <t>Prueba de excentricidad</t>
  </si>
  <si>
    <t>Punto:</t>
  </si>
  <si>
    <r>
      <t>Incert. repetibilidad</t>
    </r>
    <r>
      <rPr>
        <i/>
        <sz val="11"/>
        <color theme="1"/>
        <rFont val="Aptos Narrow"/>
        <family val="2"/>
        <scheme val="minor"/>
      </rPr>
      <t xml:space="preserve"> u(</t>
    </r>
    <r>
      <rPr>
        <i/>
        <sz val="11"/>
        <color theme="1"/>
        <rFont val="Symbol"/>
        <family val="1"/>
        <charset val="2"/>
      </rPr>
      <t>d</t>
    </r>
    <r>
      <rPr>
        <i/>
        <sz val="11"/>
        <color theme="1"/>
        <rFont val="Aptos Narrow"/>
        <family val="2"/>
        <scheme val="minor"/>
      </rPr>
      <t>I</t>
    </r>
    <r>
      <rPr>
        <i/>
        <vertAlign val="subscript"/>
        <sz val="11"/>
        <color theme="1"/>
        <rFont val="Aptos Narrow"/>
        <family val="2"/>
        <scheme val="minor"/>
      </rPr>
      <t>rep</t>
    </r>
    <r>
      <rPr>
        <i/>
        <sz val="11"/>
        <color theme="1"/>
        <rFont val="Aptos Narrow"/>
        <family val="2"/>
        <scheme val="minor"/>
      </rPr>
      <t>)</t>
    </r>
  </si>
  <si>
    <r>
      <rPr>
        <u/>
        <sz val="11"/>
        <color theme="1"/>
        <rFont val="Aptos Narrow"/>
        <family val="2"/>
        <scheme val="minor"/>
      </rPr>
      <t>Nota:</t>
    </r>
    <r>
      <rPr>
        <sz val="11"/>
        <color theme="1"/>
        <rFont val="Aptos Narrow"/>
        <family val="2"/>
        <scheme val="minor"/>
      </rPr>
      <t xml:space="preserve"> si la masa de pesada es de &gt; de 100 kg, se hacen tres mediciones de repetibilidad. (SIM)</t>
    </r>
  </si>
  <si>
    <r>
      <t xml:space="preserve">Corregida </t>
    </r>
    <r>
      <rPr>
        <i/>
        <sz val="11"/>
        <color theme="1"/>
        <rFont val="Aptos Narrow"/>
        <family val="2"/>
        <scheme val="minor"/>
      </rPr>
      <t>I</t>
    </r>
    <r>
      <rPr>
        <i/>
        <vertAlign val="subscript"/>
        <sz val="11"/>
        <color theme="1"/>
        <rFont val="Aptos Narrow"/>
        <family val="2"/>
        <scheme val="minor"/>
      </rPr>
      <t>j</t>
    </r>
    <r>
      <rPr>
        <i/>
        <sz val="11"/>
        <color theme="1"/>
        <rFont val="Aptos Narrow"/>
        <family val="2"/>
        <scheme val="minor"/>
      </rPr>
      <t>=I</t>
    </r>
    <r>
      <rPr>
        <i/>
        <vertAlign val="subscript"/>
        <sz val="11"/>
        <color theme="1"/>
        <rFont val="Aptos Narrow"/>
        <family val="2"/>
        <scheme val="minor"/>
      </rPr>
      <t>L</t>
    </r>
    <r>
      <rPr>
        <i/>
        <sz val="11"/>
        <color theme="1"/>
        <rFont val="Aptos Narrow"/>
        <family val="2"/>
        <scheme val="minor"/>
      </rPr>
      <t>-I</t>
    </r>
    <r>
      <rPr>
        <i/>
        <vertAlign val="subscript"/>
        <sz val="11"/>
        <color theme="1"/>
        <rFont val="Aptos Narrow"/>
        <family val="2"/>
        <scheme val="minor"/>
      </rPr>
      <t>0</t>
    </r>
  </si>
  <si>
    <t>Prueba de repetibilidad</t>
  </si>
  <si>
    <r>
      <t xml:space="preserve">Error de indicación </t>
    </r>
    <r>
      <rPr>
        <i/>
        <sz val="11"/>
        <color theme="1"/>
        <rFont val="Aptos Narrow"/>
        <family val="2"/>
        <scheme val="minor"/>
      </rPr>
      <t>E</t>
    </r>
    <r>
      <rPr>
        <i/>
        <vertAlign val="subscript"/>
        <sz val="11"/>
        <color theme="1"/>
        <rFont val="Aptos Narrow"/>
        <family val="2"/>
        <scheme val="minor"/>
      </rPr>
      <t>j</t>
    </r>
    <r>
      <rPr>
        <i/>
        <sz val="11"/>
        <color theme="1"/>
        <rFont val="Aptos Narrow"/>
        <family val="2"/>
        <scheme val="minor"/>
      </rPr>
      <t>=I</t>
    </r>
    <r>
      <rPr>
        <i/>
        <vertAlign val="subscript"/>
        <sz val="11"/>
        <color theme="1"/>
        <rFont val="Aptos Narrow"/>
        <family val="2"/>
        <scheme val="minor"/>
      </rPr>
      <t>j</t>
    </r>
    <r>
      <rPr>
        <i/>
        <sz val="11"/>
        <color theme="1"/>
        <rFont val="Aptos Narrow"/>
        <family val="2"/>
        <scheme val="minor"/>
      </rPr>
      <t>-m</t>
    </r>
    <r>
      <rPr>
        <i/>
        <vertAlign val="subscript"/>
        <sz val="11"/>
        <color theme="1"/>
        <rFont val="Aptos Narrow"/>
        <family val="2"/>
        <scheme val="minor"/>
      </rPr>
      <t>c,i</t>
    </r>
  </si>
  <si>
    <r>
      <t xml:space="preserve">Masa conv. patrón </t>
    </r>
    <r>
      <rPr>
        <i/>
        <sz val="11"/>
        <color theme="1"/>
        <rFont val="Aptos Narrow"/>
        <family val="2"/>
        <scheme val="minor"/>
      </rPr>
      <t>m</t>
    </r>
    <r>
      <rPr>
        <i/>
        <vertAlign val="subscript"/>
        <sz val="11"/>
        <color theme="1"/>
        <rFont val="Aptos Narrow"/>
        <family val="2"/>
        <scheme val="minor"/>
      </rPr>
      <t>c.j</t>
    </r>
  </si>
  <si>
    <t>Prueba de linealidad</t>
  </si>
  <si>
    <t>Punto 10</t>
  </si>
  <si>
    <t>Punto 9</t>
  </si>
  <si>
    <t>Punto 8</t>
  </si>
  <si>
    <r>
      <t xml:space="preserve">Resolución </t>
    </r>
    <r>
      <rPr>
        <i/>
        <sz val="11"/>
        <color theme="1"/>
        <rFont val="Aptos Narrow"/>
        <family val="2"/>
        <scheme val="minor"/>
      </rPr>
      <t>d</t>
    </r>
    <r>
      <rPr>
        <i/>
        <vertAlign val="subscript"/>
        <sz val="11"/>
        <color theme="1"/>
        <rFont val="Aptos Narrow"/>
        <family val="2"/>
        <scheme val="minor"/>
      </rPr>
      <t>T</t>
    </r>
  </si>
  <si>
    <t>Punto 7</t>
  </si>
  <si>
    <t>Unidad</t>
  </si>
  <si>
    <t>Punto 6</t>
  </si>
  <si>
    <t>Punto 5</t>
  </si>
  <si>
    <t>Punto 4</t>
  </si>
  <si>
    <t>min´+(max´-min´)/3=</t>
  </si>
  <si>
    <t>Punto 3</t>
  </si>
  <si>
    <t>Max/3=</t>
  </si>
  <si>
    <t>Punto 2</t>
  </si>
  <si>
    <r>
      <t>L</t>
    </r>
    <r>
      <rPr>
        <i/>
        <vertAlign val="subscript"/>
        <sz val="10"/>
        <color theme="1"/>
        <rFont val="Times New Roman"/>
        <family val="1"/>
      </rPr>
      <t>T</t>
    </r>
    <r>
      <rPr>
        <i/>
        <sz val="10"/>
        <color theme="1"/>
        <rFont val="Times New Roman"/>
        <family val="1"/>
      </rPr>
      <t>=min´+(max´-min´)/3</t>
    </r>
  </si>
  <si>
    <r>
      <t>L</t>
    </r>
    <r>
      <rPr>
        <i/>
        <vertAlign val="subscript"/>
        <sz val="10"/>
        <color theme="1"/>
        <rFont val="Times New Roman"/>
        <family val="1"/>
      </rPr>
      <t>T</t>
    </r>
    <r>
      <rPr>
        <i/>
        <sz val="10"/>
        <color theme="1"/>
        <rFont val="Times New Roman"/>
        <family val="1"/>
      </rPr>
      <t>=Max/3</t>
    </r>
  </si>
  <si>
    <t>Punto 1</t>
  </si>
  <si>
    <t>Punto recomendado para la prueba de excentricidad</t>
  </si>
  <si>
    <t>Punto 0</t>
  </si>
  <si>
    <t>Otra</t>
  </si>
  <si>
    <t>6</t>
  </si>
  <si>
    <t>5</t>
  </si>
  <si>
    <t>3</t>
  </si>
  <si>
    <t>0.55*(min´+(max´-min´))=</t>
  </si>
  <si>
    <t>Cantidad de puntos:</t>
  </si>
  <si>
    <t>0.55*Max=</t>
  </si>
  <si>
    <t>Cálculo de puntos calibración</t>
  </si>
  <si>
    <r>
      <t>0.5*Max ≤L</t>
    </r>
    <r>
      <rPr>
        <i/>
        <vertAlign val="subscript"/>
        <sz val="10"/>
        <color theme="1"/>
        <rFont val="Times New Roman"/>
        <family val="1"/>
      </rPr>
      <t>T</t>
    </r>
    <r>
      <rPr>
        <i/>
        <sz val="10"/>
        <color theme="1"/>
        <rFont val="Times New Roman"/>
        <family val="1"/>
      </rPr>
      <t>≤ Max</t>
    </r>
  </si>
  <si>
    <t>Valores unicos patrones</t>
  </si>
  <si>
    <t>#</t>
  </si>
  <si>
    <t>Próx. Calibr.</t>
  </si>
  <si>
    <t>Trazabilidad</t>
  </si>
  <si>
    <t>Marca</t>
  </si>
  <si>
    <t>Descripción</t>
  </si>
  <si>
    <t>Próxima calibración</t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</si>
  <si>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conv10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</si>
  <si>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B10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</si>
  <si>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D10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</si>
  <si>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c10</t>
    </r>
    <r>
      <rPr>
        <i/>
        <sz val="11"/>
        <color theme="1"/>
        <rFont val="Aptos Narrow"/>
        <family val="2"/>
        <scheme val="minor"/>
      </rPr>
      <t>)</t>
    </r>
  </si>
  <si>
    <r>
      <rPr>
        <i/>
        <sz val="11"/>
        <color theme="1"/>
        <rFont val="Aptos Narrow"/>
        <family val="2"/>
        <scheme val="minor"/>
      </rPr>
      <t>mc</t>
    </r>
    <r>
      <rPr>
        <i/>
        <vertAlign val="subscript"/>
        <sz val="11"/>
        <color theme="1"/>
        <rFont val="Aptos Narrow"/>
        <family val="2"/>
        <scheme val="minor"/>
      </rPr>
      <t>10</t>
    </r>
  </si>
  <si>
    <r>
      <t>m</t>
    </r>
    <r>
      <rPr>
        <i/>
        <vertAlign val="subscript"/>
        <sz val="11"/>
        <color theme="1"/>
        <rFont val="Aptos Narrow"/>
        <family val="2"/>
        <scheme val="minor"/>
      </rPr>
      <t>N10</t>
    </r>
  </si>
  <si>
    <r>
      <t>u(δ</t>
    </r>
    <r>
      <rPr>
        <i/>
        <vertAlign val="subscript"/>
        <sz val="11"/>
        <color theme="1"/>
        <rFont val="Aptos Narrow"/>
        <family val="2"/>
        <scheme val="minor"/>
      </rPr>
      <t>mconv9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</si>
  <si>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B9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</si>
  <si>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D9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</si>
  <si>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c9</t>
    </r>
    <r>
      <rPr>
        <i/>
        <sz val="11"/>
        <color theme="1"/>
        <rFont val="Aptos Narrow"/>
        <family val="2"/>
        <scheme val="minor"/>
      </rPr>
      <t>)</t>
    </r>
  </si>
  <si>
    <r>
      <rPr>
        <i/>
        <sz val="11"/>
        <color theme="1"/>
        <rFont val="Aptos Narrow"/>
        <family val="2"/>
        <scheme val="minor"/>
      </rPr>
      <t>m</t>
    </r>
    <r>
      <rPr>
        <i/>
        <vertAlign val="subscript"/>
        <sz val="11"/>
        <color theme="1"/>
        <rFont val="Aptos Narrow"/>
        <family val="2"/>
        <scheme val="minor"/>
      </rPr>
      <t>c9</t>
    </r>
  </si>
  <si>
    <r>
      <t>m</t>
    </r>
    <r>
      <rPr>
        <i/>
        <vertAlign val="subscript"/>
        <sz val="11"/>
        <color theme="1"/>
        <rFont val="Aptos Narrow"/>
        <family val="2"/>
        <scheme val="minor"/>
      </rPr>
      <t>N9</t>
    </r>
  </si>
  <si>
    <r>
      <t>u(δ</t>
    </r>
    <r>
      <rPr>
        <i/>
        <vertAlign val="subscript"/>
        <sz val="11"/>
        <color theme="1"/>
        <rFont val="Aptos Narrow"/>
        <family val="2"/>
        <scheme val="minor"/>
      </rPr>
      <t>mconv8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</si>
  <si>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B8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</si>
  <si>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D8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</si>
  <si>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c8</t>
    </r>
    <r>
      <rPr>
        <i/>
        <sz val="11"/>
        <color theme="1"/>
        <rFont val="Aptos Narrow"/>
        <family val="2"/>
        <scheme val="minor"/>
      </rPr>
      <t>)</t>
    </r>
  </si>
  <si>
    <r>
      <rPr>
        <i/>
        <sz val="11"/>
        <color theme="1"/>
        <rFont val="Aptos Narrow"/>
        <family val="2"/>
        <scheme val="minor"/>
      </rPr>
      <t>m</t>
    </r>
    <r>
      <rPr>
        <i/>
        <vertAlign val="subscript"/>
        <sz val="11"/>
        <color theme="1"/>
        <rFont val="Aptos Narrow"/>
        <family val="2"/>
        <scheme val="minor"/>
      </rPr>
      <t>c8</t>
    </r>
  </si>
  <si>
    <r>
      <t>m</t>
    </r>
    <r>
      <rPr>
        <i/>
        <vertAlign val="subscript"/>
        <sz val="11"/>
        <color theme="1"/>
        <rFont val="Aptos Narrow"/>
        <family val="2"/>
        <scheme val="minor"/>
      </rPr>
      <t>N8</t>
    </r>
  </si>
  <si>
    <r>
      <t>u(δ</t>
    </r>
    <r>
      <rPr>
        <i/>
        <vertAlign val="subscript"/>
        <sz val="11"/>
        <color theme="1"/>
        <rFont val="Aptos Narrow"/>
        <family val="2"/>
        <scheme val="minor"/>
      </rPr>
      <t>mconv7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</si>
  <si>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B7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</si>
  <si>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D7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</si>
  <si>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c7</t>
    </r>
    <r>
      <rPr>
        <i/>
        <sz val="11"/>
        <color theme="1"/>
        <rFont val="Aptos Narrow"/>
        <family val="2"/>
        <scheme val="minor"/>
      </rPr>
      <t>)</t>
    </r>
  </si>
  <si>
    <r>
      <rPr>
        <i/>
        <sz val="11"/>
        <color theme="1"/>
        <rFont val="Aptos Narrow"/>
        <family val="2"/>
        <scheme val="minor"/>
      </rPr>
      <t>m</t>
    </r>
    <r>
      <rPr>
        <i/>
        <vertAlign val="subscript"/>
        <sz val="11"/>
        <color theme="1"/>
        <rFont val="Aptos Narrow"/>
        <family val="2"/>
        <scheme val="minor"/>
      </rPr>
      <t>c7</t>
    </r>
  </si>
  <si>
    <r>
      <t>m</t>
    </r>
    <r>
      <rPr>
        <i/>
        <vertAlign val="subscript"/>
        <sz val="11"/>
        <color theme="1"/>
        <rFont val="Aptos Narrow"/>
        <family val="2"/>
        <scheme val="minor"/>
      </rPr>
      <t>N7</t>
    </r>
  </si>
  <si>
    <r>
      <t>u(δ</t>
    </r>
    <r>
      <rPr>
        <i/>
        <vertAlign val="subscript"/>
        <sz val="11"/>
        <color theme="1"/>
        <rFont val="Aptos Narrow"/>
        <family val="2"/>
        <scheme val="minor"/>
      </rPr>
      <t>mconv6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</si>
  <si>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B6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</si>
  <si>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D6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</si>
  <si>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c6</t>
    </r>
    <r>
      <rPr>
        <i/>
        <sz val="11"/>
        <color theme="1"/>
        <rFont val="Aptos Narrow"/>
        <family val="2"/>
        <scheme val="minor"/>
      </rPr>
      <t>)</t>
    </r>
  </si>
  <si>
    <r>
      <rPr>
        <i/>
        <sz val="11"/>
        <color theme="1"/>
        <rFont val="Aptos Narrow"/>
        <family val="2"/>
        <scheme val="minor"/>
      </rPr>
      <t>m</t>
    </r>
    <r>
      <rPr>
        <i/>
        <vertAlign val="subscript"/>
        <sz val="11"/>
        <color theme="1"/>
        <rFont val="Aptos Narrow"/>
        <family val="2"/>
        <scheme val="minor"/>
      </rPr>
      <t>c6</t>
    </r>
  </si>
  <si>
    <r>
      <t>m</t>
    </r>
    <r>
      <rPr>
        <i/>
        <vertAlign val="subscript"/>
        <sz val="11"/>
        <color theme="1"/>
        <rFont val="Aptos Narrow"/>
        <family val="2"/>
        <scheme val="minor"/>
      </rPr>
      <t>N6</t>
    </r>
  </si>
  <si>
    <r>
      <t>u(δ</t>
    </r>
    <r>
      <rPr>
        <i/>
        <vertAlign val="subscript"/>
        <sz val="11"/>
        <color theme="1"/>
        <rFont val="Aptos Narrow"/>
        <family val="2"/>
        <scheme val="minor"/>
      </rPr>
      <t>mconv5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</si>
  <si>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B5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</si>
  <si>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D5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</si>
  <si>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c5</t>
    </r>
    <r>
      <rPr>
        <i/>
        <sz val="11"/>
        <color theme="1"/>
        <rFont val="Aptos Narrow"/>
        <family val="2"/>
        <scheme val="minor"/>
      </rPr>
      <t>)</t>
    </r>
  </si>
  <si>
    <r>
      <rPr>
        <i/>
        <sz val="11"/>
        <color theme="1"/>
        <rFont val="Aptos Narrow"/>
        <family val="2"/>
        <scheme val="minor"/>
      </rPr>
      <t>m</t>
    </r>
    <r>
      <rPr>
        <i/>
        <vertAlign val="subscript"/>
        <sz val="11"/>
        <color theme="1"/>
        <rFont val="Aptos Narrow"/>
        <family val="2"/>
        <scheme val="minor"/>
      </rPr>
      <t>c5</t>
    </r>
    <r>
      <rPr>
        <i/>
        <sz val="11"/>
        <color theme="1"/>
        <rFont val="Aptos Narrow"/>
        <family val="2"/>
        <scheme val="minor"/>
      </rPr>
      <t/>
    </r>
  </si>
  <si>
    <r>
      <t>m</t>
    </r>
    <r>
      <rPr>
        <i/>
        <vertAlign val="subscript"/>
        <sz val="11"/>
        <color theme="1"/>
        <rFont val="Aptos Narrow"/>
        <family val="2"/>
        <scheme val="minor"/>
      </rPr>
      <t>N5</t>
    </r>
  </si>
  <si>
    <r>
      <t>u(δ</t>
    </r>
    <r>
      <rPr>
        <i/>
        <vertAlign val="subscript"/>
        <sz val="11"/>
        <color theme="1"/>
        <rFont val="Aptos Narrow"/>
        <family val="2"/>
        <scheme val="minor"/>
      </rPr>
      <t>mconv4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</si>
  <si>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B4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</si>
  <si>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D4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</si>
  <si>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c4</t>
    </r>
    <r>
      <rPr>
        <i/>
        <sz val="11"/>
        <color theme="1"/>
        <rFont val="Aptos Narrow"/>
        <family val="2"/>
        <scheme val="minor"/>
      </rPr>
      <t>)</t>
    </r>
  </si>
  <si>
    <r>
      <rPr>
        <i/>
        <sz val="11"/>
        <color theme="1"/>
        <rFont val="Aptos Narrow"/>
        <family val="2"/>
        <scheme val="minor"/>
      </rPr>
      <t>m</t>
    </r>
    <r>
      <rPr>
        <i/>
        <vertAlign val="subscript"/>
        <sz val="11"/>
        <color theme="1"/>
        <rFont val="Aptos Narrow"/>
        <family val="2"/>
        <scheme val="minor"/>
      </rPr>
      <t>c4</t>
    </r>
  </si>
  <si>
    <r>
      <t>m</t>
    </r>
    <r>
      <rPr>
        <i/>
        <vertAlign val="subscript"/>
        <sz val="11"/>
        <color theme="1"/>
        <rFont val="Aptos Narrow"/>
        <family val="2"/>
        <scheme val="minor"/>
      </rPr>
      <t>N4</t>
    </r>
  </si>
  <si>
    <r>
      <t>u(δ</t>
    </r>
    <r>
      <rPr>
        <i/>
        <vertAlign val="subscript"/>
        <sz val="11"/>
        <color theme="1"/>
        <rFont val="Aptos Narrow"/>
        <family val="2"/>
        <scheme val="minor"/>
      </rPr>
      <t>mconv3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</si>
  <si>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B3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</si>
  <si>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D3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</si>
  <si>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c3</t>
    </r>
    <r>
      <rPr>
        <i/>
        <sz val="11"/>
        <color theme="1"/>
        <rFont val="Aptos Narrow"/>
        <family val="2"/>
        <scheme val="minor"/>
      </rPr>
      <t>)</t>
    </r>
  </si>
  <si>
    <r>
      <rPr>
        <i/>
        <sz val="11"/>
        <color theme="1"/>
        <rFont val="Aptos Narrow"/>
        <family val="2"/>
        <scheme val="minor"/>
      </rPr>
      <t>m</t>
    </r>
    <r>
      <rPr>
        <i/>
        <vertAlign val="subscript"/>
        <sz val="11"/>
        <color theme="1"/>
        <rFont val="Aptos Narrow"/>
        <family val="2"/>
        <scheme val="minor"/>
      </rPr>
      <t>c3</t>
    </r>
  </si>
  <si>
    <r>
      <t>m</t>
    </r>
    <r>
      <rPr>
        <i/>
        <vertAlign val="subscript"/>
        <sz val="11"/>
        <color theme="1"/>
        <rFont val="Aptos Narrow"/>
        <family val="2"/>
        <scheme val="minor"/>
      </rPr>
      <t>N3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</si>
  <si>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conv2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</si>
  <si>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B2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</si>
  <si>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D2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</si>
  <si>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c2</t>
    </r>
    <r>
      <rPr>
        <i/>
        <sz val="11"/>
        <color theme="1"/>
        <rFont val="Aptos Narrow"/>
        <family val="2"/>
        <scheme val="minor"/>
      </rPr>
      <t>)</t>
    </r>
  </si>
  <si>
    <r>
      <rPr>
        <i/>
        <sz val="11"/>
        <color theme="1"/>
        <rFont val="Aptos Narrow"/>
        <family val="2"/>
        <scheme val="minor"/>
      </rPr>
      <t>m</t>
    </r>
    <r>
      <rPr>
        <i/>
        <vertAlign val="subscript"/>
        <sz val="11"/>
        <color theme="1"/>
        <rFont val="Aptos Narrow"/>
        <family val="2"/>
        <scheme val="minor"/>
      </rPr>
      <t>c2</t>
    </r>
  </si>
  <si>
    <r>
      <t>m</t>
    </r>
    <r>
      <rPr>
        <i/>
        <vertAlign val="subscript"/>
        <sz val="11"/>
        <color theme="1"/>
        <rFont val="Aptos Narrow"/>
        <family val="2"/>
        <scheme val="minor"/>
      </rPr>
      <t>N2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</si>
  <si>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conv1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</si>
  <si>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B1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</si>
  <si>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D1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</si>
  <si>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c1</t>
    </r>
    <r>
      <rPr>
        <i/>
        <sz val="11"/>
        <color theme="1"/>
        <rFont val="Aptos Narrow"/>
        <family val="2"/>
        <scheme val="minor"/>
      </rPr>
      <t>)</t>
    </r>
  </si>
  <si>
    <r>
      <rPr>
        <i/>
        <sz val="11"/>
        <color theme="1"/>
        <rFont val="Aptos Narrow"/>
        <family val="2"/>
        <scheme val="minor"/>
      </rPr>
      <t>m</t>
    </r>
    <r>
      <rPr>
        <i/>
        <vertAlign val="subscript"/>
        <sz val="11"/>
        <color theme="1"/>
        <rFont val="Aptos Narrow"/>
        <family val="2"/>
        <scheme val="minor"/>
      </rPr>
      <t>c1</t>
    </r>
  </si>
  <si>
    <r>
      <t>m</t>
    </r>
    <r>
      <rPr>
        <i/>
        <vertAlign val="subscript"/>
        <sz val="11"/>
        <color theme="1"/>
        <rFont val="Aptos Narrow"/>
        <family val="2"/>
        <scheme val="minor"/>
      </rPr>
      <t>N1</t>
    </r>
  </si>
  <si>
    <t>Punto recomendado para la prueba de repetibilidad</t>
  </si>
  <si>
    <t>Todo está en [g]</t>
  </si>
  <si>
    <t>Peso total [g]:</t>
  </si>
  <si>
    <t>Introduzca rangos</t>
  </si>
  <si>
    <t>OFFSET(INDIRECT(ADDRESS(ROW(),COLUMN())),-1,0)</t>
  </si>
  <si>
    <t>Declaración de los patrones utilizados en la calibración</t>
  </si>
  <si>
    <t>max´</t>
  </si>
  <si>
    <t>min´</t>
  </si>
  <si>
    <t>Max</t>
  </si>
  <si>
    <t>Min</t>
  </si>
  <si>
    <t>Escala</t>
  </si>
  <si>
    <r>
      <t xml:space="preserve">Celda condicional </t>
    </r>
    <r>
      <rPr>
        <sz val="11"/>
        <color theme="1"/>
        <rFont val="Symbol"/>
        <family val="1"/>
        <charset val="2"/>
      </rPr>
      <t>®</t>
    </r>
  </si>
  <si>
    <t>Max, max´</t>
  </si>
  <si>
    <t>CELL("value",THIS_CELL)=0</t>
  </si>
  <si>
    <t>Composición puntos</t>
  </si>
  <si>
    <t>Introducir aquí</t>
  </si>
  <si>
    <t>Selección de rangos calibración</t>
  </si>
  <si>
    <t>IF(E6&lt;&gt;0,IF(MAX(RngLinealidad)&gt;=10,IF(UnidadEscala="g",INDEX(deltaMconv,MATCH(MAX(Patrons_List),MnomDeltaT),MATCH($E$6,deltaT,-1))/SQRT(3),IF(UnidadEscala="kg",INDEX(deltaMconv,MATCH(MAX(Patrons_List),MnomDeltaT),MATCH($E$6,deltaT,-1))*0.001/SQRT(3),(INDEX(deltaMconv,MATCH(MAX(Patrons_List),MnomDeltaT),MATCH($E$6,deltaT,-1))/SQRT(3))*0.0022)),0),0)</t>
  </si>
  <si>
    <t>Error estándar por convecciónpara un patrón con la masa máxima</t>
  </si>
  <si>
    <t>k</t>
  </si>
  <si>
    <t>¥</t>
  </si>
  <si>
    <t>neff</t>
  </si>
  <si>
    <t>Factor de covertura, k, para diferentes grados efectivos de libertad, neff</t>
  </si>
  <si>
    <r>
      <t>v</t>
    </r>
    <r>
      <rPr>
        <i/>
        <vertAlign val="subscript"/>
        <sz val="10"/>
        <color theme="1"/>
        <rFont val="Aptos Narrow"/>
        <family val="2"/>
        <scheme val="minor"/>
      </rPr>
      <t>eff</t>
    </r>
  </si>
  <si>
    <t>Grados efectivos de libertad punto 10</t>
  </si>
  <si>
    <t>Grados efectivos de libertad punto 9</t>
  </si>
  <si>
    <t>Grados efectivos de libertad punto 8</t>
  </si>
  <si>
    <t>Grados efectivos de libertad punto 7</t>
  </si>
  <si>
    <t>Grados efectivos de libertad punto 6</t>
  </si>
  <si>
    <t>Grados efectivos de libertad punto 5</t>
  </si>
  <si>
    <t>Grados efectivos de libertad punto 4</t>
  </si>
  <si>
    <t>Grados efectivos de libertad punto 3</t>
  </si>
  <si>
    <t>Grados efectivos de libertad punto 2</t>
  </si>
  <si>
    <t>Grados efectivos de libertad punto 1</t>
  </si>
  <si>
    <r>
      <t>u</t>
    </r>
    <r>
      <rPr>
        <i/>
        <vertAlign val="subscript"/>
        <sz val="10"/>
        <color theme="1"/>
        <rFont val="Aptos Narrow"/>
        <family val="2"/>
        <scheme val="minor"/>
      </rPr>
      <t>c</t>
    </r>
    <r>
      <rPr>
        <i/>
        <vertAlign val="superscript"/>
        <sz val="10"/>
        <color theme="1"/>
        <rFont val="Aptos Narrow"/>
        <family val="2"/>
        <scheme val="minor"/>
      </rPr>
      <t>4</t>
    </r>
    <r>
      <rPr>
        <i/>
        <sz val="10"/>
        <color theme="1"/>
        <rFont val="Aptos Narrow"/>
        <family val="2"/>
        <scheme val="minor"/>
      </rPr>
      <t>(y)</t>
    </r>
  </si>
  <si>
    <t>Incertidumbre combinada punto 10</t>
  </si>
  <si>
    <t>Incertidumbre combinada punto 9</t>
  </si>
  <si>
    <t>Incertidumbre combinada punto 8</t>
  </si>
  <si>
    <t>Incertidumbre combinada punto 7</t>
  </si>
  <si>
    <t>igual a cero, no hay los grados efectivos de libertad.</t>
  </si>
  <si>
    <t>Incertidumbre combinada punto 6</t>
  </si>
  <si>
    <t xml:space="preserve">Si la repetibilidad (la unica contribución de tipo A) es </t>
  </si>
  <si>
    <t>Incertidumbre combinada punto 5</t>
  </si>
  <si>
    <t>Incertidumbre combinada punto 4</t>
  </si>
  <si>
    <t>Incertidumbre combinada punto 3</t>
  </si>
  <si>
    <t>Incertidumbre combinada punto 2</t>
  </si>
  <si>
    <r>
      <t>u</t>
    </r>
    <r>
      <rPr>
        <i/>
        <vertAlign val="subscript"/>
        <sz val="10"/>
        <color theme="1"/>
        <rFont val="Aptos Narrow"/>
        <family val="2"/>
        <scheme val="minor"/>
      </rPr>
      <t>10</t>
    </r>
    <r>
      <rPr>
        <i/>
        <vertAlign val="superscript"/>
        <sz val="10"/>
        <color theme="1"/>
        <rFont val="Aptos Narrow"/>
        <family val="2"/>
        <scheme val="minor"/>
      </rPr>
      <t>4</t>
    </r>
    <r>
      <rPr>
        <i/>
        <sz val="10"/>
        <color theme="1"/>
        <rFont val="Aptos Narrow"/>
        <family val="2"/>
        <scheme val="minor"/>
      </rPr>
      <t>/v</t>
    </r>
    <r>
      <rPr>
        <i/>
        <vertAlign val="subscript"/>
        <sz val="10"/>
        <color theme="1"/>
        <rFont val="Aptos Narrow"/>
        <family val="2"/>
        <scheme val="minor"/>
      </rPr>
      <t>i</t>
    </r>
  </si>
  <si>
    <r>
      <t>u</t>
    </r>
    <r>
      <rPr>
        <i/>
        <vertAlign val="subscript"/>
        <sz val="10"/>
        <color theme="1"/>
        <rFont val="Aptos Narrow"/>
        <family val="2"/>
        <scheme val="minor"/>
      </rPr>
      <t>9</t>
    </r>
    <r>
      <rPr>
        <i/>
        <vertAlign val="superscript"/>
        <sz val="10"/>
        <color theme="1"/>
        <rFont val="Aptos Narrow"/>
        <family val="2"/>
        <scheme val="minor"/>
      </rPr>
      <t>4</t>
    </r>
    <r>
      <rPr>
        <i/>
        <sz val="10"/>
        <color theme="1"/>
        <rFont val="Aptos Narrow"/>
        <family val="2"/>
        <scheme val="minor"/>
      </rPr>
      <t>/v</t>
    </r>
    <r>
      <rPr>
        <i/>
        <vertAlign val="subscript"/>
        <sz val="10"/>
        <color theme="1"/>
        <rFont val="Aptos Narrow"/>
        <family val="2"/>
        <scheme val="minor"/>
      </rPr>
      <t>i</t>
    </r>
  </si>
  <si>
    <r>
      <t>u</t>
    </r>
    <r>
      <rPr>
        <i/>
        <vertAlign val="subscript"/>
        <sz val="10"/>
        <color theme="1"/>
        <rFont val="Aptos Narrow"/>
        <family val="2"/>
        <scheme val="minor"/>
      </rPr>
      <t>8</t>
    </r>
    <r>
      <rPr>
        <i/>
        <vertAlign val="superscript"/>
        <sz val="10"/>
        <color theme="1"/>
        <rFont val="Aptos Narrow"/>
        <family val="2"/>
        <scheme val="minor"/>
      </rPr>
      <t>4</t>
    </r>
    <r>
      <rPr>
        <i/>
        <sz val="10"/>
        <color theme="1"/>
        <rFont val="Aptos Narrow"/>
        <family val="2"/>
        <scheme val="minor"/>
      </rPr>
      <t>/v</t>
    </r>
    <r>
      <rPr>
        <i/>
        <vertAlign val="subscript"/>
        <sz val="10"/>
        <color theme="1"/>
        <rFont val="Aptos Narrow"/>
        <family val="2"/>
        <scheme val="minor"/>
      </rPr>
      <t>i</t>
    </r>
  </si>
  <si>
    <r>
      <t>u</t>
    </r>
    <r>
      <rPr>
        <i/>
        <vertAlign val="subscript"/>
        <sz val="10"/>
        <color theme="1"/>
        <rFont val="Aptos Narrow"/>
        <family val="2"/>
        <scheme val="minor"/>
      </rPr>
      <t>7</t>
    </r>
    <r>
      <rPr>
        <i/>
        <vertAlign val="superscript"/>
        <sz val="10"/>
        <color theme="1"/>
        <rFont val="Aptos Narrow"/>
        <family val="2"/>
        <scheme val="minor"/>
      </rPr>
      <t>4</t>
    </r>
    <r>
      <rPr>
        <i/>
        <sz val="10"/>
        <color theme="1"/>
        <rFont val="Aptos Narrow"/>
        <family val="2"/>
        <scheme val="minor"/>
      </rPr>
      <t>/v</t>
    </r>
    <r>
      <rPr>
        <i/>
        <vertAlign val="subscript"/>
        <sz val="10"/>
        <color theme="1"/>
        <rFont val="Aptos Narrow"/>
        <family val="2"/>
        <scheme val="minor"/>
      </rPr>
      <t>i</t>
    </r>
  </si>
  <si>
    <r>
      <t>u</t>
    </r>
    <r>
      <rPr>
        <i/>
        <vertAlign val="subscript"/>
        <sz val="10"/>
        <color theme="1"/>
        <rFont val="Aptos Narrow"/>
        <family val="2"/>
        <scheme val="minor"/>
      </rPr>
      <t>6</t>
    </r>
    <r>
      <rPr>
        <i/>
        <vertAlign val="superscript"/>
        <sz val="10"/>
        <color theme="1"/>
        <rFont val="Aptos Narrow"/>
        <family val="2"/>
        <scheme val="minor"/>
      </rPr>
      <t>4</t>
    </r>
    <r>
      <rPr>
        <i/>
        <sz val="10"/>
        <color theme="1"/>
        <rFont val="Aptos Narrow"/>
        <family val="2"/>
        <scheme val="minor"/>
      </rPr>
      <t>/v</t>
    </r>
    <r>
      <rPr>
        <i/>
        <vertAlign val="subscript"/>
        <sz val="10"/>
        <color theme="1"/>
        <rFont val="Aptos Narrow"/>
        <family val="2"/>
        <scheme val="minor"/>
      </rPr>
      <t>i</t>
    </r>
  </si>
  <si>
    <r>
      <t>u</t>
    </r>
    <r>
      <rPr>
        <i/>
        <vertAlign val="subscript"/>
        <sz val="10"/>
        <color theme="1"/>
        <rFont val="Aptos Narrow"/>
        <family val="2"/>
        <scheme val="minor"/>
      </rPr>
      <t>5</t>
    </r>
    <r>
      <rPr>
        <i/>
        <vertAlign val="superscript"/>
        <sz val="10"/>
        <color theme="1"/>
        <rFont val="Aptos Narrow"/>
        <family val="2"/>
        <scheme val="minor"/>
      </rPr>
      <t>4</t>
    </r>
    <r>
      <rPr>
        <i/>
        <sz val="10"/>
        <color theme="1"/>
        <rFont val="Aptos Narrow"/>
        <family val="2"/>
        <scheme val="minor"/>
      </rPr>
      <t>/v</t>
    </r>
    <r>
      <rPr>
        <i/>
        <vertAlign val="subscript"/>
        <sz val="10"/>
        <color theme="1"/>
        <rFont val="Aptos Narrow"/>
        <family val="2"/>
        <scheme val="minor"/>
      </rPr>
      <t>i</t>
    </r>
  </si>
  <si>
    <r>
      <t>u</t>
    </r>
    <r>
      <rPr>
        <i/>
        <vertAlign val="subscript"/>
        <sz val="10"/>
        <color theme="1"/>
        <rFont val="Aptos Narrow"/>
        <family val="2"/>
        <scheme val="minor"/>
      </rPr>
      <t>4</t>
    </r>
    <r>
      <rPr>
        <i/>
        <vertAlign val="superscript"/>
        <sz val="10"/>
        <color theme="1"/>
        <rFont val="Aptos Narrow"/>
        <family val="2"/>
        <scheme val="minor"/>
      </rPr>
      <t>4</t>
    </r>
    <r>
      <rPr>
        <i/>
        <sz val="10"/>
        <color theme="1"/>
        <rFont val="Aptos Narrow"/>
        <family val="2"/>
        <scheme val="minor"/>
      </rPr>
      <t>/v</t>
    </r>
    <r>
      <rPr>
        <i/>
        <vertAlign val="subscript"/>
        <sz val="10"/>
        <color theme="1"/>
        <rFont val="Aptos Narrow"/>
        <family val="2"/>
        <scheme val="minor"/>
      </rPr>
      <t>i</t>
    </r>
  </si>
  <si>
    <r>
      <t>u</t>
    </r>
    <r>
      <rPr>
        <i/>
        <vertAlign val="subscript"/>
        <sz val="10"/>
        <color theme="1"/>
        <rFont val="Aptos Narrow"/>
        <family val="2"/>
        <scheme val="minor"/>
      </rPr>
      <t>3</t>
    </r>
    <r>
      <rPr>
        <i/>
        <vertAlign val="superscript"/>
        <sz val="10"/>
        <color theme="1"/>
        <rFont val="Aptos Narrow"/>
        <family val="2"/>
        <scheme val="minor"/>
      </rPr>
      <t>4</t>
    </r>
    <r>
      <rPr>
        <i/>
        <sz val="10"/>
        <color theme="1"/>
        <rFont val="Aptos Narrow"/>
        <family val="2"/>
        <scheme val="minor"/>
      </rPr>
      <t>/v</t>
    </r>
    <r>
      <rPr>
        <i/>
        <vertAlign val="subscript"/>
        <sz val="10"/>
        <color theme="1"/>
        <rFont val="Aptos Narrow"/>
        <family val="2"/>
        <scheme val="minor"/>
      </rPr>
      <t>i</t>
    </r>
  </si>
  <si>
    <r>
      <t>u</t>
    </r>
    <r>
      <rPr>
        <i/>
        <vertAlign val="subscript"/>
        <sz val="10"/>
        <color theme="1"/>
        <rFont val="Aptos Narrow"/>
        <family val="2"/>
        <scheme val="minor"/>
      </rPr>
      <t>2</t>
    </r>
    <r>
      <rPr>
        <i/>
        <vertAlign val="superscript"/>
        <sz val="10"/>
        <color theme="1"/>
        <rFont val="Aptos Narrow"/>
        <family val="2"/>
        <scheme val="minor"/>
      </rPr>
      <t>4</t>
    </r>
    <r>
      <rPr>
        <i/>
        <sz val="10"/>
        <color theme="1"/>
        <rFont val="Aptos Narrow"/>
        <family val="2"/>
        <scheme val="minor"/>
      </rPr>
      <t>/v</t>
    </r>
    <r>
      <rPr>
        <i/>
        <vertAlign val="subscript"/>
        <sz val="10"/>
        <color theme="1"/>
        <rFont val="Aptos Narrow"/>
        <family val="2"/>
        <scheme val="minor"/>
      </rPr>
      <t>i</t>
    </r>
  </si>
  <si>
    <r>
      <t>u</t>
    </r>
    <r>
      <rPr>
        <i/>
        <vertAlign val="subscript"/>
        <sz val="10"/>
        <color theme="1"/>
        <rFont val="Aptos Narrow"/>
        <family val="2"/>
        <scheme val="minor"/>
      </rPr>
      <t>1</t>
    </r>
    <r>
      <rPr>
        <i/>
        <vertAlign val="superscript"/>
        <sz val="10"/>
        <color theme="1"/>
        <rFont val="Aptos Narrow"/>
        <family val="2"/>
        <scheme val="minor"/>
      </rPr>
      <t>4</t>
    </r>
    <r>
      <rPr>
        <i/>
        <sz val="10"/>
        <color theme="1"/>
        <rFont val="Aptos Narrow"/>
        <family val="2"/>
        <scheme val="minor"/>
      </rPr>
      <t>/v</t>
    </r>
    <r>
      <rPr>
        <i/>
        <vertAlign val="subscript"/>
        <sz val="10"/>
        <color theme="1"/>
        <rFont val="Aptos Narrow"/>
        <family val="2"/>
        <scheme val="minor"/>
      </rPr>
      <t>i</t>
    </r>
  </si>
  <si>
    <t>Incertidumbre combinada punto 1</t>
  </si>
  <si>
    <r>
      <t>u</t>
    </r>
    <r>
      <rPr>
        <i/>
        <vertAlign val="subscript"/>
        <sz val="10"/>
        <color theme="1"/>
        <rFont val="Aptos Narrow"/>
        <family val="2"/>
        <scheme val="minor"/>
      </rPr>
      <t>i</t>
    </r>
    <r>
      <rPr>
        <i/>
        <sz val="10"/>
        <color theme="1"/>
        <rFont val="Aptos Narrow"/>
        <family val="2"/>
        <scheme val="minor"/>
      </rPr>
      <t>(y)=u(δI</t>
    </r>
    <r>
      <rPr>
        <i/>
        <vertAlign val="subscript"/>
        <sz val="10"/>
        <color theme="1"/>
        <rFont val="Aptos Narrow"/>
        <family val="2"/>
        <scheme val="minor"/>
      </rPr>
      <t>rep</t>
    </r>
    <r>
      <rPr>
        <i/>
        <sz val="10"/>
        <color theme="1"/>
        <rFont val="Aptos Narrow"/>
        <family val="2"/>
        <scheme val="minor"/>
      </rPr>
      <t>)</t>
    </r>
  </si>
  <si>
    <t>Incertidumbre estandar</t>
  </si>
  <si>
    <r>
      <t>v</t>
    </r>
    <r>
      <rPr>
        <i/>
        <vertAlign val="subscript"/>
        <sz val="10"/>
        <color theme="1"/>
        <rFont val="Aptos Narrow"/>
        <family val="2"/>
        <scheme val="minor"/>
      </rPr>
      <t>i</t>
    </r>
    <r>
      <rPr>
        <i/>
        <sz val="10"/>
        <color theme="1"/>
        <rFont val="Aptos Narrow"/>
        <family val="2"/>
        <scheme val="minor"/>
      </rPr>
      <t>=n-1</t>
    </r>
  </si>
  <si>
    <t>Grados libertad</t>
  </si>
  <si>
    <t>n</t>
  </si>
  <si>
    <t>Cantidad mediciones</t>
  </si>
  <si>
    <t>Valor</t>
  </si>
  <si>
    <t>Variable</t>
  </si>
  <si>
    <t>Cálculo grados efectivos de libertad</t>
  </si>
  <si>
    <t>CMC</t>
  </si>
  <si>
    <r>
      <t>U</t>
    </r>
    <r>
      <rPr>
        <i/>
        <vertAlign val="subscript"/>
        <sz val="11"/>
        <color theme="1"/>
        <rFont val="Aptos Narrow"/>
        <family val="2"/>
        <scheme val="minor"/>
      </rPr>
      <t>95</t>
    </r>
    <r>
      <rPr>
        <i/>
        <sz val="11"/>
        <color theme="1"/>
        <rFont val="Aptos Narrow"/>
        <family val="2"/>
        <scheme val="minor"/>
      </rPr>
      <t>=ku</t>
    </r>
    <r>
      <rPr>
        <i/>
        <vertAlign val="subscript"/>
        <sz val="11"/>
        <color theme="1"/>
        <rFont val="Aptos Narrow"/>
        <family val="2"/>
        <scheme val="minor"/>
      </rPr>
      <t>n</t>
    </r>
    <r>
      <rPr>
        <i/>
        <sz val="11"/>
        <color theme="1"/>
        <rFont val="Aptos Narrow"/>
        <family val="2"/>
        <scheme val="minor"/>
      </rPr>
      <t>(E)</t>
    </r>
  </si>
  <si>
    <t>E</t>
  </si>
  <si>
    <r>
      <t>I</t>
    </r>
    <r>
      <rPr>
        <i/>
        <vertAlign val="subscript"/>
        <sz val="11"/>
        <color theme="1"/>
        <rFont val="Aptos Narrow"/>
        <family val="2"/>
        <scheme val="minor"/>
      </rPr>
      <t>j</t>
    </r>
  </si>
  <si>
    <r>
      <t>m</t>
    </r>
    <r>
      <rPr>
        <i/>
        <vertAlign val="subscript"/>
        <sz val="11"/>
        <color theme="1"/>
        <rFont val="Aptos Narrow"/>
        <family val="2"/>
        <scheme val="minor"/>
      </rPr>
      <t>c</t>
    </r>
  </si>
  <si>
    <t>Todo en</t>
  </si>
  <si>
    <t>Incertidunbre expandida</t>
  </si>
  <si>
    <t>cuadratica</t>
  </si>
  <si>
    <t>Raíz de la suma</t>
  </si>
  <si>
    <t>Total</t>
  </si>
  <si>
    <t>Rectang.</t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</si>
  <si>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conv</t>
    </r>
    <r>
      <rPr>
        <i/>
        <sz val="11"/>
        <color theme="1"/>
        <rFont val="Aptos Narrow"/>
        <family val="2"/>
        <scheme val="minor"/>
      </rPr>
      <t>)</t>
    </r>
  </si>
  <si>
    <r>
      <rPr>
        <sz val="10"/>
        <rFont val="Symbol"/>
        <family val="1"/>
        <charset val="2"/>
      </rPr>
      <t>D</t>
    </r>
    <r>
      <rPr>
        <i/>
        <sz val="10"/>
        <rFont val="Calibri"/>
        <family val="2"/>
      </rPr>
      <t>m</t>
    </r>
    <r>
      <rPr>
        <i/>
        <vertAlign val="subscript"/>
        <sz val="10"/>
        <rFont val="Calibri"/>
        <family val="2"/>
      </rPr>
      <t>conv</t>
    </r>
    <r>
      <rPr>
        <i/>
        <sz val="10"/>
        <rFont val="Calibri"/>
        <family val="2"/>
      </rPr>
      <t>/</t>
    </r>
    <r>
      <rPr>
        <sz val="10"/>
        <rFont val="Symbol"/>
        <family val="1"/>
        <charset val="2"/>
      </rPr>
      <t>Ö</t>
    </r>
    <r>
      <rPr>
        <i/>
        <sz val="10"/>
        <rFont val="Calibri"/>
        <family val="2"/>
      </rPr>
      <t>3</t>
    </r>
  </si>
  <si>
    <t>Variación de temperatura</t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</si>
  <si>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B</t>
    </r>
    <r>
      <rPr>
        <i/>
        <sz val="11"/>
        <color theme="1"/>
        <rFont val="Aptos Narrow"/>
        <family val="2"/>
        <scheme val="minor"/>
      </rPr>
      <t>)</t>
    </r>
  </si>
  <si>
    <r>
      <t>w(</t>
    </r>
    <r>
      <rPr>
        <sz val="11"/>
        <color theme="1"/>
        <rFont val="Symbol"/>
        <family val="1"/>
        <charset val="2"/>
      </rPr>
      <t>d</t>
    </r>
    <r>
      <rPr>
        <i/>
        <sz val="11"/>
        <color theme="1"/>
        <rFont val="Aptos Narrow"/>
        <family val="2"/>
        <scheme val="minor"/>
      </rPr>
      <t>m</t>
    </r>
    <r>
      <rPr>
        <i/>
        <vertAlign val="subscript"/>
        <sz val="11"/>
        <color theme="1"/>
        <rFont val="Aptos Narrow"/>
        <family val="2"/>
        <scheme val="minor"/>
      </rPr>
      <t>B</t>
    </r>
    <r>
      <rPr>
        <i/>
        <sz val="11"/>
        <color theme="1"/>
        <rFont val="Aptos Narrow"/>
        <family val="2"/>
        <scheme val="minor"/>
      </rPr>
      <t>)*|</t>
    </r>
    <r>
      <rPr>
        <sz val="11"/>
        <color theme="1"/>
        <rFont val="Symbol"/>
        <family val="1"/>
        <charset val="2"/>
      </rPr>
      <t>d</t>
    </r>
    <r>
      <rPr>
        <i/>
        <sz val="11"/>
        <color theme="1"/>
        <rFont val="Aptos Narrow"/>
        <family val="2"/>
        <scheme val="minor"/>
      </rPr>
      <t>m</t>
    </r>
    <r>
      <rPr>
        <i/>
        <vertAlign val="subscript"/>
        <sz val="11"/>
        <color theme="1"/>
        <rFont val="Aptos Narrow"/>
        <family val="2"/>
        <scheme val="minor"/>
      </rPr>
      <t>B</t>
    </r>
    <r>
      <rPr>
        <i/>
        <sz val="11"/>
        <color theme="1"/>
        <rFont val="Aptos Narrow"/>
        <family val="2"/>
        <scheme val="minor"/>
      </rPr>
      <t>|</t>
    </r>
  </si>
  <si>
    <t>Empuje del aire</t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</si>
  <si>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D</t>
    </r>
    <r>
      <rPr>
        <i/>
        <sz val="11"/>
        <color theme="1"/>
        <rFont val="Aptos Narrow"/>
        <family val="2"/>
        <scheme val="minor"/>
      </rPr>
      <t>)</t>
    </r>
  </si>
  <si>
    <r>
      <t>D/</t>
    </r>
    <r>
      <rPr>
        <i/>
        <sz val="12"/>
        <color theme="1"/>
        <rFont val="Symbol"/>
        <family val="1"/>
        <charset val="2"/>
      </rPr>
      <t>Ö</t>
    </r>
    <r>
      <rPr>
        <i/>
        <sz val="12"/>
        <color theme="1"/>
        <rFont val="Times New Roman"/>
        <family val="1"/>
      </rPr>
      <t>3</t>
    </r>
  </si>
  <si>
    <t>Deriva de patrón</t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</si>
  <si>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c</t>
    </r>
    <r>
      <rPr>
        <i/>
        <sz val="11"/>
        <color theme="1"/>
        <rFont val="Aptos Narrow"/>
        <family val="2"/>
        <scheme val="minor"/>
      </rPr>
      <t>)</t>
    </r>
  </si>
  <si>
    <r>
      <t>U</t>
    </r>
    <r>
      <rPr>
        <i/>
        <vertAlign val="subscript"/>
        <sz val="10"/>
        <rFont val="Aptos Narrow"/>
        <family val="2"/>
        <scheme val="minor"/>
      </rPr>
      <t>95</t>
    </r>
    <r>
      <rPr>
        <i/>
        <sz val="10"/>
        <rFont val="Aptos Narrow"/>
        <family val="2"/>
        <scheme val="minor"/>
      </rPr>
      <t>/k</t>
    </r>
  </si>
  <si>
    <t>Corrección de la masa patrón</t>
  </si>
  <si>
    <r>
      <t>u(δI</t>
    </r>
    <r>
      <rPr>
        <i/>
        <vertAlign val="subscript"/>
        <sz val="11"/>
        <color theme="1"/>
        <rFont val="Aptos Narrow"/>
        <family val="2"/>
        <scheme val="minor"/>
      </rPr>
      <t>exc</t>
    </r>
    <r>
      <rPr>
        <i/>
        <sz val="11"/>
        <color theme="1"/>
        <rFont val="Aptos Narrow"/>
        <family val="2"/>
        <scheme val="minor"/>
      </rPr>
      <t>)</t>
    </r>
  </si>
  <si>
    <r>
      <t>I|</t>
    </r>
    <r>
      <rPr>
        <i/>
        <sz val="10"/>
        <rFont val="Symbol"/>
        <family val="1"/>
        <charset val="2"/>
      </rPr>
      <t>I</t>
    </r>
    <r>
      <rPr>
        <i/>
        <vertAlign val="subscript"/>
        <sz val="10"/>
        <rFont val="Calibri"/>
        <family val="2"/>
      </rPr>
      <t>ecc.i</t>
    </r>
    <r>
      <rPr>
        <i/>
        <sz val="10"/>
        <rFont val="Calibri"/>
        <family val="2"/>
      </rPr>
      <t>|</t>
    </r>
    <r>
      <rPr>
        <i/>
        <vertAlign val="subscript"/>
        <sz val="10"/>
        <rFont val="Calibri"/>
        <family val="2"/>
      </rPr>
      <t>max</t>
    </r>
    <r>
      <rPr>
        <i/>
        <sz val="10"/>
        <rFont val="Calibri"/>
        <family val="2"/>
      </rPr>
      <t>/2L</t>
    </r>
    <r>
      <rPr>
        <i/>
        <vertAlign val="subscript"/>
        <sz val="10"/>
        <rFont val="Calibri"/>
        <family val="2"/>
      </rPr>
      <t>ecc</t>
    </r>
    <r>
      <rPr>
        <i/>
        <sz val="10"/>
        <rFont val="Symbol"/>
        <family val="1"/>
        <charset val="2"/>
      </rPr>
      <t>Ö</t>
    </r>
    <r>
      <rPr>
        <i/>
        <sz val="10"/>
        <rFont val="Calibri"/>
        <family val="2"/>
      </rPr>
      <t>3)</t>
    </r>
  </si>
  <si>
    <r>
      <t>Excentricidad</t>
    </r>
    <r>
      <rPr>
        <i/>
        <sz val="10"/>
        <rFont val="Aptos Narrow"/>
        <family val="2"/>
        <scheme val="minor"/>
      </rPr>
      <t/>
    </r>
  </si>
  <si>
    <t>Normal</t>
  </si>
  <si>
    <r>
      <t>u(δI</t>
    </r>
    <r>
      <rPr>
        <i/>
        <vertAlign val="subscript"/>
        <sz val="11"/>
        <color theme="1"/>
        <rFont val="Aptos Narrow"/>
        <family val="2"/>
        <scheme val="minor"/>
      </rPr>
      <t>rep</t>
    </r>
    <r>
      <rPr>
        <i/>
        <sz val="11"/>
        <color theme="1"/>
        <rFont val="Aptos Narrow"/>
        <family val="2"/>
        <scheme val="minor"/>
      </rPr>
      <t>)</t>
    </r>
  </si>
  <si>
    <r>
      <rPr>
        <sz val="10"/>
        <rFont val="Symbol"/>
        <family val="1"/>
        <charset val="2"/>
      </rPr>
      <t>Ö</t>
    </r>
    <r>
      <rPr>
        <i/>
        <sz val="10"/>
        <rFont val="Calibri"/>
        <family val="2"/>
      </rPr>
      <t>(1/n-1)</t>
    </r>
    <r>
      <rPr>
        <i/>
        <sz val="10"/>
        <rFont val="Symbol"/>
        <family val="1"/>
        <charset val="2"/>
      </rPr>
      <t>S</t>
    </r>
    <r>
      <rPr>
        <i/>
        <sz val="10"/>
        <rFont val="Calibri"/>
        <family val="2"/>
      </rPr>
      <t>(I</t>
    </r>
    <r>
      <rPr>
        <i/>
        <vertAlign val="subscript"/>
        <sz val="10"/>
        <rFont val="Calibri"/>
        <family val="2"/>
      </rPr>
      <t>prom</t>
    </r>
    <r>
      <rPr>
        <i/>
        <sz val="10"/>
        <rFont val="Calibri"/>
        <family val="2"/>
      </rPr>
      <t>-I</t>
    </r>
    <r>
      <rPr>
        <i/>
        <vertAlign val="subscript"/>
        <sz val="10"/>
        <rFont val="Calibri"/>
        <family val="2"/>
      </rPr>
      <t>j</t>
    </r>
    <r>
      <rPr>
        <i/>
        <sz val="10"/>
        <rFont val="Calibri"/>
        <family val="2"/>
      </rPr>
      <t>)</t>
    </r>
    <r>
      <rPr>
        <i/>
        <vertAlign val="superscript"/>
        <sz val="10"/>
        <rFont val="Calibri"/>
        <family val="2"/>
      </rPr>
      <t>2</t>
    </r>
  </si>
  <si>
    <t>Repetibilidad</t>
  </si>
  <si>
    <r>
      <t>u(δI</t>
    </r>
    <r>
      <rPr>
        <i/>
        <vertAlign val="subscript"/>
        <sz val="11"/>
        <color theme="1"/>
        <rFont val="Aptos Narrow"/>
        <family val="2"/>
        <scheme val="minor"/>
      </rPr>
      <t>divL</t>
    </r>
    <r>
      <rPr>
        <i/>
        <sz val="11"/>
        <color theme="1"/>
        <rFont val="Aptos Narrow"/>
        <family val="2"/>
        <scheme val="minor"/>
      </rPr>
      <t>)</t>
    </r>
  </si>
  <si>
    <r>
      <t>d</t>
    </r>
    <r>
      <rPr>
        <i/>
        <vertAlign val="subscript"/>
        <sz val="10"/>
        <color theme="1"/>
        <rFont val="Aptos Narrow"/>
        <family val="2"/>
        <scheme val="minor"/>
      </rPr>
      <t>0</t>
    </r>
    <r>
      <rPr>
        <i/>
        <sz val="10"/>
        <color theme="1"/>
        <rFont val="Aptos Narrow"/>
        <family val="2"/>
        <scheme val="minor"/>
      </rPr>
      <t>/(4</t>
    </r>
    <r>
      <rPr>
        <sz val="10"/>
        <color theme="1"/>
        <rFont val="Symbol"/>
        <family val="1"/>
        <charset val="2"/>
      </rPr>
      <t>Ö</t>
    </r>
    <r>
      <rPr>
        <i/>
        <sz val="10"/>
        <color theme="1"/>
        <rFont val="Aptos Narrow"/>
        <family val="2"/>
        <scheme val="minor"/>
      </rPr>
      <t>3)</t>
    </r>
  </si>
  <si>
    <t>Resolución sin carga</t>
  </si>
  <si>
    <r>
      <t>u(δI</t>
    </r>
    <r>
      <rPr>
        <i/>
        <vertAlign val="subscript"/>
        <sz val="11"/>
        <color theme="1"/>
        <rFont val="Aptos Narrow"/>
        <family val="2"/>
        <scheme val="minor"/>
      </rPr>
      <t>div0</t>
    </r>
    <r>
      <rPr>
        <i/>
        <sz val="11"/>
        <color theme="1"/>
        <rFont val="Aptos Narrow"/>
        <family val="2"/>
        <scheme val="minor"/>
      </rPr>
      <t>)</t>
    </r>
  </si>
  <si>
    <r>
      <t>d</t>
    </r>
    <r>
      <rPr>
        <i/>
        <vertAlign val="subscript"/>
        <sz val="10"/>
        <color theme="1"/>
        <rFont val="Aptos Narrow"/>
        <family val="2"/>
        <scheme val="minor"/>
      </rPr>
      <t>T</t>
    </r>
    <r>
      <rPr>
        <i/>
        <sz val="10"/>
        <color theme="1"/>
        <rFont val="Aptos Narrow"/>
        <family val="2"/>
        <scheme val="minor"/>
      </rPr>
      <t>/(2</t>
    </r>
    <r>
      <rPr>
        <sz val="10"/>
        <color theme="1"/>
        <rFont val="Symbol"/>
        <family val="1"/>
        <charset val="2"/>
      </rPr>
      <t>Ö</t>
    </r>
    <r>
      <rPr>
        <i/>
        <sz val="10"/>
        <color theme="1"/>
        <rFont val="Aptos Narrow"/>
        <family val="2"/>
        <scheme val="minor"/>
      </rPr>
      <t>3)</t>
    </r>
  </si>
  <si>
    <t>Resolución con carga</t>
  </si>
  <si>
    <t>10</t>
  </si>
  <si>
    <t>9</t>
  </si>
  <si>
    <t>8</t>
  </si>
  <si>
    <t>7</t>
  </si>
  <si>
    <t>4</t>
  </si>
  <si>
    <t>2</t>
  </si>
  <si>
    <t>1</t>
  </si>
  <si>
    <r>
      <t>Coef. c</t>
    </r>
    <r>
      <rPr>
        <b/>
        <vertAlign val="subscript"/>
        <sz val="10"/>
        <rFont val="Aptos Narrow"/>
        <family val="2"/>
        <scheme val="minor"/>
      </rPr>
      <t>i</t>
    </r>
  </si>
  <si>
    <t>Divisor</t>
  </si>
  <si>
    <t>Distrib.</t>
  </si>
  <si>
    <t>Símbolo</t>
  </si>
  <si>
    <t>Fórmula</t>
  </si>
  <si>
    <t>Fuente de incertidumbre</t>
  </si>
  <si>
    <t>Componentes incertidumbre combinada todos los puntos calibración</t>
  </si>
  <si>
    <t>[kg]</t>
  </si>
  <si>
    <r>
      <t>u(δm</t>
    </r>
    <r>
      <rPr>
        <i/>
        <vertAlign val="subscript"/>
        <sz val="10"/>
        <color theme="1"/>
        <rFont val="Aptos Narrow"/>
        <family val="2"/>
        <scheme val="minor"/>
      </rPr>
      <t>conv</t>
    </r>
    <r>
      <rPr>
        <i/>
        <sz val="10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</si>
  <si>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0"/>
        <color theme="1"/>
        <rFont val="Aptos Narrow"/>
        <family val="2"/>
        <scheme val="minor"/>
      </rPr>
      <t>B</t>
    </r>
    <r>
      <rPr>
        <i/>
        <sz val="10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</si>
  <si>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0"/>
        <color theme="1"/>
        <rFont val="Aptos Narrow"/>
        <family val="2"/>
        <scheme val="minor"/>
      </rPr>
      <t>D</t>
    </r>
    <r>
      <rPr>
        <i/>
        <sz val="10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</si>
  <si>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0"/>
        <color theme="1"/>
        <rFont val="Aptos Narrow"/>
        <family val="2"/>
        <scheme val="minor"/>
      </rPr>
      <t>c</t>
    </r>
    <r>
      <rPr>
        <i/>
        <sz val="10"/>
        <color theme="1"/>
        <rFont val="Aptos Narrow"/>
        <family val="2"/>
        <scheme val="minor"/>
      </rPr>
      <t>)</t>
    </r>
  </si>
  <si>
    <r>
      <t>u(δI</t>
    </r>
    <r>
      <rPr>
        <i/>
        <vertAlign val="subscript"/>
        <sz val="10"/>
        <color theme="1"/>
        <rFont val="Aptos Narrow"/>
        <family val="2"/>
        <scheme val="minor"/>
      </rPr>
      <t>exc</t>
    </r>
    <r>
      <rPr>
        <i/>
        <sz val="10"/>
        <color theme="1"/>
        <rFont val="Aptos Narrow"/>
        <family val="2"/>
        <scheme val="minor"/>
      </rPr>
      <t>)</t>
    </r>
  </si>
  <si>
    <r>
      <t>u(δI</t>
    </r>
    <r>
      <rPr>
        <i/>
        <vertAlign val="subscript"/>
        <sz val="10"/>
        <color theme="1"/>
        <rFont val="Aptos Narrow"/>
        <family val="2"/>
        <scheme val="minor"/>
      </rPr>
      <t>rep</t>
    </r>
    <r>
      <rPr>
        <i/>
        <sz val="10"/>
        <color theme="1"/>
        <rFont val="Aptos Narrow"/>
        <family val="2"/>
        <scheme val="minor"/>
      </rPr>
      <t>)</t>
    </r>
  </si>
  <si>
    <r>
      <t>u(δI</t>
    </r>
    <r>
      <rPr>
        <i/>
        <vertAlign val="subscript"/>
        <sz val="10"/>
        <color theme="1"/>
        <rFont val="Aptos Narrow"/>
        <family val="2"/>
        <scheme val="minor"/>
      </rPr>
      <t>divL</t>
    </r>
    <r>
      <rPr>
        <i/>
        <sz val="10"/>
        <color theme="1"/>
        <rFont val="Aptos Narrow"/>
        <family val="2"/>
        <scheme val="minor"/>
      </rPr>
      <t>)</t>
    </r>
  </si>
  <si>
    <t>kg/m³</t>
  </si>
  <si>
    <r>
      <rPr>
        <i/>
        <sz val="11"/>
        <color theme="1"/>
        <rFont val="Aptos Narrow"/>
        <family val="2"/>
        <scheme val="minor"/>
      </rPr>
      <t>u</t>
    </r>
    <r>
      <rPr>
        <i/>
        <sz val="11"/>
        <color theme="1"/>
        <rFont val="Aptos Narrow"/>
        <family val="2"/>
        <scheme val="minor"/>
      </rPr>
      <t>(</t>
    </r>
    <r>
      <rPr>
        <i/>
        <sz val="11"/>
        <color theme="1"/>
        <rFont val="Symbol"/>
        <family val="1"/>
        <charset val="2"/>
      </rPr>
      <t>r</t>
    </r>
    <r>
      <rPr>
        <i/>
        <vertAlign val="subscript"/>
        <sz val="11"/>
        <color theme="1"/>
        <rFont val="Aptos Narrow"/>
        <family val="2"/>
        <scheme val="minor"/>
      </rPr>
      <t>a</t>
    </r>
    <r>
      <rPr>
        <i/>
        <sz val="11"/>
        <color theme="1"/>
        <rFont val="Aptos Narrow"/>
        <family val="2"/>
        <scheme val="minor"/>
      </rPr>
      <t xml:space="preserve">) </t>
    </r>
    <r>
      <rPr>
        <sz val="11"/>
        <color theme="1"/>
        <rFont val="Aptos Narrow"/>
        <family val="2"/>
        <scheme val="minor"/>
      </rPr>
      <t xml:space="preserve"> – incertidumbre estándar aire amb.</t>
    </r>
  </si>
  <si>
    <r>
      <t>u(δI</t>
    </r>
    <r>
      <rPr>
        <i/>
        <vertAlign val="subscript"/>
        <sz val="10"/>
        <color theme="1"/>
        <rFont val="Aptos Narrow"/>
        <family val="2"/>
        <scheme val="minor"/>
      </rPr>
      <t>div0</t>
    </r>
    <r>
      <rPr>
        <i/>
        <sz val="10"/>
        <color theme="1"/>
        <rFont val="Aptos Narrow"/>
        <family val="2"/>
        <scheme val="minor"/>
      </rPr>
      <t>)</t>
    </r>
  </si>
  <si>
    <t>°C</t>
  </si>
  <si>
    <r>
      <rPr>
        <i/>
        <sz val="11"/>
        <color theme="1"/>
        <rFont val="Aptos Narrow"/>
        <family val="2"/>
        <scheme val="minor"/>
      </rPr>
      <t>u(t)</t>
    </r>
    <r>
      <rPr>
        <sz val="11"/>
        <color theme="1"/>
        <rFont val="Aptos Narrow"/>
        <family val="2"/>
        <scheme val="minor"/>
      </rPr>
      <t xml:space="preserve">  – incertidumbre estándar temperatura</t>
    </r>
  </si>
  <si>
    <t>%</t>
  </si>
  <si>
    <r>
      <rPr>
        <i/>
        <sz val="11"/>
        <color theme="1"/>
        <rFont val="Aptos Narrow"/>
        <family val="2"/>
        <scheme val="minor"/>
      </rPr>
      <t>u(h</t>
    </r>
    <r>
      <rPr>
        <i/>
        <vertAlign val="subscript"/>
        <sz val="11"/>
        <color theme="1"/>
        <rFont val="Aptos Narrow"/>
        <family val="2"/>
        <scheme val="minor"/>
      </rPr>
      <t>r</t>
    </r>
    <r>
      <rPr>
        <i/>
        <sz val="11"/>
        <color theme="1"/>
        <rFont val="Aptos Narrow"/>
        <family val="2"/>
        <scheme val="minor"/>
      </rPr>
      <t xml:space="preserve">) </t>
    </r>
    <r>
      <rPr>
        <sz val="11"/>
        <color theme="1"/>
        <rFont val="Aptos Narrow"/>
        <family val="2"/>
        <scheme val="minor"/>
      </rPr>
      <t xml:space="preserve"> – incertidumbre estándar humedad</t>
    </r>
  </si>
  <si>
    <t>hPa</t>
  </si>
  <si>
    <r>
      <rPr>
        <i/>
        <sz val="11"/>
        <color theme="1"/>
        <rFont val="Aptos Narrow"/>
        <family val="2"/>
        <scheme val="minor"/>
      </rPr>
      <t xml:space="preserve">u(p)  </t>
    </r>
    <r>
      <rPr>
        <sz val="11"/>
        <color theme="1"/>
        <rFont val="Aptos Narrow"/>
        <family val="2"/>
        <scheme val="minor"/>
      </rPr>
      <t>– incertidumbre estándar presión</t>
    </r>
  </si>
  <si>
    <r>
      <t>r</t>
    </r>
    <r>
      <rPr>
        <i/>
        <vertAlign val="subscript"/>
        <sz val="12"/>
        <color theme="1"/>
        <rFont val="Times New Roman"/>
        <family val="1"/>
      </rPr>
      <t>a</t>
    </r>
    <r>
      <rPr>
        <i/>
        <sz val="11"/>
        <color theme="1"/>
        <rFont val="Aptos Narrow"/>
        <family val="2"/>
        <scheme val="minor"/>
      </rPr>
      <t xml:space="preserve"> </t>
    </r>
    <r>
      <rPr>
        <sz val="11"/>
        <color theme="1"/>
        <rFont val="Aptos Narrow"/>
        <family val="2"/>
        <scheme val="minor"/>
      </rPr>
      <t>– densidad del aire ambiente</t>
    </r>
  </si>
  <si>
    <r>
      <t>t</t>
    </r>
    <r>
      <rPr>
        <sz val="11"/>
        <color theme="1"/>
        <rFont val="Aptos Narrow"/>
        <family val="2"/>
        <scheme val="minor"/>
      </rPr>
      <t xml:space="preserve"> </t>
    </r>
    <r>
      <rPr>
        <i/>
        <sz val="11"/>
        <color theme="1"/>
        <rFont val="Aptos Narrow"/>
        <family val="2"/>
        <scheme val="minor"/>
      </rPr>
      <t>–</t>
    </r>
    <r>
      <rPr>
        <sz val="11"/>
        <color theme="1"/>
        <rFont val="Aptos Narrow"/>
        <family val="2"/>
        <scheme val="minor"/>
      </rPr>
      <t xml:space="preserve"> temperatura de aire </t>
    </r>
  </si>
  <si>
    <t>min</t>
  </si>
  <si>
    <r>
      <t>t</t>
    </r>
    <r>
      <rPr>
        <i/>
        <vertAlign val="subscript"/>
        <sz val="10"/>
        <color theme="1"/>
        <rFont val="Arial"/>
        <family val="2"/>
      </rPr>
      <t>amb.</t>
    </r>
  </si>
  <si>
    <t>Tiempo ambientación</t>
  </si>
  <si>
    <r>
      <rPr>
        <b/>
        <i/>
        <sz val="11"/>
        <color theme="1"/>
        <rFont val="Symbol"/>
        <family val="1"/>
        <charset val="2"/>
      </rPr>
      <t>d</t>
    </r>
    <r>
      <rPr>
        <b/>
        <i/>
        <sz val="11"/>
        <color theme="1"/>
        <rFont val="Aptos Narrow"/>
        <family val="2"/>
        <scheme val="minor"/>
      </rPr>
      <t>u(m</t>
    </r>
    <r>
      <rPr>
        <b/>
        <i/>
        <vertAlign val="subscript"/>
        <sz val="11"/>
        <color theme="1"/>
        <rFont val="Aptos Narrow"/>
        <family val="2"/>
        <scheme val="minor"/>
      </rPr>
      <t>B2</t>
    </r>
    <r>
      <rPr>
        <b/>
        <i/>
        <sz val="11"/>
        <color theme="1"/>
        <rFont val="Aptos Narrow"/>
        <family val="2"/>
        <scheme val="minor"/>
      </rPr>
      <t>)</t>
    </r>
  </si>
  <si>
    <r>
      <rPr>
        <b/>
        <i/>
        <sz val="11"/>
        <color theme="1"/>
        <rFont val="Symbol"/>
        <family val="1"/>
        <charset val="2"/>
      </rPr>
      <t>d</t>
    </r>
    <r>
      <rPr>
        <b/>
        <i/>
        <sz val="11"/>
        <color theme="1"/>
        <rFont val="Aptos Narrow"/>
        <family val="2"/>
        <scheme val="minor"/>
      </rPr>
      <t>u(m</t>
    </r>
    <r>
      <rPr>
        <b/>
        <i/>
        <vertAlign val="subscript"/>
        <sz val="11"/>
        <color theme="1"/>
        <rFont val="Aptos Narrow"/>
        <family val="2"/>
        <scheme val="minor"/>
      </rPr>
      <t>B1</t>
    </r>
    <r>
      <rPr>
        <b/>
        <i/>
        <sz val="11"/>
        <color theme="1"/>
        <rFont val="Aptos Narrow"/>
        <family val="2"/>
        <scheme val="minor"/>
      </rPr>
      <t>)</t>
    </r>
  </si>
  <si>
    <r>
      <t>w(δm</t>
    </r>
    <r>
      <rPr>
        <b/>
        <i/>
        <vertAlign val="subscript"/>
        <sz val="11"/>
        <color theme="1"/>
        <rFont val="Aptos Narrow"/>
        <family val="2"/>
        <scheme val="minor"/>
      </rPr>
      <t>B_N2</t>
    </r>
    <r>
      <rPr>
        <b/>
        <i/>
        <sz val="11"/>
        <color theme="1"/>
        <rFont val="Aptos Narrow"/>
        <family val="2"/>
        <scheme val="minor"/>
      </rPr>
      <t>)</t>
    </r>
  </si>
  <si>
    <r>
      <rPr>
        <b/>
        <sz val="11"/>
        <color theme="1"/>
        <rFont val="Symbol"/>
        <family val="1"/>
        <charset val="2"/>
      </rPr>
      <t>d</t>
    </r>
    <r>
      <rPr>
        <b/>
        <i/>
        <sz val="11"/>
        <color theme="1"/>
        <rFont val="Aptos Narrow"/>
        <family val="2"/>
        <scheme val="minor"/>
      </rPr>
      <t>m</t>
    </r>
    <r>
      <rPr>
        <b/>
        <i/>
        <vertAlign val="subscript"/>
        <sz val="11"/>
        <color theme="1"/>
        <rFont val="Aptos Narrow"/>
        <family val="2"/>
        <scheme val="minor"/>
      </rPr>
      <t>B</t>
    </r>
    <r>
      <rPr>
        <b/>
        <sz val="11"/>
        <color theme="1"/>
        <rFont val="Aptos Narrow"/>
        <family val="2"/>
        <scheme val="minor"/>
      </rPr>
      <t xml:space="preserve"> [kg]</t>
    </r>
  </si>
  <si>
    <r>
      <rPr>
        <b/>
        <i/>
        <sz val="11"/>
        <color theme="1"/>
        <rFont val="Aptos Narrow"/>
        <family val="2"/>
        <scheme val="minor"/>
      </rPr>
      <t>u(</t>
    </r>
    <r>
      <rPr>
        <b/>
        <i/>
        <sz val="11"/>
        <color theme="1"/>
        <rFont val="Symbol"/>
        <family val="1"/>
        <charset val="2"/>
      </rPr>
      <t>r</t>
    </r>
    <r>
      <rPr>
        <b/>
        <sz val="11"/>
        <color theme="1"/>
        <rFont val="Aptos Narrow"/>
        <family val="2"/>
        <scheme val="minor"/>
      </rPr>
      <t>) [kg/m</t>
    </r>
    <r>
      <rPr>
        <b/>
        <vertAlign val="superscript"/>
        <sz val="11"/>
        <color theme="1"/>
        <rFont val="Aptos Narrow"/>
        <family val="2"/>
        <scheme val="minor"/>
      </rPr>
      <t>3</t>
    </r>
    <r>
      <rPr>
        <b/>
        <sz val="11"/>
        <color theme="1"/>
        <rFont val="Aptos Narrow"/>
        <family val="2"/>
        <scheme val="minor"/>
      </rPr>
      <t>]</t>
    </r>
  </si>
  <si>
    <r>
      <rPr>
        <b/>
        <i/>
        <sz val="11"/>
        <color theme="1"/>
        <rFont val="Symbol"/>
        <family val="1"/>
        <charset val="2"/>
      </rPr>
      <t>r</t>
    </r>
    <r>
      <rPr>
        <b/>
        <sz val="11"/>
        <color theme="1"/>
        <rFont val="Aptos Narrow"/>
        <family val="2"/>
        <scheme val="minor"/>
      </rPr>
      <t xml:space="preserve"> [kg/m</t>
    </r>
    <r>
      <rPr>
        <b/>
        <vertAlign val="superscript"/>
        <sz val="11"/>
        <color theme="1"/>
        <rFont val="Aptos Narrow"/>
        <family val="2"/>
        <scheme val="minor"/>
      </rPr>
      <t>3</t>
    </r>
    <r>
      <rPr>
        <b/>
        <sz val="11"/>
        <color theme="1"/>
        <rFont val="Aptos Narrow"/>
        <family val="2"/>
        <scheme val="minor"/>
      </rPr>
      <t>]</t>
    </r>
  </si>
  <si>
    <r>
      <t>w(δm</t>
    </r>
    <r>
      <rPr>
        <b/>
        <i/>
        <vertAlign val="subscript"/>
        <sz val="11"/>
        <color theme="1"/>
        <rFont val="Aptos Narrow"/>
        <family val="2"/>
        <scheme val="minor"/>
      </rPr>
      <t>B_N1</t>
    </r>
    <r>
      <rPr>
        <b/>
        <i/>
        <sz val="11"/>
        <color theme="1"/>
        <rFont val="Aptos Narrow"/>
        <family val="2"/>
        <scheme val="minor"/>
      </rPr>
      <t>)</t>
    </r>
  </si>
  <si>
    <t>mpe [kg]</t>
  </si>
  <si>
    <r>
      <t>m</t>
    </r>
    <r>
      <rPr>
        <b/>
        <i/>
        <vertAlign val="subscript"/>
        <sz val="11"/>
        <color theme="1"/>
        <rFont val="Aptos Narrow"/>
        <family val="2"/>
        <scheme val="minor"/>
      </rPr>
      <t>N</t>
    </r>
    <r>
      <rPr>
        <b/>
        <sz val="11"/>
        <color theme="1"/>
        <rFont val="Aptos Narrow"/>
        <family val="2"/>
        <scheme val="minor"/>
      </rPr>
      <t xml:space="preserve"> [kg]</t>
    </r>
  </si>
  <si>
    <t>Patrón</t>
  </si>
  <si>
    <r>
      <t>h</t>
    </r>
    <r>
      <rPr>
        <i/>
        <vertAlign val="subscript"/>
        <sz val="12"/>
        <color theme="1"/>
        <rFont val="Times New Roman"/>
        <family val="1"/>
      </rPr>
      <t>r</t>
    </r>
    <r>
      <rPr>
        <sz val="11"/>
        <color theme="1"/>
        <rFont val="Aptos Narrow"/>
        <family val="2"/>
        <scheme val="minor"/>
      </rPr>
      <t xml:space="preserve"> </t>
    </r>
    <r>
      <rPr>
        <i/>
        <sz val="11"/>
        <color theme="1"/>
        <rFont val="Aptos Narrow"/>
        <family val="2"/>
        <scheme val="minor"/>
      </rPr>
      <t>–</t>
    </r>
    <r>
      <rPr>
        <sz val="11"/>
        <color theme="1"/>
        <rFont val="Aptos Narrow"/>
        <family val="2"/>
        <scheme val="minor"/>
      </rPr>
      <t xml:space="preserve"> humedad relativa de aire </t>
    </r>
  </si>
  <si>
    <r>
      <rPr>
        <sz val="10"/>
        <color theme="1"/>
        <rFont val="Symbol"/>
        <family val="1"/>
        <charset val="2"/>
      </rPr>
      <t>D</t>
    </r>
    <r>
      <rPr>
        <i/>
        <sz val="10"/>
        <color theme="1"/>
        <rFont val="Arial"/>
        <family val="2"/>
      </rPr>
      <t>T</t>
    </r>
  </si>
  <si>
    <t>Dif. temps. entre ambiente y patrón</t>
  </si>
  <si>
    <t>Todo en [kg]</t>
  </si>
  <si>
    <t>Cálculo de aportación incertidumbre por empuje de aire</t>
  </si>
  <si>
    <r>
      <t>p</t>
    </r>
    <r>
      <rPr>
        <sz val="11"/>
        <color theme="1"/>
        <rFont val="Aptos Narrow"/>
        <family val="2"/>
        <scheme val="minor"/>
      </rPr>
      <t xml:space="preserve"> </t>
    </r>
    <r>
      <rPr>
        <i/>
        <sz val="11"/>
        <color theme="1"/>
        <rFont val="Aptos Narrow"/>
        <family val="2"/>
        <scheme val="minor"/>
      </rPr>
      <t>–</t>
    </r>
    <r>
      <rPr>
        <sz val="11"/>
        <color theme="1"/>
        <rFont val="Aptos Narrow"/>
        <family val="2"/>
        <scheme val="minor"/>
      </rPr>
      <t xml:space="preserve"> presión barométrica </t>
    </r>
  </si>
  <si>
    <t>dumbres de los puntos de medición.</t>
  </si>
  <si>
    <r>
      <t>d</t>
    </r>
    <r>
      <rPr>
        <i/>
        <vertAlign val="subscript"/>
        <sz val="11"/>
        <color theme="1"/>
        <rFont val="Aptos Narrow"/>
        <family val="2"/>
        <scheme val="minor"/>
      </rPr>
      <t>0</t>
    </r>
  </si>
  <si>
    <t>Resolución del equipo sin carga</t>
  </si>
  <si>
    <r>
      <t>r</t>
    </r>
    <r>
      <rPr>
        <i/>
        <vertAlign val="subscript"/>
        <sz val="12"/>
        <color theme="1"/>
        <rFont val="Aptos Narrow"/>
        <family val="2"/>
        <scheme val="minor"/>
      </rPr>
      <t>c</t>
    </r>
    <r>
      <rPr>
        <i/>
        <sz val="11"/>
        <color theme="1"/>
        <rFont val="Aptos Narrow"/>
        <family val="2"/>
        <scheme val="minor"/>
      </rPr>
      <t xml:space="preserve"> </t>
    </r>
    <r>
      <rPr>
        <sz val="11"/>
        <color theme="1"/>
        <rFont val="Aptos Narrow"/>
        <family val="2"/>
        <scheme val="minor"/>
      </rPr>
      <t>– densidad de referencia</t>
    </r>
  </si>
  <si>
    <r>
      <rPr>
        <b/>
        <sz val="11"/>
        <color rgb="FFFF0000"/>
        <rFont val="Symbol"/>
        <family val="1"/>
        <charset val="2"/>
      </rPr>
      <t>¬</t>
    </r>
    <r>
      <rPr>
        <b/>
        <sz val="9.35"/>
        <color rgb="FFFF0000"/>
        <rFont val="Calibri"/>
        <family val="2"/>
      </rPr>
      <t xml:space="preserve"> </t>
    </r>
    <r>
      <rPr>
        <sz val="9.35"/>
        <color theme="1"/>
        <rFont val="Calibri"/>
        <family val="2"/>
      </rPr>
      <t xml:space="preserve"> </t>
    </r>
    <r>
      <rPr>
        <sz val="11"/>
        <color theme="1"/>
        <rFont val="Aptos Narrow"/>
        <family val="2"/>
        <scheme val="minor"/>
      </rPr>
      <t>Condición de la distribución normal de las inerti-</t>
    </r>
  </si>
  <si>
    <t>&lt;±2</t>
  </si>
  <si>
    <r>
      <t>&lt;</t>
    </r>
    <r>
      <rPr>
        <sz val="11"/>
        <color theme="1"/>
        <rFont val="Aptos Narrow"/>
        <family val="2"/>
        <scheme val="minor"/>
      </rPr>
      <t>±2</t>
    </r>
  </si>
  <si>
    <t>Decim.:</t>
  </si>
  <si>
    <r>
      <t>d</t>
    </r>
    <r>
      <rPr>
        <i/>
        <vertAlign val="subscript"/>
        <sz val="11"/>
        <color theme="1"/>
        <rFont val="Aptos Narrow"/>
        <family val="2"/>
        <scheme val="minor"/>
      </rPr>
      <t>T</t>
    </r>
  </si>
  <si>
    <t>Resolución del equipo con carga</t>
  </si>
  <si>
    <r>
      <t>r</t>
    </r>
    <r>
      <rPr>
        <i/>
        <vertAlign val="subscript"/>
        <sz val="12"/>
        <color theme="1"/>
        <rFont val="Times New Roman"/>
        <family val="1"/>
      </rPr>
      <t>0</t>
    </r>
    <r>
      <rPr>
        <i/>
        <sz val="11"/>
        <color theme="1"/>
        <rFont val="Aptos Narrow"/>
        <family val="2"/>
        <scheme val="minor"/>
      </rPr>
      <t xml:space="preserve"> </t>
    </r>
    <r>
      <rPr>
        <sz val="11"/>
        <color theme="1"/>
        <rFont val="Aptos Narrow"/>
        <family val="2"/>
        <scheme val="minor"/>
      </rPr>
      <t>– densidad de referencia del aire</t>
    </r>
  </si>
  <si>
    <r>
      <rPr>
        <sz val="11"/>
        <color theme="1"/>
        <rFont val="Symbol"/>
        <family val="1"/>
        <charset val="2"/>
      </rPr>
      <t>r</t>
    </r>
    <r>
      <rPr>
        <vertAlign val="subscript"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vs. </t>
    </r>
    <r>
      <rPr>
        <sz val="11"/>
        <color theme="1"/>
        <rFont val="Symbol"/>
        <family val="1"/>
        <charset val="2"/>
      </rPr>
      <t>r</t>
    </r>
    <r>
      <rPr>
        <vertAlign val="subscript"/>
        <sz val="11"/>
        <color theme="1"/>
        <rFont val="Aptos Narrow"/>
        <family val="2"/>
        <scheme val="minor"/>
      </rPr>
      <t>0</t>
    </r>
  </si>
  <si>
    <t>Curtosis</t>
  </si>
  <si>
    <t>Asimetria</t>
  </si>
  <si>
    <t>Parámetro</t>
  </si>
  <si>
    <t>Presupuesto de incertidumbre expandida</t>
  </si>
  <si>
    <t>Cálculo de densidad de aire in situ</t>
  </si>
  <si>
    <t>1 g = 0.0022 lb</t>
  </si>
  <si>
    <t>1kg = 2.20462 lb</t>
  </si>
  <si>
    <t>1lb=453.592g</t>
  </si>
  <si>
    <t>.................Fin del certificado................</t>
  </si>
  <si>
    <t>Nulo sin sello y firma</t>
  </si>
  <si>
    <t>Director Técnico</t>
  </si>
  <si>
    <t>se reproduce en su totalidad.</t>
  </si>
  <si>
    <t xml:space="preserve">Este certificado de calibración no debe ser reproducido sin la aprobación del laboratorio, excepto cuando </t>
  </si>
  <si>
    <t>especificadas al momento de realizar el servicio.</t>
  </si>
  <si>
    <t>Los resultados emitidos en este certificado corresponden únicamente al objeto calibrado y a las magnitudes</t>
  </si>
  <si>
    <t>El error corresponde al valor de la indicación del equipo menos el valor convencional de la masa de referencia.</t>
  </si>
  <si>
    <t>Es responsabilidad del encargado del instrumento establecer la frecuencia del servicio de calibración.</t>
  </si>
  <si>
    <t>Observaciones</t>
  </si>
  <si>
    <t>Higrotermómetro</t>
  </si>
  <si>
    <t>Descripción de patrones utilizados</t>
  </si>
  <si>
    <t>Identificación del certificado:</t>
  </si>
  <si>
    <t>La incertidumbre de las medición se obtuvo multiplicando la incertidumbre estándar combinada por un factor de cobertura k = 2, con el que se alcanza un nivel de confianza de aproximadamente un 95 %. La incertidumbre estándar de la medición se determinó conforme a Guía para la Expresión de la Incertidumbre de la Medida, BIPM-IEC-IFCC-ISO-IUPAC-IUPAP-OIML, en la cual se toma en cuenta la incertidumbre de los patrones, del método de calibración, de los factores de influencia durante la calibración y del equipo sujeto a calibración.</t>
  </si>
  <si>
    <t>Incertidumbre de los datos</t>
  </si>
  <si>
    <t>Las pruebas se realizaron con NI-MCIT-B-01 Instrucción para calibración de instrumentos de pesaje de funcionamiento no automático.</t>
  </si>
  <si>
    <t>Método de calibración</t>
  </si>
  <si>
    <t>) % HR</t>
  </si>
  <si>
    <t>±</t>
  </si>
  <si>
    <t>(</t>
  </si>
  <si>
    <t>Hum R.:</t>
  </si>
  <si>
    <t>) hPa</t>
  </si>
  <si>
    <t xml:space="preserve">Presión: </t>
  </si>
  <si>
    <t>) °C</t>
  </si>
  <si>
    <t>Temperatura: (</t>
  </si>
  <si>
    <t>Presión atmosférica</t>
  </si>
  <si>
    <t xml:space="preserve">Condiciones ambientales </t>
  </si>
  <si>
    <t>Incertidumbre expandida k = 2</t>
  </si>
  <si>
    <t>Excentricidad máxima</t>
  </si>
  <si>
    <t>Error</t>
  </si>
  <si>
    <t>Indicación del equipo</t>
  </si>
  <si>
    <t>Masa de referencia</t>
  </si>
  <si>
    <t>Tabla de resultados de la calibración</t>
  </si>
  <si>
    <t>Resultados de la calibración</t>
  </si>
  <si>
    <t>Lugar de calibración:</t>
  </si>
  <si>
    <t>Dirección del solicitante:</t>
  </si>
  <si>
    <t>Solicitante:</t>
  </si>
  <si>
    <t>Código de identificación:</t>
  </si>
  <si>
    <t>Resolución:</t>
  </si>
  <si>
    <t>Rango de medida:</t>
  </si>
  <si>
    <t>Modelo:</t>
  </si>
  <si>
    <t>Serie:</t>
  </si>
  <si>
    <t xml:space="preserve">Fabricante/Marca: </t>
  </si>
  <si>
    <t>Objeto de calibración:</t>
  </si>
  <si>
    <t>Fecha de emisión del certificado:</t>
  </si>
  <si>
    <t>Fecha de calibración:</t>
  </si>
  <si>
    <t>Código de servicio:</t>
  </si>
  <si>
    <t>Código del Certificado</t>
  </si>
  <si>
    <t>Identificación del Equipo</t>
  </si>
  <si>
    <t>Fecha de Calibración</t>
  </si>
  <si>
    <t>Equipo</t>
  </si>
  <si>
    <t>El factor de conversión al SI corresponde a 1 kg = 2,20462 lb UK</t>
  </si>
  <si>
    <t>Resultados de la calibración en kilogramo (kg)</t>
  </si>
  <si>
    <t>reproduce en su totalidad.</t>
  </si>
  <si>
    <t>Este certificado de calibración no debe ser reproducido sin la aprobación del laboratorio, excepto cuando se</t>
  </si>
  <si>
    <t>acero inoxidable</t>
  </si>
  <si>
    <t>RECOPE, Certificado RCP-LMV-MSWS-105-23</t>
  </si>
  <si>
    <t>INSCO</t>
  </si>
  <si>
    <t>NI-MCPM-JM-04 (500g)</t>
  </si>
  <si>
    <t>hierro</t>
  </si>
  <si>
    <t>Metrocal; Certificado NI-MC-M-100-2023</t>
  </si>
  <si>
    <t>N/A</t>
  </si>
  <si>
    <t>NI-MCPM-10-03 (10kg)</t>
  </si>
  <si>
    <t>RECOPE, Certificado RCP-LMV-MSW-097-23</t>
  </si>
  <si>
    <t>NI-MCPM-20-02 (20kg)</t>
  </si>
  <si>
    <t>RECOPE, CertificadoRCP-LMV-MSW-107-23</t>
  </si>
  <si>
    <t>NI-MCPM-10-04 (10kg)</t>
  </si>
  <si>
    <t>NI-MCPM-JM-04 (50g)</t>
  </si>
  <si>
    <t>NI-MCPM-JM-04 (100g)</t>
  </si>
  <si>
    <t>Metrología CR, Certificado MC-P-2023-096</t>
  </si>
  <si>
    <t>NI-MCPM-20-59 (20kg)</t>
  </si>
  <si>
    <t>NI-MCPM-20-58 (20kg)</t>
  </si>
  <si>
    <t>[@[Masa convenc. mN–(mpe–U95) &lt;mc&lt; mN+(mpe–U95)]]&lt;[@[Masa nominal mN (g)]]-([@[mpe (g)]]+[@[Incertidumbre certificado calibración U95 (g)]])</t>
  </si>
  <si>
    <t>margen superior</t>
  </si>
  <si>
    <t>NI-MCPM-20-57 (20kg)</t>
  </si>
  <si>
    <t>[@[Masa convenc. mN–(mpe–U95) &lt;mc&lt; mN+(mpe–U95)]]&gt;[@[Masa nominal mN (g)]]-([@[mpe (g)]]-[@[Incertidumbre certificado calibración U95 (g)]])</t>
  </si>
  <si>
    <t>margen inferior</t>
  </si>
  <si>
    <t>NI-MCPM-20-56 (20kg)</t>
  </si>
  <si>
    <t>NI-MCPM-20-55 (20kg)</t>
  </si>
  <si>
    <t>NI-MCPM-20-54 (20kg)</t>
  </si>
  <si>
    <t>NI-MCPM-20-53 (20kg)</t>
  </si>
  <si>
    <t>NI-MCPM-20-52 (20kg)</t>
  </si>
  <si>
    <t>NI-MCPM-20-51 (20kg)</t>
  </si>
  <si>
    <t>NI-MCPM-20-50 (20kg)</t>
  </si>
  <si>
    <t>NI-MCPM-20-49 (20kg)</t>
  </si>
  <si>
    <t>NI-MCPM-20-48 (20kg)</t>
  </si>
  <si>
    <t>NI-MCPM-20-47 (20kg)</t>
  </si>
  <si>
    <t>NI-MCPM-20-46 (20kg)</t>
  </si>
  <si>
    <t>NI-MCPM-20-45 (20kg)</t>
  </si>
  <si>
    <t>NI-MCPM-20-44 (20kg)</t>
  </si>
  <si>
    <t>NI-MCPM-20-43 (20kg)</t>
  </si>
  <si>
    <t>NI-MCPM-20-42 (20kg)</t>
  </si>
  <si>
    <t>NI-MCPM-20-41 (20kg)</t>
  </si>
  <si>
    <t>NI-MCPM-20-40 (20kg)</t>
  </si>
  <si>
    <t>NI-MCPM-20-39 (20kg)</t>
  </si>
  <si>
    <t>NI-MCPM-20-38 (20kg)</t>
  </si>
  <si>
    <t>NI-MCPM-20-37 (20kg)</t>
  </si>
  <si>
    <t>NI-MCPM-20-36 (20kg)</t>
  </si>
  <si>
    <t>NI-MCPM-20-35 (20kg)</t>
  </si>
  <si>
    <t>NI-MCPM-20-34 (20kg)</t>
  </si>
  <si>
    <t>NI-MCPM-20-33 (20kg)</t>
  </si>
  <si>
    <t>NI-MCPM-20-32 (20kg)</t>
  </si>
  <si>
    <t>NI-MCPM-20-31 (20kg)</t>
  </si>
  <si>
    <t>NI-MCPM-20-30 (20kg)</t>
  </si>
  <si>
    <t>NI-MCPM-20-29 (20kg)</t>
  </si>
  <si>
    <t>NI-MCPM-20-28 (20kg)</t>
  </si>
  <si>
    <t>NI-MCPM-20-27 (20kg)</t>
  </si>
  <si>
    <t>NI-MCPM-20-26 (20kg)</t>
  </si>
  <si>
    <t>NI-MCPM-20-25 (20kg)</t>
  </si>
  <si>
    <t>NI-MCPM-20-24 (20kg)</t>
  </si>
  <si>
    <t>NI-MCPM-20-23 (20kg)</t>
  </si>
  <si>
    <t>NI-MCPM-20-22 (20kg)</t>
  </si>
  <si>
    <t>NI-MCPM-20-21 (20kg)</t>
  </si>
  <si>
    <t>NI-MCPM-20-20 (20kg)</t>
  </si>
  <si>
    <t>NI-MCPM-20-19 (20kg)</t>
  </si>
  <si>
    <t>NI-MCPM-20-18 (20kg)</t>
  </si>
  <si>
    <t>NI-MCPM-20-17 (20kg)</t>
  </si>
  <si>
    <t>NI-MCPM-20-16 (20kg)</t>
  </si>
  <si>
    <t>NI-MCPM-20-15 (20kg)</t>
  </si>
  <si>
    <t>NI-MCPM-20-14 (20kg)</t>
  </si>
  <si>
    <t>NI-MCPM-20-13 (20kg)</t>
  </si>
  <si>
    <t>NI-MCPM-20-12 (20kg)</t>
  </si>
  <si>
    <t>NI-MCPM-20-11 (20kg)</t>
  </si>
  <si>
    <t>NI-MCPM-20-10 (20kg)</t>
  </si>
  <si>
    <t>RECOPE, Certificado RCP-LMV-MSW-096-23</t>
  </si>
  <si>
    <t>NI-MCPM-20-01 (20kg)</t>
  </si>
  <si>
    <t>RECOPE, Certificado RCP-LMV-MSW-106-23</t>
  </si>
  <si>
    <t>Cobos</t>
  </si>
  <si>
    <t>NI-MCPM-10-02 (10kg)</t>
  </si>
  <si>
    <t>Metrología CR, Certificado MC-P-702-2019</t>
  </si>
  <si>
    <t>NI-MCPM-10-01 (10kg)</t>
  </si>
  <si>
    <t>RECOPE, Certificado RCP-LMV-MSWS-095-23</t>
  </si>
  <si>
    <t>Zwiebel</t>
  </si>
  <si>
    <t>NI-MCPM-JM-03 (5 000g ZZ19C)</t>
  </si>
  <si>
    <t>Metrología CR, Certificado MC-P-701-2019</t>
  </si>
  <si>
    <t>NI-MCPM-JM-02 (5 000g)</t>
  </si>
  <si>
    <t>Metrología CR, Certificado MC-P-608-2019</t>
  </si>
  <si>
    <t>Troemner</t>
  </si>
  <si>
    <t>NI-MCPM-5-01 (5 000g)</t>
  </si>
  <si>
    <t>NI-MCPM-JM-03 (2 000g ZZ97E)</t>
  </si>
  <si>
    <t>NI-MCPM-JM-03 (2 000g ZZ94E)</t>
  </si>
  <si>
    <t>NI-MCPM-JM-02 (2 000"g)</t>
  </si>
  <si>
    <t>NI-MCPM-JM-02 (2 000g)</t>
  </si>
  <si>
    <t>NI-MCPM-2-01 (2 000g)</t>
  </si>
  <si>
    <t>NI-MCPM-JM-03 (1 000g ZZ69G)</t>
  </si>
  <si>
    <t>NI-MCPM-JM-02 (1 000g)</t>
  </si>
  <si>
    <t>NI-MCPM-1-01 (1 000g)</t>
  </si>
  <si>
    <t>NI-MCPM-JM-03 (500g ZZ60E)</t>
  </si>
  <si>
    <t>NI-MCPM-JM-02 (500g)</t>
  </si>
  <si>
    <t>NI-MCPM-JM-03 (200g ZZ19M)</t>
  </si>
  <si>
    <t>NI-MCPM-JM-03 (200g ZZ18M)</t>
  </si>
  <si>
    <t>NI-MCPM-JM-02 (200"g)</t>
  </si>
  <si>
    <t>NI-MCPM-JM-02 (200g)</t>
  </si>
  <si>
    <t>NI-MCPM-JM-03 (100g ZZ51L)</t>
  </si>
  <si>
    <t>NI-MCPM-JM-03 (50g ZZ83J)</t>
  </si>
  <si>
    <t>NI-MCPM-JM-02 (50g)</t>
  </si>
  <si>
    <t>NI-MCPM-JM-03 (20g ZZ53L)</t>
  </si>
  <si>
    <t>NI-MCPM-JM-03 (20g ZZ52L)</t>
  </si>
  <si>
    <t>NI-MCPM-JM-02 (20"g)</t>
  </si>
  <si>
    <t>NI-MCPM-JM-02 (20g)</t>
  </si>
  <si>
    <t>NI-MCPM-JM-03 (10g ZZ64K)</t>
  </si>
  <si>
    <t>NI-MCPM-JM-02 (10g)</t>
  </si>
  <si>
    <t>NI-MCPM-JM-03 (5g ZZ32G)</t>
  </si>
  <si>
    <t>NI-MCPM-JM-02 (5g)</t>
  </si>
  <si>
    <t>NI-MCPM-JM-03 (2g ZZ84J)</t>
  </si>
  <si>
    <r>
      <t>T.INV.2T(alfa,v</t>
    </r>
    <r>
      <rPr>
        <vertAlign val="subscript"/>
        <sz val="11"/>
        <color theme="1"/>
        <rFont val="Aptos Narrow"/>
        <family val="2"/>
        <scheme val="minor"/>
      </rPr>
      <t>eff</t>
    </r>
    <r>
      <rPr>
        <sz val="11"/>
        <color theme="1"/>
        <rFont val="Aptos Narrow"/>
        <family val="2"/>
        <scheme val="minor"/>
      </rPr>
      <t>)</t>
    </r>
  </si>
  <si>
    <t>aluminio</t>
  </si>
  <si>
    <t>NI-MCPM-JM-03 (2g ZZ47L)</t>
  </si>
  <si>
    <t>Fórmula para k:</t>
  </si>
  <si>
    <t>hierro fundido (gris)</t>
  </si>
  <si>
    <t>NI-MCPM-JM-02 (2g)</t>
  </si>
  <si>
    <t>Alfa (2 colas)</t>
  </si>
  <si>
    <r>
      <t>v</t>
    </r>
    <r>
      <rPr>
        <b/>
        <i/>
        <vertAlign val="subscript"/>
        <sz val="11"/>
        <color theme="1"/>
        <rFont val="Aptos Narrow"/>
        <family val="2"/>
        <scheme val="minor"/>
      </rPr>
      <t>eff</t>
    </r>
  </si>
  <si>
    <t>hierro fundido (blanco)</t>
  </si>
  <si>
    <t>NI-MCPM-JM-03 (1g ZA57A)</t>
  </si>
  <si>
    <t>RH max %</t>
  </si>
  <si>
    <t>RH min %</t>
  </si>
  <si>
    <r>
      <rPr>
        <sz val="11"/>
        <color theme="1"/>
        <rFont val="Symbol"/>
        <family val="1"/>
        <charset val="2"/>
      </rPr>
      <t>D</t>
    </r>
    <r>
      <rPr>
        <sz val="9.15"/>
        <color theme="1"/>
        <rFont val="Calibri"/>
        <family val="2"/>
      </rPr>
      <t>t en 12h ±</t>
    </r>
    <r>
      <rPr>
        <vertAlign val="superscript"/>
        <sz val="9.15"/>
        <color theme="1"/>
        <rFont val="Calibri"/>
        <family val="2"/>
      </rPr>
      <t>o</t>
    </r>
    <r>
      <rPr>
        <sz val="9.15"/>
        <color theme="1"/>
        <rFont val="Calibri"/>
        <family val="2"/>
      </rPr>
      <t>C</t>
    </r>
  </si>
  <si>
    <t>Nivel de confianza (2 colas)</t>
  </si>
  <si>
    <t>Grados.lib</t>
  </si>
  <si>
    <t>SCM Metrología y Laboratorios 20190819-28-58</t>
  </si>
  <si>
    <t>NI-MCPM-JM-02 (500mg)</t>
  </si>
  <si>
    <t>Doble cola</t>
  </si>
  <si>
    <t>acero al carbón</t>
  </si>
  <si>
    <t>NI-MCPM-JM-02 (200mg)</t>
  </si>
  <si>
    <t>Condiciones termales durante calibración (R111-1-e04, C1)</t>
  </si>
  <si>
    <t>Tabla distribución de Student</t>
  </si>
  <si>
    <t>NI-MCPM-JM-02 (100mg)</t>
  </si>
  <si>
    <t>latón</t>
  </si>
  <si>
    <t>M3</t>
  </si>
  <si>
    <t>M2</t>
  </si>
  <si>
    <t>NI-MCPM-JM-02 (50mg)</t>
  </si>
  <si>
    <t>ΔT/K</t>
  </si>
  <si>
    <t>Valor nominal (g)</t>
  </si>
  <si>
    <t>plata níquel</t>
  </si>
  <si>
    <r>
      <rPr>
        <i/>
        <sz val="9"/>
        <color theme="1"/>
        <rFont val="Calibri"/>
        <family val="2"/>
      </rPr>
      <t>±δ</t>
    </r>
    <r>
      <rPr>
        <i/>
        <sz val="9"/>
        <color theme="1"/>
        <rFont val="Arial"/>
        <family val="2"/>
      </rPr>
      <t>m</t>
    </r>
    <r>
      <rPr>
        <sz val="9"/>
        <color theme="1"/>
        <rFont val="Arial"/>
        <family val="2"/>
      </rPr>
      <t xml:space="preserve"> en mg</t>
    </r>
  </si>
  <si>
    <t>Valor nominal</t>
  </si>
  <si>
    <t>NI-MCPM-JM-02 (20mg)</t>
  </si>
  <si>
    <r>
      <t xml:space="preserve">Cambio en </t>
    </r>
    <r>
      <rPr>
        <i/>
        <sz val="9"/>
        <color rgb="FF000000"/>
        <rFont val="Calibri"/>
        <family val="2"/>
      </rPr>
      <t>Δ</t>
    </r>
    <r>
      <rPr>
        <i/>
        <sz val="9"/>
        <color rgb="FF000000"/>
        <rFont val="Arial"/>
        <family val="2"/>
      </rPr>
      <t>m</t>
    </r>
    <r>
      <rPr>
        <i/>
        <vertAlign val="subscript"/>
        <sz val="9"/>
        <color rgb="FF000000"/>
        <rFont val="Arial"/>
        <family val="2"/>
      </rPr>
      <t>conv</t>
    </r>
    <r>
      <rPr>
        <sz val="9"/>
        <color rgb="FF000000"/>
        <rFont val="Arial"/>
        <family val="2"/>
      </rPr>
      <t xml:space="preserve"> en mg para pesas patrón para diferencias en temperaturas seleccionadas </t>
    </r>
    <r>
      <rPr>
        <i/>
        <sz val="9"/>
        <color rgb="FF000000"/>
        <rFont val="Calibri"/>
        <family val="2"/>
      </rPr>
      <t>Δ</t>
    </r>
    <r>
      <rPr>
        <i/>
        <sz val="9"/>
        <color rgb="FF000000"/>
        <rFont val="Arial"/>
        <family val="2"/>
      </rPr>
      <t>T</t>
    </r>
  </si>
  <si>
    <r>
      <t xml:space="preserve">Incertidumbre estándar </t>
    </r>
    <r>
      <rPr>
        <i/>
        <sz val="12"/>
        <color theme="1"/>
        <rFont val="Times New Roman"/>
        <family val="1"/>
      </rPr>
      <t>u(ρ)</t>
    </r>
    <r>
      <rPr>
        <sz val="10"/>
        <color theme="1"/>
        <rFont val="Arial"/>
        <family val="2"/>
      </rPr>
      <t xml:space="preserve"> (</t>
    </r>
    <r>
      <rPr>
        <i/>
        <sz val="12"/>
        <color theme="1"/>
        <rFont val="Times New Roman"/>
        <family val="1"/>
      </rPr>
      <t>kg/m³</t>
    </r>
    <r>
      <rPr>
        <sz val="12"/>
        <color theme="1"/>
        <rFont val="Arial"/>
        <family val="2"/>
      </rPr>
      <t>)</t>
    </r>
  </si>
  <si>
    <r>
      <t xml:space="preserve">Densidad supuesta </t>
    </r>
    <r>
      <rPr>
        <i/>
        <sz val="12"/>
        <color theme="1"/>
        <rFont val="Times New Roman"/>
        <family val="1"/>
      </rPr>
      <t>ρ</t>
    </r>
    <r>
      <rPr>
        <sz val="10"/>
        <color theme="1"/>
        <rFont val="Arial"/>
        <family val="2"/>
      </rPr>
      <t xml:space="preserve"> (</t>
    </r>
    <r>
      <rPr>
        <i/>
        <sz val="12"/>
        <color theme="1"/>
        <rFont val="Times New Roman"/>
        <family val="1"/>
      </rPr>
      <t>kg/m³</t>
    </r>
    <r>
      <rPr>
        <sz val="12"/>
        <color theme="1"/>
        <rFont val="Arial"/>
        <family val="2"/>
      </rPr>
      <t>)</t>
    </r>
  </si>
  <si>
    <t>Aleación/material</t>
  </si>
  <si>
    <r>
      <t>m</t>
    </r>
    <r>
      <rPr>
        <i/>
        <vertAlign val="subscript"/>
        <sz val="10"/>
        <color theme="1"/>
        <rFont val="Arial"/>
        <family val="2"/>
      </rPr>
      <t>0</t>
    </r>
    <r>
      <rPr>
        <i/>
        <sz val="10"/>
        <color theme="1"/>
        <rFont val="Arial"/>
        <family val="2"/>
      </rPr>
      <t xml:space="preserve"> - (</t>
    </r>
    <r>
      <rPr>
        <i/>
        <sz val="10"/>
        <color theme="1"/>
        <rFont val="Calibri"/>
        <family val="2"/>
      </rPr>
      <t>δ</t>
    </r>
    <r>
      <rPr>
        <i/>
        <sz val="10"/>
        <color theme="1"/>
        <rFont val="Arial"/>
        <family val="2"/>
      </rPr>
      <t xml:space="preserve">m-U) </t>
    </r>
    <r>
      <rPr>
        <i/>
        <sz val="10"/>
        <color theme="1"/>
        <rFont val="Calibri"/>
        <family val="2"/>
      </rPr>
      <t xml:space="preserve">≤ </t>
    </r>
    <r>
      <rPr>
        <i/>
        <sz val="10"/>
        <color theme="1"/>
        <rFont val="Arial"/>
        <family val="2"/>
      </rPr>
      <t>m</t>
    </r>
    <r>
      <rPr>
        <i/>
        <vertAlign val="subscript"/>
        <sz val="10"/>
        <color theme="1"/>
        <rFont val="Arial"/>
        <family val="2"/>
      </rPr>
      <t>c</t>
    </r>
    <r>
      <rPr>
        <i/>
        <sz val="10"/>
        <color theme="1"/>
        <rFont val="Arial"/>
        <family val="2"/>
      </rPr>
      <t xml:space="preserve"> ≤ m</t>
    </r>
    <r>
      <rPr>
        <i/>
        <vertAlign val="subscript"/>
        <sz val="10"/>
        <color theme="1"/>
        <rFont val="Arial"/>
        <family val="2"/>
      </rPr>
      <t>0</t>
    </r>
    <r>
      <rPr>
        <i/>
        <sz val="10"/>
        <color theme="1"/>
        <rFont val="Arial"/>
        <family val="2"/>
      </rPr>
      <t xml:space="preserve"> - (δm-U)</t>
    </r>
  </si>
  <si>
    <r>
      <t>m</t>
    </r>
    <r>
      <rPr>
        <i/>
        <vertAlign val="subscript"/>
        <sz val="11"/>
        <color theme="1"/>
        <rFont val="Aptos Narrow"/>
        <family val="2"/>
        <scheme val="minor"/>
      </rPr>
      <t>N</t>
    </r>
    <r>
      <rPr>
        <i/>
        <sz val="11"/>
        <color theme="1"/>
        <rFont val="Aptos Narrow"/>
        <family val="2"/>
        <scheme val="minor"/>
      </rPr>
      <t>-(mpe–U</t>
    </r>
    <r>
      <rPr>
        <i/>
        <vertAlign val="subscript"/>
        <sz val="11"/>
        <color theme="1"/>
        <rFont val="Aptos Narrow"/>
        <family val="2"/>
        <scheme val="minor"/>
      </rPr>
      <t>95</t>
    </r>
    <r>
      <rPr>
        <i/>
        <sz val="11"/>
        <color theme="1"/>
        <rFont val="Aptos Narrow"/>
        <family val="2"/>
        <scheme val="minor"/>
      </rPr>
      <t>)</t>
    </r>
  </si>
  <si>
    <r>
      <t>m</t>
    </r>
    <r>
      <rPr>
        <i/>
        <vertAlign val="subscript"/>
        <sz val="11"/>
        <color theme="1"/>
        <rFont val="Aptos Narrow"/>
        <family val="2"/>
        <scheme val="minor"/>
      </rPr>
      <t>N</t>
    </r>
    <r>
      <rPr>
        <i/>
        <sz val="11"/>
        <color theme="1"/>
        <rFont val="Aptos Narrow"/>
        <family val="2"/>
        <scheme val="minor"/>
      </rPr>
      <t>+(mpe–U</t>
    </r>
    <r>
      <rPr>
        <i/>
        <vertAlign val="subscript"/>
        <sz val="11"/>
        <color theme="1"/>
        <rFont val="Aptos Narrow"/>
        <family val="2"/>
        <scheme val="minor"/>
      </rPr>
      <t>95</t>
    </r>
    <r>
      <rPr>
        <i/>
        <sz val="11"/>
        <color theme="1"/>
        <rFont val="Aptos Narrow"/>
        <family val="2"/>
        <scheme val="minor"/>
      </rPr>
      <t>)</t>
    </r>
  </si>
  <si>
    <r>
      <t xml:space="preserve">Incertidumbre estándar </t>
    </r>
    <r>
      <rPr>
        <i/>
        <sz val="11"/>
        <color theme="1"/>
        <rFont val="Aptos Narrow"/>
        <family val="2"/>
        <scheme val="minor"/>
      </rPr>
      <t>u(ρ)</t>
    </r>
    <r>
      <rPr>
        <sz val="11"/>
        <color theme="1"/>
        <rFont val="Aptos Narrow"/>
        <family val="2"/>
        <scheme val="minor"/>
      </rPr>
      <t xml:space="preserve"> (kg/m³)</t>
    </r>
  </si>
  <si>
    <r>
      <t xml:space="preserve">Densidad </t>
    </r>
    <r>
      <rPr>
        <sz val="11"/>
        <color theme="1"/>
        <rFont val="Symbol"/>
        <family val="1"/>
        <charset val="2"/>
      </rPr>
      <t>r</t>
    </r>
    <r>
      <rPr>
        <sz val="11"/>
        <color theme="1"/>
        <rFont val="Aptos Narrow"/>
        <family val="2"/>
        <scheme val="minor"/>
      </rPr>
      <t xml:space="preserve"> (kg/m³)</t>
    </r>
  </si>
  <si>
    <t>Material</t>
  </si>
  <si>
    <t>Laboratorio/Certificado</t>
  </si>
  <si>
    <t>Fecha calibración (certificado calibración)</t>
  </si>
  <si>
    <t>mpe</t>
  </si>
  <si>
    <t>Fecha revisión deriva</t>
  </si>
  <si>
    <r>
      <t xml:space="preserve">Incertidnmbre deriva </t>
    </r>
    <r>
      <rPr>
        <i/>
        <sz val="11"/>
        <color theme="1"/>
        <rFont val="Aptos Narrow"/>
        <family val="2"/>
        <scheme val="minor"/>
      </rPr>
      <t>u(δm</t>
    </r>
    <r>
      <rPr>
        <i/>
        <vertAlign val="subscript"/>
        <sz val="11"/>
        <color theme="1"/>
        <rFont val="Aptos Narrow"/>
        <family val="2"/>
        <scheme val="minor"/>
      </rPr>
      <t>D</t>
    </r>
    <r>
      <rPr>
        <i/>
        <sz val="11"/>
        <color theme="1"/>
        <rFont val="Aptos Narrow"/>
        <family val="2"/>
        <scheme val="minor"/>
      </rPr>
      <t>) = D/</t>
    </r>
    <r>
      <rPr>
        <sz val="11"/>
        <color theme="1"/>
        <rFont val="Symbol"/>
        <family val="1"/>
        <charset val="2"/>
      </rPr>
      <t>Ö</t>
    </r>
    <r>
      <rPr>
        <i/>
        <sz val="11"/>
        <color theme="1"/>
        <rFont val="Aptos Narrow"/>
        <family val="2"/>
        <scheme val="minor"/>
      </rPr>
      <t>3</t>
    </r>
  </si>
  <si>
    <r>
      <t>Deriva Dmax</t>
    </r>
    <r>
      <rPr>
        <i/>
        <sz val="11"/>
        <color theme="1"/>
        <rFont val="Aptos Narrow"/>
        <family val="2"/>
        <scheme val="minor"/>
      </rPr>
      <t>=4/3*mpe</t>
    </r>
  </si>
  <si>
    <r>
      <t xml:space="preserve">Incertidumbre certificado calibración </t>
    </r>
    <r>
      <rPr>
        <i/>
        <sz val="11"/>
        <color theme="1"/>
        <rFont val="Aptos Narrow"/>
        <family val="2"/>
        <scheme val="minor"/>
      </rPr>
      <t>U</t>
    </r>
    <r>
      <rPr>
        <i/>
        <vertAlign val="subscript"/>
        <sz val="11"/>
        <color theme="1"/>
        <rFont val="Aptos Narrow"/>
        <family val="2"/>
        <scheme val="minor"/>
      </rPr>
      <t>95</t>
    </r>
    <r>
      <rPr>
        <i/>
        <sz val="11"/>
        <color theme="1"/>
        <rFont val="Aptos Narrow"/>
        <family val="2"/>
        <scheme val="minor"/>
      </rPr>
      <t>=ku(δm</t>
    </r>
    <r>
      <rPr>
        <i/>
        <vertAlign val="subscript"/>
        <sz val="11"/>
        <color theme="1"/>
        <rFont val="Aptos Narrow"/>
        <family val="2"/>
        <scheme val="minor"/>
      </rPr>
      <t>c</t>
    </r>
    <r>
      <rPr>
        <i/>
        <sz val="11"/>
        <color theme="1"/>
        <rFont val="Aptos Narrow"/>
        <family val="2"/>
        <scheme val="minor"/>
      </rPr>
      <t>)</t>
    </r>
  </si>
  <si>
    <r>
      <t xml:space="preserve">Masa convenc. </t>
    </r>
    <r>
      <rPr>
        <i/>
        <sz val="11"/>
        <color theme="1"/>
        <rFont val="Aptos Narrow"/>
        <family val="2"/>
        <scheme val="minor"/>
      </rPr>
      <t>m</t>
    </r>
    <r>
      <rPr>
        <i/>
        <vertAlign val="subscript"/>
        <sz val="11"/>
        <color theme="1"/>
        <rFont val="Aptos Narrow"/>
        <family val="2"/>
        <scheme val="minor"/>
      </rPr>
      <t>N</t>
    </r>
    <r>
      <rPr>
        <i/>
        <sz val="11"/>
        <color theme="1"/>
        <rFont val="Aptos Narrow"/>
        <family val="2"/>
        <scheme val="minor"/>
      </rPr>
      <t>–(mpe–U</t>
    </r>
    <r>
      <rPr>
        <i/>
        <vertAlign val="subscript"/>
        <sz val="11"/>
        <color theme="1"/>
        <rFont val="Aptos Narrow"/>
        <family val="2"/>
        <scheme val="minor"/>
      </rPr>
      <t>95</t>
    </r>
    <r>
      <rPr>
        <i/>
        <sz val="11"/>
        <color theme="1"/>
        <rFont val="Aptos Narrow"/>
        <family val="2"/>
        <scheme val="minor"/>
      </rPr>
      <t>) &lt;m</t>
    </r>
    <r>
      <rPr>
        <i/>
        <vertAlign val="subscript"/>
        <sz val="11"/>
        <color theme="1"/>
        <rFont val="Aptos Narrow"/>
        <family val="2"/>
        <scheme val="minor"/>
      </rPr>
      <t>c</t>
    </r>
    <r>
      <rPr>
        <i/>
        <sz val="11"/>
        <color theme="1"/>
        <rFont val="Aptos Narrow"/>
        <family val="2"/>
        <scheme val="minor"/>
      </rPr>
      <t>&lt; m</t>
    </r>
    <r>
      <rPr>
        <i/>
        <vertAlign val="subscript"/>
        <sz val="11"/>
        <color theme="1"/>
        <rFont val="Aptos Narrow"/>
        <family val="2"/>
        <scheme val="minor"/>
      </rPr>
      <t>N</t>
    </r>
    <r>
      <rPr>
        <i/>
        <sz val="11"/>
        <color theme="1"/>
        <rFont val="Aptos Narrow"/>
        <family val="2"/>
        <scheme val="minor"/>
      </rPr>
      <t>+(mpe–U</t>
    </r>
    <r>
      <rPr>
        <i/>
        <vertAlign val="subscript"/>
        <sz val="11"/>
        <color theme="1"/>
        <rFont val="Aptos Narrow"/>
        <family val="2"/>
        <scheme val="minor"/>
      </rPr>
      <t>95</t>
    </r>
    <r>
      <rPr>
        <i/>
        <sz val="11"/>
        <color theme="1"/>
        <rFont val="Aptos Narrow"/>
        <family val="2"/>
        <scheme val="minor"/>
      </rPr>
      <t>)</t>
    </r>
  </si>
  <si>
    <r>
      <t xml:space="preserve">Error certificado calibración </t>
    </r>
    <r>
      <rPr>
        <i/>
        <sz val="11"/>
        <color theme="1"/>
        <rFont val="Aptos Narrow"/>
        <family val="2"/>
        <scheme val="minor"/>
      </rPr>
      <t>δm</t>
    </r>
    <r>
      <rPr>
        <i/>
        <vertAlign val="subscript"/>
        <sz val="11"/>
        <color theme="1"/>
        <rFont val="Aptos Narrow"/>
        <family val="2"/>
        <scheme val="minor"/>
      </rPr>
      <t>c</t>
    </r>
  </si>
  <si>
    <r>
      <t xml:space="preserve">Masa nominal </t>
    </r>
    <r>
      <rPr>
        <i/>
        <sz val="11"/>
        <color theme="1"/>
        <rFont val="Aptos Narrow"/>
        <family val="2"/>
        <scheme val="minor"/>
      </rPr>
      <t>m</t>
    </r>
    <r>
      <rPr>
        <i/>
        <vertAlign val="subscript"/>
        <sz val="11"/>
        <color theme="1"/>
        <rFont val="Aptos Narrow"/>
        <family val="2"/>
        <scheme val="minor"/>
      </rPr>
      <t>N</t>
    </r>
  </si>
  <si>
    <t>Código Patrón</t>
  </si>
  <si>
    <r>
      <t xml:space="preserve">con el criterio de aceptación y rechazo entre calibraciones que es (Corrección </t>
    </r>
    <r>
      <rPr>
        <sz val="10"/>
        <color theme="1"/>
        <rFont val="Calibri"/>
        <family val="2"/>
      </rPr>
      <t>≤ 2</t>
    </r>
    <r>
      <rPr>
        <sz val="10"/>
        <color theme="1"/>
        <rFont val="Arial"/>
        <family val="2"/>
      </rPr>
      <t>/3*mpe)</t>
    </r>
    <r>
      <rPr>
        <sz val="10"/>
        <color rgb="FFFF0000"/>
        <rFont val="Arial"/>
        <family val="2"/>
      </rPr>
      <t>.</t>
    </r>
  </si>
  <si>
    <t>Tabla de Student</t>
  </si>
  <si>
    <t>SIM, Tabla F2.1</t>
  </si>
  <si>
    <t>Tabla de densidad de las pesas patrón (SIM, E1)</t>
  </si>
  <si>
    <t>Se toma como deriva maxima (4/3*mpe), utilizando un criterio de deriva maxima  que sea coherente</t>
  </si>
  <si>
    <r>
      <t xml:space="preserve">margen superior  </t>
    </r>
    <r>
      <rPr>
        <i/>
        <sz val="11"/>
        <color theme="1"/>
        <rFont val="Aptos Narrow"/>
        <family val="2"/>
        <scheme val="minor"/>
      </rPr>
      <t>m</t>
    </r>
    <r>
      <rPr>
        <i/>
        <vertAlign val="subscript"/>
        <sz val="11"/>
        <color theme="1"/>
        <rFont val="Aptos Narrow"/>
        <family val="2"/>
        <scheme val="minor"/>
      </rPr>
      <t>N</t>
    </r>
    <r>
      <rPr>
        <i/>
        <sz val="11"/>
        <color theme="1"/>
        <rFont val="Aptos Narrow"/>
        <family val="2"/>
        <scheme val="minor"/>
      </rPr>
      <t>+(mpe–U</t>
    </r>
    <r>
      <rPr>
        <i/>
        <vertAlign val="subscript"/>
        <sz val="11"/>
        <color theme="1"/>
        <rFont val="Aptos Narrow"/>
        <family val="2"/>
        <scheme val="minor"/>
      </rPr>
      <t>95</t>
    </r>
    <r>
      <rPr>
        <i/>
        <sz val="11"/>
        <color theme="1"/>
        <rFont val="Aptos Narrow"/>
        <family val="2"/>
        <scheme val="minor"/>
      </rPr>
      <t>)</t>
    </r>
  </si>
  <si>
    <t>Todo en [g]</t>
  </si>
  <si>
    <t>Pesas patrón</t>
  </si>
  <si>
    <t>D&gt;mpe</t>
  </si>
  <si>
    <r>
      <t xml:space="preserve">margen inferior </t>
    </r>
    <r>
      <rPr>
        <i/>
        <sz val="11"/>
        <color theme="1"/>
        <rFont val="Aptos Narrow"/>
        <family val="2"/>
        <scheme val="minor"/>
      </rPr>
      <t>m</t>
    </r>
    <r>
      <rPr>
        <i/>
        <vertAlign val="subscript"/>
        <sz val="11"/>
        <color theme="1"/>
        <rFont val="Aptos Narrow"/>
        <family val="2"/>
        <scheme val="minor"/>
      </rPr>
      <t>N</t>
    </r>
    <r>
      <rPr>
        <i/>
        <sz val="11"/>
        <color theme="1"/>
        <rFont val="Aptos Narrow"/>
        <family val="2"/>
        <scheme val="minor"/>
      </rPr>
      <t>–(mpe–U</t>
    </r>
    <r>
      <rPr>
        <i/>
        <vertAlign val="subscript"/>
        <sz val="11"/>
        <color theme="1"/>
        <rFont val="Aptos Narrow"/>
        <family val="2"/>
        <scheme val="minor"/>
      </rPr>
      <t>95</t>
    </r>
    <r>
      <rPr>
        <i/>
        <sz val="11"/>
        <color theme="1"/>
        <rFont val="Aptos Narrow"/>
        <family val="2"/>
        <scheme val="minor"/>
      </rPr>
      <t>)</t>
    </r>
  </si>
  <si>
    <t>SCM Metrología y Laboratorios SCM-00039471</t>
  </si>
  <si>
    <t>Extech</t>
  </si>
  <si>
    <t>SCM Metrología y Laboratorios SCM-00039467</t>
  </si>
  <si>
    <t xml:space="preserve">Fluke 971 </t>
  </si>
  <si>
    <t>NI-MCPPT-05</t>
  </si>
  <si>
    <t>SCM Metrología y Laboratorios 20190513-102-3</t>
  </si>
  <si>
    <t>NI-MCPPT-04</t>
  </si>
  <si>
    <t>SCM Metrología y Laboratorios SCM-00039468</t>
  </si>
  <si>
    <t xml:space="preserve">Testo 608-H1 </t>
  </si>
  <si>
    <t>NI-MCPPT-02</t>
  </si>
  <si>
    <t>SCM Metrología y Laboratorios 20181106-28-2</t>
  </si>
  <si>
    <t>NI-MCPPT-01</t>
  </si>
  <si>
    <t>Exactitud ±% HR</t>
  </si>
  <si>
    <r>
      <t>Exactitud</t>
    </r>
    <r>
      <rPr>
        <sz val="11"/>
        <color theme="1"/>
        <rFont val="Aptos Narrow"/>
        <family val="2"/>
        <scheme val="minor"/>
      </rPr>
      <t>± &lt;45</t>
    </r>
    <r>
      <rPr>
        <vertAlign val="super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C</t>
    </r>
  </si>
  <si>
    <t>Exactitud ± % HR</t>
  </si>
  <si>
    <r>
      <t>Exactitud ± &lt;45</t>
    </r>
    <r>
      <rPr>
        <vertAlign val="super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C</t>
    </r>
  </si>
  <si>
    <t>Resolución RH %</t>
  </si>
  <si>
    <r>
      <t xml:space="preserve">Resolución t </t>
    </r>
    <r>
      <rPr>
        <vertAlign val="super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C</t>
    </r>
  </si>
  <si>
    <r>
      <t xml:space="preserve">t max </t>
    </r>
    <r>
      <rPr>
        <vertAlign val="super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C</t>
    </r>
  </si>
  <si>
    <t>Fecha Calibración</t>
  </si>
  <si>
    <t>Certificado</t>
  </si>
  <si>
    <t>Fabricante</t>
  </si>
  <si>
    <t>Expresada como función</t>
  </si>
  <si>
    <t>Valor Nominal</t>
  </si>
  <si>
    <t>y = 5.5028E-05x + 9.9890E-03</t>
  </si>
  <si>
    <t>0,010 a 0,032</t>
  </si>
  <si>
    <t>CMC min</t>
  </si>
  <si>
    <t>CMC (kg)</t>
  </si>
  <si>
    <t>max (kg)</t>
  </si>
  <si>
    <t>min (kg)</t>
  </si>
  <si>
    <t>CMC's Balanzas</t>
  </si>
  <si>
    <t>y = 5.3142E-06x + 9.9947E-02</t>
  </si>
  <si>
    <t>0,10 a 0,27</t>
  </si>
  <si>
    <t>32 000</t>
  </si>
  <si>
    <t>CMC (g)</t>
  </si>
  <si>
    <t>max (g)</t>
  </si>
  <si>
    <t>min (g)</t>
  </si>
  <si>
    <t>y = 7.4148E-06x + 1.9259E-04</t>
  </si>
  <si>
    <t>0,0002 a 0,0039</t>
  </si>
  <si>
    <r>
      <t>a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</si>
  <si>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a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</si>
  <si>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a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</si>
  <si>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a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</si>
  <si>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a</t>
    </r>
    <r>
      <rPr>
        <vertAlign val="subscript"/>
        <sz val="11"/>
        <color theme="1"/>
        <rFont val="Aptos Narrow"/>
        <family val="2"/>
        <scheme val="minor"/>
      </rPr>
      <t>0</t>
    </r>
  </si>
  <si>
    <t>max.</t>
  </si>
  <si>
    <t>min.</t>
  </si>
  <si>
    <t>Incertidumbre</t>
  </si>
  <si>
    <t>Rango</t>
  </si>
  <si>
    <t>km 3,5 carretera a la monataña, complejo rancho rojo, Camoapa, Boaco</t>
  </si>
  <si>
    <t>Cooperativa Masiguito RL</t>
  </si>
  <si>
    <t>Managua, Nicaragua</t>
  </si>
  <si>
    <t>Zecalconsa</t>
  </si>
  <si>
    <t>Zona Franca Las Mercedes, Km 12 ½ Carretera Norte, Módulo # 30-31</t>
  </si>
  <si>
    <t>YS Textiles, S.A.</t>
  </si>
  <si>
    <t xml:space="preserve">Yudis Francisco Trujillo </t>
  </si>
  <si>
    <t>km 90,5 Carretera Managua - León</t>
  </si>
  <si>
    <t>Yazaki de Nicaragua S.A.</t>
  </si>
  <si>
    <t>km 8 Carretera Norte, 500 m Sur,Parque Industrial El Transito, Bodega 16B</t>
  </si>
  <si>
    <t>WeAreInk S.A.</t>
  </si>
  <si>
    <t>Km 114.5 Carretera Sur 2 km al Oeste camino Viejo a San Juan</t>
  </si>
  <si>
    <t>Vestas Nicaragua, S.A</t>
  </si>
  <si>
    <t>De la plaza Agusto Cesar Sandino 400 mts al sur El Sauce, León. </t>
  </si>
  <si>
    <t>Unión de Cooperativas Agropecuarias de El Sauce, R.L.</t>
  </si>
  <si>
    <t>Empalme de Boaco, km 74.5 carretera Managua el Rama</t>
  </si>
  <si>
    <t>Unión de Cooperativa de Servicios Agropecuarios Tierra Nueva RL</t>
  </si>
  <si>
    <t>km 12,5 Carretera Norte</t>
  </si>
  <si>
    <t>Universidad Nacional Agraria</t>
  </si>
  <si>
    <t>Estelí, De Comercial Erwin 200 m Sur, 50 m Oeste</t>
  </si>
  <si>
    <t>Universal Leaf Nicaragua S.A.</t>
  </si>
  <si>
    <t>Tipitapa, complejo Astro Nicaragua módulo 8</t>
  </si>
  <si>
    <t>Universal Design Nicaragua S.A.</t>
  </si>
  <si>
    <t>De Enel Central 2,5 km al Sur. Villa Fontana</t>
  </si>
  <si>
    <t>UNAN-Managua</t>
  </si>
  <si>
    <t>km 119,7 Carretera a Sébaco-Matagalpa</t>
  </si>
  <si>
    <t>UCCEI R.L</t>
  </si>
  <si>
    <t>Nagarote</t>
  </si>
  <si>
    <t>Tubal S.A.</t>
  </si>
  <si>
    <t xml:space="preserve">km 8 Carretera Norte   </t>
  </si>
  <si>
    <t>Transportes Tical S.A.</t>
  </si>
  <si>
    <t xml:space="preserve">km 19 Carretera vieja a Tipitapa  </t>
  </si>
  <si>
    <t>Tipitapa Power Company</t>
  </si>
  <si>
    <t>km 5,5  Carretera Norte, Puente desnivel 400 m al Lago Frente a pinturas Sur</t>
  </si>
  <si>
    <t>Texnica Internacional S.A.</t>
  </si>
  <si>
    <t>km 104,5 Carretera Sebaco a Estelí</t>
  </si>
  <si>
    <t>Terraexport S.A. (Planta Matagalpa)</t>
  </si>
  <si>
    <t>Km 7.5 Carretera Norte, Shell Waspan, 1 C al Sur, 2 C al Este</t>
  </si>
  <si>
    <t>Ternium Internacional Nicaragua, S.A</t>
  </si>
  <si>
    <t>km 47,5 Carretera Tipitapa-Masaya</t>
  </si>
  <si>
    <t>Tecshoes Latinoamérica</t>
  </si>
  <si>
    <t>Mansión Teodolinda 300 metros sur -Bolonia</t>
  </si>
  <si>
    <t>Tecno Diagnostica Nicaragua S.A.</t>
  </si>
  <si>
    <t>Managua</t>
  </si>
  <si>
    <t>Tecniprocesos de Nicaragua S.A.</t>
  </si>
  <si>
    <t>Centro Sor María Romero 200 m Oeste, Estelí</t>
  </si>
  <si>
    <t>Tabacos Valle de Jalapa S.A.</t>
  </si>
  <si>
    <t>Salida Norte a Condega, Contiguo a Petronic</t>
  </si>
  <si>
    <t>Tabacos del Sol</t>
  </si>
  <si>
    <t>Estelí, km 147 Carretera Panamericana Norte, Frente Operaciones Policía Nacional</t>
  </si>
  <si>
    <t>Tabacos Cubanica S.A.</t>
  </si>
  <si>
    <t>De La Rotonda El Cepad 100 m Este, Estelí</t>
  </si>
  <si>
    <t>Tabacos Asociados de Nicaragua S.A.</t>
  </si>
  <si>
    <t>Surtidora El Oriental 50 m Este, Estelí</t>
  </si>
  <si>
    <t>Tabacalera Tavicusa S,A.</t>
  </si>
  <si>
    <t>Estelí</t>
  </si>
  <si>
    <t>Tabacalera Perdomo S.A</t>
  </si>
  <si>
    <t>De La Rotonda El Cepad 200 m Norte, 50 m Este, Barrio Dios Proveera de Estelí</t>
  </si>
  <si>
    <t>Tabacalera Oliva de Estelí S.A.</t>
  </si>
  <si>
    <t>Comercial Erwin 100 m Sur 50 m Oeste, Estelí</t>
  </si>
  <si>
    <t>Tabacalera Cubana Nicaragüense S.A.</t>
  </si>
  <si>
    <t>De estación de servicio UNO salida Norte, 800 m Norte, Carretera Miraflor-Estelí</t>
  </si>
  <si>
    <t>Tabacalera A.J Fernandez Cigars de Nicaragua S.A.</t>
  </si>
  <si>
    <t>Del Empalme Piedras Blanca, 5km al oeste carretera a Puerto Sandino, junto a subestación Enatrel, Nagarote-Nicaragua</t>
  </si>
  <si>
    <t>SCMI Construction INC</t>
  </si>
  <si>
    <t>Lomas del Valle N°13 B</t>
  </si>
  <si>
    <t>SPRL S.A.</t>
  </si>
  <si>
    <t>Edificio Torres Zamora oficina 7</t>
  </si>
  <si>
    <t xml:space="preserve">Sovereign Logistics </t>
  </si>
  <si>
    <t>Residencial Rubenia, Hotel Estrella 2c. al este, 2c. al sur, casa H-28</t>
  </si>
  <si>
    <t>Soluciones Ingenieriles, Diseño y Ventas S.A. (SIDVSA)</t>
  </si>
  <si>
    <t xml:space="preserve">3 Cruces, 400 m oeste, San Marcos   </t>
  </si>
  <si>
    <t>Sol Orgánica S.A.</t>
  </si>
  <si>
    <t>km 12,5 Carretera Nueva León, Entrada a Xiloa 300 m Hacia La Laguna</t>
  </si>
  <si>
    <t>Simplemente Madera Millworks S.A.</t>
  </si>
  <si>
    <t>Villa 9 de Junio, del Monumento 300 m Este, Mano Derecha</t>
  </si>
  <si>
    <t>SIHSO, S.A.</t>
  </si>
  <si>
    <t>Km 11.5 Carretera a Masaya, Contiguo a Pricemart</t>
  </si>
  <si>
    <t>Scientific Instruments</t>
  </si>
  <si>
    <t>Casa Pellas Acahualinca 2 c arriba 1c Sur</t>
  </si>
  <si>
    <t>Servilab Nicaragua</t>
  </si>
  <si>
    <t xml:space="preserve">Villa Reconciliación de la Bloquera Howard 2c Al Sur. </t>
  </si>
  <si>
    <t>Servicios técnicos de basculas</t>
  </si>
  <si>
    <t>km. 4,4 Carretera Norte, frente donde fue el grupo Q, sobre la calle marginal</t>
  </si>
  <si>
    <t>Servibasculas Nicaragua S.A.</t>
  </si>
  <si>
    <t>Ofiplaza El Retiro, Edificio 8, Suite 812, Rotonda del Periodista 150 m Sur</t>
  </si>
  <si>
    <t>Seijiro Yazawa Iwai Nicaragua S.A.</t>
  </si>
  <si>
    <t>km 129 Carretera a Ocotal 300m al Oeste Valle de Verapaz, Totogalpa, Madriz</t>
  </si>
  <si>
    <t>Corinto, Chinandega, Nicaragua</t>
  </si>
  <si>
    <t>SAMSA Nicaragua S. A.</t>
  </si>
  <si>
    <t>Pista La Sabana Frente a Supermercados La Colonia a un costado del bar La Barra</t>
  </si>
  <si>
    <t>Salud Digna para Todos S.A.</t>
  </si>
  <si>
    <t>km 10 Carretera Sur, 1c oeste, 1c norte, 3c oeste</t>
  </si>
  <si>
    <t>Salsas Especiales S.A. (SAESA)</t>
  </si>
  <si>
    <t>De Alke Carretera a Masaya 100 m abajo, 100 Sur, 50 m abajo, contiguo a La Embajada de Chile, Los Robles</t>
  </si>
  <si>
    <t>Salinera de Nicaragua S.A.</t>
  </si>
  <si>
    <t>km 116 Carretera Managua-Matagalpa, Comarca quebrada onda</t>
  </si>
  <si>
    <t>Sajonia Estate Coffee</t>
  </si>
  <si>
    <t>Valle de Esquipulas, de las cuatro esquinas de las Enrramadas 150 m Oeste</t>
  </si>
  <si>
    <t>Sahlman Seafoods of Nicaragua S.A.</t>
  </si>
  <si>
    <t>km 48,5 Carretera Tipitapa Masaya frente a Astro Cartón</t>
  </si>
  <si>
    <t>Sae A Technotex S.A.</t>
  </si>
  <si>
    <t>km 14 Carretera Nueva a León</t>
  </si>
  <si>
    <t>Sacos de Nicaragua S.A.</t>
  </si>
  <si>
    <t>Km 13 Carretera a Masaya</t>
  </si>
  <si>
    <t>Sabina de Ingenieria S.A</t>
  </si>
  <si>
    <t>Km 8 Carretera Norte, de donde fue la Kativo, 500 mts al Sur, Parque Industrial el Tránsito. Nave No. 9</t>
  </si>
  <si>
    <t>R-PAC Nicaragua S.A.</t>
  </si>
  <si>
    <t>km 189,5 Carretera El Viejo-Potosí 12 km Este</t>
  </si>
  <si>
    <t>Royal Shrimp S.A.</t>
  </si>
  <si>
    <t>De la Subasta 1200 metros al lago</t>
  </si>
  <si>
    <t>Roo Hsing Co. Nicaragua S.A.</t>
  </si>
  <si>
    <t>Beneficio de café picasa, Km.117 carretera- Sebaco matagalpa frente al beneficio la providencia</t>
  </si>
  <si>
    <t>ROGER CASTELLON ORUE</t>
  </si>
  <si>
    <t>km 16 Carretera Masaya-Ticuantepe</t>
  </si>
  <si>
    <t>Rodríguez y asociados</t>
  </si>
  <si>
    <t>Puerto Cabezas, Nicaragua</t>
  </si>
  <si>
    <t>Rocedes S.A.</t>
  </si>
  <si>
    <t>Parque Industrial Las Mercedes, km 12,5 Carretera Norte</t>
  </si>
  <si>
    <t>Rey de los Camarones, S.A</t>
  </si>
  <si>
    <t>km 12,5 Carretera Norte, Parque Industrial Las Mercedes, modulo # 15</t>
  </si>
  <si>
    <t>Rexcielo S.A.</t>
  </si>
  <si>
    <t>Km. 11.5 Carretera a Masaya, Complejo OFINOVA, Ofibodegas 7 y 8, Costado Sur de Pricesmart</t>
  </si>
  <si>
    <t>RETECSA</t>
  </si>
  <si>
    <t>Del arbolito 200 m al oeste, Managua.</t>
  </si>
  <si>
    <t>Reencauchadora Santa Ana</t>
  </si>
  <si>
    <t>Distrito VI, Barrio Villa Reconciliación, de los semáforos del Mayoreo 4 cuadras al Oeste (sobre la pista), mano derecha, en la propia esquina, portón verde grande.</t>
  </si>
  <si>
    <t>Recycling</t>
  </si>
  <si>
    <t>De donde fue La Kativo, 500 m Sur</t>
  </si>
  <si>
    <t>Rainbow Apparel Trading S.A.</t>
  </si>
  <si>
    <t>Pista Suburbana, 293 Camino a San Isidro 3.4 al Sur, Managua.</t>
  </si>
  <si>
    <t>Químicas Veterinarias, S.A</t>
  </si>
  <si>
    <t>Estelí costado Norte de la Universidad Farem</t>
  </si>
  <si>
    <t>Puros de Estelí Nicaragua S.A.</t>
  </si>
  <si>
    <t>Base cuesta del plomo, Refinería, Managua</t>
  </si>
  <si>
    <t>Puma Energy Bahamas S.A.</t>
  </si>
  <si>
    <t>km 26,5 Carretera Panamericana Norte</t>
  </si>
  <si>
    <t>Protena S.A.</t>
  </si>
  <si>
    <t>Km 15 1/2 carretera vieja a Tipitapa, frente a la entrada de Cofradia</t>
  </si>
  <si>
    <t>Promotora Agropecuaria San Pedro, S.A</t>
  </si>
  <si>
    <t>Km 18 1/2 Carretera Nueva a León. Enabas los Brasiles</t>
  </si>
  <si>
    <t>Programa Mundial de Alimentos</t>
  </si>
  <si>
    <t>De La Aldea Santa Elena Choluteca, Honduras, km 2 Carretera hacia Balneario Cedeño</t>
  </si>
  <si>
    <t>Productos Frescos del Mar San Carlos</t>
  </si>
  <si>
    <t>De los semaforos del Hospital La Mascota 250 vrs arriba</t>
  </si>
  <si>
    <t>Productos El Sol S.A.</t>
  </si>
  <si>
    <t>km 7,5 Carretera Norte</t>
  </si>
  <si>
    <t>Productos del Aire Nicaragua S.A.</t>
  </si>
  <si>
    <t>Productores de Mariscos de Nicaragua S.A.</t>
  </si>
  <si>
    <t>De gasolinera UNO Norte 400 m al Noreste, Esteli</t>
  </si>
  <si>
    <t>Procesadora de Nicaragua, S.A</t>
  </si>
  <si>
    <t>Del puesto de buses (terminal) Masatepe 800 m Sur</t>
  </si>
  <si>
    <t>Procesadora de Huevo S.A</t>
  </si>
  <si>
    <t>Km. 11 Carretera Nueva a Leon 700 mtros abajo 150 mtrs al sur</t>
  </si>
  <si>
    <t>Prevasa</t>
  </si>
  <si>
    <t>km 17,5 Carretera Nueva a León</t>
  </si>
  <si>
    <t xml:space="preserve">Precon Nicaragua S.A. </t>
  </si>
  <si>
    <t xml:space="preserve">km 114 Carretera León-Malpaisillo     </t>
  </si>
  <si>
    <t>Polaris Energy Nicaragua S.A.</t>
  </si>
  <si>
    <t>Estación de bombeo ENACA, León</t>
  </si>
  <si>
    <t>Plomeria Sirias</t>
  </si>
  <si>
    <t>km 13,5 Carretera Sur, de la Iglesia Monte Tabor 500 m Sur, Entrada a la muela</t>
  </si>
  <si>
    <t>PLEICSA</t>
  </si>
  <si>
    <t>Las Colinas 2da entrada del Kinder Montesori 100 m Este, 100 m Norte, 500 m Este</t>
  </si>
  <si>
    <t>Plantel Los Angeles</t>
  </si>
  <si>
    <t>Miramar Punta La Flor</t>
  </si>
  <si>
    <t>Peninsula Maritime Corp. S.A.</t>
  </si>
  <si>
    <t>km 23,5 Carretera Sur, El Crucero.</t>
  </si>
  <si>
    <t xml:space="preserve">Panzyma Laboratories S.A. </t>
  </si>
  <si>
    <t>km 148,5 Carretera El Viejo-Potosí Chinandega</t>
  </si>
  <si>
    <t>Pantaleón Ingenio Monte Rosa</t>
  </si>
  <si>
    <t>Rio San Juan, Nicaragua</t>
  </si>
  <si>
    <t>PALCASA</t>
  </si>
  <si>
    <t>Corn Island, Nicaragua, Bolonia, Esquina Norte de Canal 2, 50 m Este, Managua</t>
  </si>
  <si>
    <t>Pacific Seafoods de Nicaragua S.A.</t>
  </si>
  <si>
    <t>km 123 Carretera Panamericana contiguo al campo de futbol, La Trinidad Estelí</t>
  </si>
  <si>
    <t>ORTYCAST</t>
  </si>
  <si>
    <t>Cuerpo de Bomberos 175 m oeste, Managua</t>
  </si>
  <si>
    <t>Orgoma-Nicaragua</t>
  </si>
  <si>
    <t>Semaforos Delicias del Volga, 200 m Norte, 200 m Oeste</t>
  </si>
  <si>
    <t>Optima Industrial S.A.</t>
  </si>
  <si>
    <t>km 48,2 Carretera a Nandaime, Granada Nicaragua</t>
  </si>
  <si>
    <t>Opportunity International Nicaragua, INC</t>
  </si>
  <si>
    <t>Residencial Las Colinas 2da entrada, Avenida Paseo del club, frente a La Estación de Bomberos</t>
  </si>
  <si>
    <t>OIRSA-LNDVMA</t>
  </si>
  <si>
    <t>Reparto San Juan casa #190, Gimnasio Hércules 200 m Sur, 200 m arriba, 50 m Sur</t>
  </si>
  <si>
    <t>Oil Test Internacional de Nicaragua S.A</t>
  </si>
  <si>
    <t>km 10,5 Carretera Norte, 800 m al norte</t>
  </si>
  <si>
    <t xml:space="preserve">Nuevo Carnic S.A. </t>
  </si>
  <si>
    <t>km 42 Carretera Panamericana Norte</t>
  </si>
  <si>
    <t>Novaterra S.A.</t>
  </si>
  <si>
    <t>km 20,3 Carretera Nueva a León, Mateare</t>
  </si>
  <si>
    <t>Nilac S.A</t>
  </si>
  <si>
    <t>Jícaro-Nueva Segovia. De la Alcaldía Municipal 1C al Norte, 1C al Este Esquina Opuesta Ministerio de la Familia.</t>
  </si>
  <si>
    <t>Nicoz Resources S.A</t>
  </si>
  <si>
    <t>Del portón de Chichigalpa 5 km. al Sur.</t>
  </si>
  <si>
    <t>Nicaragua Sugar States Limited</t>
  </si>
  <si>
    <t>km 123, Carretera Panamericana Sur, del empalme de La Virgen, 400 mts al sur Rivas, Nicaragua</t>
  </si>
  <si>
    <t>Nicaragua Operación y Mantenimiento S.A.</t>
  </si>
  <si>
    <t>Chinandega, Nicaragua</t>
  </si>
  <si>
    <t>Nicaragua Banana Corp, S.A</t>
  </si>
  <si>
    <t>De donde fue la Rolter 2C al Norte 2C al Oeste, 1C al Norte.</t>
  </si>
  <si>
    <t>Nicaragua American Cigars S.A.</t>
  </si>
  <si>
    <t>Rotonda el CEPAD 100 m este, 25 m sur</t>
  </si>
  <si>
    <t>Nicamex Seafood S.A</t>
  </si>
  <si>
    <t>Gasolinera Uno Plaza El Sol 100 m sur, 150 m oeste. Casa # 113 contiguo a SEVASA Los Robles</t>
  </si>
  <si>
    <t>Nicamex S.A.</t>
  </si>
  <si>
    <t>km 182 Carretera Panamericana  Norte, Condega, Estelí</t>
  </si>
  <si>
    <t>Nica Beef Packers S.A.</t>
  </si>
  <si>
    <t>km 12,5 Carretera Norte, Parque Industrial Las Mercedes, modulo # 3738</t>
  </si>
  <si>
    <t>Next Nivel S.A.</t>
  </si>
  <si>
    <t>Contiguo a entrada a Masaya</t>
  </si>
  <si>
    <t>Narcy´s / Papa John´s</t>
  </si>
  <si>
    <t>km 116 Carretera Sebaco-Matagalpa</t>
  </si>
  <si>
    <t>Multiagro &amp; Cia Ltda Beneficio de Café El taburete</t>
  </si>
  <si>
    <t>km 122 Carretera Sebaco-Matagalpa</t>
  </si>
  <si>
    <t>Multiagro &amp; Cia Ltda Beneficio de Café El Galpón</t>
  </si>
  <si>
    <t>Ingenio Monte Rosa, de la terminal de buses 2 C. Este, el viejo Chinandega</t>
  </si>
  <si>
    <t>Muliservicios Hernández</t>
  </si>
  <si>
    <t>Bo. Altagracia, Frente al costado Norte Restaurante El Eskimo, edificio de una planta color blanco, portones negros, Managua</t>
  </si>
  <si>
    <t>Mudanzas Mundiales S.A.</t>
  </si>
  <si>
    <t>Centro Richardson, Contiguo al Banco Central, Carretera Sur</t>
  </si>
  <si>
    <t>Morris Sallick Industrial Supplies S.A.</t>
  </si>
  <si>
    <t>Final Calle Inmaculada, Granada</t>
  </si>
  <si>
    <t>Molinos de Nicaragua S.A. (MONISA)</t>
  </si>
  <si>
    <t xml:space="preserve">km 15,2 Carretera a Masaya </t>
  </si>
  <si>
    <t>Molinos de Nicaragua S.A.</t>
  </si>
  <si>
    <t>Frente Al Estadio de Béisbol Denis Martinez</t>
  </si>
  <si>
    <t>Ministerio de Transporte e Infraestructura</t>
  </si>
  <si>
    <t>Miguel Marcenaro</t>
  </si>
  <si>
    <t>km  36,5 Carretera Masaya – Tipitapa Comunidad de Guanacastillo</t>
  </si>
  <si>
    <t>Metalinspec S.A. de CV - Monterrey Mexico</t>
  </si>
  <si>
    <t>Zona Franca Las Mercedes, km 12,5 Carretera Norte</t>
  </si>
  <si>
    <t xml:space="preserve">Medisut S.A.  </t>
  </si>
  <si>
    <t>Mayacero de Nicaragua</t>
  </si>
  <si>
    <t>km 115 Carretera Sébaco - Matagalpa</t>
  </si>
  <si>
    <t>Matagalpa Coffee Group S.A.</t>
  </si>
  <si>
    <t>km 130 Carretera Managua a Juigalpa</t>
  </si>
  <si>
    <t>Matadero Central, S.A.</t>
  </si>
  <si>
    <t>km 16,5 Carretera Nueva a León 800 m Norte Ciudad Sandino, Nicaragua</t>
  </si>
  <si>
    <t>Matadero Cacique</t>
  </si>
  <si>
    <t>Armando Guido 2C al Sur, 90 varas al este.</t>
  </si>
  <si>
    <t>Marvin José Sánchez Espinoza</t>
  </si>
  <si>
    <t xml:space="preserve">km 16.8 Carretera Ticuantepe, Pozo Enacal  </t>
  </si>
  <si>
    <t>Margumar</t>
  </si>
  <si>
    <t>Comunidad de El Jicaral, León</t>
  </si>
  <si>
    <t>Mangosa</t>
  </si>
  <si>
    <t>Reemplazo de Hospital Regional Nuevo Amanecer de la Región Autónoma de la Costa Caribe Norte, Puerto Cabezas</t>
  </si>
  <si>
    <t>MAKIBER S.A.</t>
  </si>
  <si>
    <t>Del Granjero de Masatepe 3 km al norte</t>
  </si>
  <si>
    <t>LUNIC S.A</t>
  </si>
  <si>
    <t>De Los Semáforos del Hotel Fronteras 800 m Oeste, Ocotal-Nueva Segovia</t>
  </si>
  <si>
    <t>Luis Emilio Valladarez</t>
  </si>
  <si>
    <t>Lomas de Tiscapa, antiguo Hospital Militar</t>
  </si>
  <si>
    <t>Luis Alberto Chavez</t>
  </si>
  <si>
    <t>Beneficio Las Segovias, Semáforos Hotel Frontera 800 m Oeste, 125 vrs Sur, 25 vrs Oeste, Ocotal, Nueva Segovia</t>
  </si>
  <si>
    <t>Luis Alberto Balladarez</t>
  </si>
  <si>
    <t>Barrio Acahualinca, Bodega No.8</t>
  </si>
  <si>
    <t>Logistica Ecológica, S.A</t>
  </si>
  <si>
    <t>Edificio Delta km 5,5 Carretera a Masaya</t>
  </si>
  <si>
    <t>LOGICOM Logistica Comercial S.A.</t>
  </si>
  <si>
    <t>Carretera Panamericana, km 153 Estelí, Nicaragua</t>
  </si>
  <si>
    <t>Las Limas, S,A</t>
  </si>
  <si>
    <t>km 151 Carretera Chinandega al Guasuale, 2 km oeste</t>
  </si>
  <si>
    <t>Langostinos de Centroamérica, S.A.</t>
  </si>
  <si>
    <t>Km 36,5 Carretera Masaya-Tipitapa, Nicaragua</t>
  </si>
  <si>
    <t>Lanco Nicaragua S.A.</t>
  </si>
  <si>
    <t>km 3.5 Carretera Panamericana Norte, Managua, Nicaragua</t>
  </si>
  <si>
    <t>LANAMET-MIFIC</t>
  </si>
  <si>
    <t>Carretera Panamericana Norte km 35 1/2 Banda Este, San Benito Tipitapa</t>
  </si>
  <si>
    <t>Lala Nicaragua, S.A (Planta San Benito)</t>
  </si>
  <si>
    <t>18 y 19 Avenida Sur Oeste, Altagracia, Managua</t>
  </si>
  <si>
    <t>Lala Nicaragua, S.A (Planta Altagracia)</t>
  </si>
  <si>
    <t>km 222 Carretera Panamericana hacia la frontera del Espino, 100 mts al Oeste, Somoto, Madriz</t>
  </si>
  <si>
    <t>Lácteos Froilan</t>
  </si>
  <si>
    <t>Santo Tomas-Chontales, de la Pepsi 3 c. al sur</t>
  </si>
  <si>
    <t>Lácteos las Mesas</t>
  </si>
  <si>
    <t>35 m Oeste, de la Iglesia Católica, Casa #035, Río Segundo, Alajuela, Costa Rica</t>
  </si>
  <si>
    <t>Labs de Costa Rica S.A.</t>
  </si>
  <si>
    <t>km 138 Carretera a Corinto, Chinandega</t>
  </si>
  <si>
    <t>Laboratorios Servicios Agroindustriales S. A. (SERAGRO)</t>
  </si>
  <si>
    <t>km 4 Carretera Norte, Managua.</t>
  </si>
  <si>
    <t>Laboratorios Ramos S.A.</t>
  </si>
  <si>
    <t>km 83 Carretera León</t>
  </si>
  <si>
    <t>Laboratorios Químicos S.A.</t>
  </si>
  <si>
    <t>Carretera Masaya km 45,5 Granada</t>
  </si>
  <si>
    <t>Laboratorios Ceguel</t>
  </si>
  <si>
    <t>km 5,5 Carretera a Masaya</t>
  </si>
  <si>
    <t>Laboratorios Bengoechea S.A.</t>
  </si>
  <si>
    <t>Bo. Casimiro Sotelo Enel Central 300 vrs Sur, Managua</t>
  </si>
  <si>
    <t>Laboratorio Nacional de Residuos Químicos y Biológicos</t>
  </si>
  <si>
    <t>km 12,7 Carretera Sur, Comarca San José de Las Cañadas, Managua</t>
  </si>
  <si>
    <t>Laboratorio Nacional de Diagnostico Veterinario y Microbiología de los Alimentos</t>
  </si>
  <si>
    <t>Laboratorio Nacional de Diagnostico Fitosanitario de Calidad y Semilla</t>
  </si>
  <si>
    <t>Reciento Universitario "Ruben Darío", de La Biblioteca Central Salomón de la Selva 100 m Oeste</t>
  </si>
  <si>
    <t>Laboratorio de Física de Radiaciones y Metrología UNAN-Managua</t>
  </si>
  <si>
    <t>km 95,5 Carretera León-Chinandega Nicaragua</t>
  </si>
  <si>
    <t>Laboratorio de Análisis S.A.</t>
  </si>
  <si>
    <t>Esquina de Los Bancos 50 m Sur, Chinandega</t>
  </si>
  <si>
    <t>Laboratorio Clinico San Angel</t>
  </si>
  <si>
    <t>AV. 20 SE Ciudad Jardin, K-15, Managua</t>
  </si>
  <si>
    <t>Laboratorio Ambiental Pronic</t>
  </si>
  <si>
    <t>Rotonda Rubén Darío 100 m al Sur 50 m al Oeste</t>
  </si>
  <si>
    <t>Labnicsa</t>
  </si>
  <si>
    <t>Km 217 Crretera al Rama La Gateada Chontales</t>
  </si>
  <si>
    <t>La Montaña, S.A</t>
  </si>
  <si>
    <t>Mina La India, km 174 Carretera León-San Isidro</t>
  </si>
  <si>
    <t>La India Gold S.A.</t>
  </si>
  <si>
    <t>Carretera Norte ,km 7,5 Parque Industrial El Transito, Managua</t>
  </si>
  <si>
    <t>Kufferath Nicaragua S.A.</t>
  </si>
  <si>
    <t>Edificio el Centro 1. Segundo piso, Contiguo a Casa Pellas Plaza España.</t>
  </si>
  <si>
    <t>Korea Nicaragua, S.A</t>
  </si>
  <si>
    <t xml:space="preserve">km 2 Carretera a Sabana Grande    </t>
  </si>
  <si>
    <t>Kola Shaler Industrial S.A.</t>
  </si>
  <si>
    <t>Km 14 1/2 Carretera Nueva a León, Zona Franca Saratoga</t>
  </si>
  <si>
    <t>Kentex, S.A</t>
  </si>
  <si>
    <t>Iglesia Don Bosco 500 m al oeste, Villa Don Bosco, casa No. D-56</t>
  </si>
  <si>
    <t>José Wilfredo Solís Díaz</t>
  </si>
  <si>
    <t>De dónde fue la clínica Santa María 20 vrs arriba.</t>
  </si>
  <si>
    <t>José Francisco Blanco Cordero</t>
  </si>
  <si>
    <t>Portón del Cementerio 50 m Sur, Telica León</t>
  </si>
  <si>
    <t>José Alfredo Vargas</t>
  </si>
  <si>
    <t>Ciudad el Doral, km 19,5 carretera nueva a León</t>
  </si>
  <si>
    <t>Jaime Herrera</t>
  </si>
  <si>
    <t>Puente El Edén 100 m norte, 100 m este, 75 m norte</t>
  </si>
  <si>
    <t>Iprocen S.A.</t>
  </si>
  <si>
    <t>De la rotonda de Villa Fontana Norte 200 m Sur 200 m Oeste Condominio Los Soveche, Apartamento 1 Managua</t>
  </si>
  <si>
    <t>Investigación y Control de Calidad S.A. - Nicaragua</t>
  </si>
  <si>
    <t>Boulevar de Las Brisas, entrada Inst. Ramirez Goyena 1 C al Oeste, 1 C al Sur, Managua, Nicaragua.</t>
  </si>
  <si>
    <t>Inversiones y productos de Centroamerica S.A.</t>
  </si>
  <si>
    <t>Semaforos del Club Terraza, 75 vrs Sur, Edificio Discover II-3er piso</t>
  </si>
  <si>
    <t>Inversiones Vargas S.A.</t>
  </si>
  <si>
    <t>Empalme cuesta el plomo 300 m al este 400 m al norte</t>
  </si>
  <si>
    <t>Inversiones Secoya S.A.</t>
  </si>
  <si>
    <t>Km 15 1/2 Carretera Nueva a Tipitapa, Managua.</t>
  </si>
  <si>
    <t>Inversiones Nicafish</t>
  </si>
  <si>
    <t>km 26,5 Carretera Tipitapa - Masaya</t>
  </si>
  <si>
    <t xml:space="preserve">Inversiones en Concreto S.A. </t>
  </si>
  <si>
    <t>De la UdeM 200 m Este 50 m Sur</t>
  </si>
  <si>
    <t>Intesal S.A.</t>
  </si>
  <si>
    <t>Calle Nueva, de donde fue el Resturante Bohemio 50 m Oeste, Corinto, Nicaragua</t>
  </si>
  <si>
    <t>Intertek Caleb Brett Panama, Inc.</t>
  </si>
  <si>
    <t>km 12,5 Carretera Norte, Zona Franca Industrial Las Mercedes, módulos 32-33 y 45</t>
  </si>
  <si>
    <t>Internacional de Textiles S.A.</t>
  </si>
  <si>
    <t>Paso a Desnivel Portezuelo 300 m Norte</t>
  </si>
  <si>
    <t>Insumos Disagro S.A.</t>
  </si>
  <si>
    <t>Rotonda Centroamérica 350 metros al oeste. Managua, Nicaragua</t>
  </si>
  <si>
    <t>INSUMA-Institutos De Suelos Y Materiales</t>
  </si>
  <si>
    <t>Frente al portón Lugo Renta Car, Bolonia</t>
  </si>
  <si>
    <t>Instituto Nicaraguense de Energía, INE</t>
  </si>
  <si>
    <t>Canal 2; 200 m al oeste; 150 m al sur; Residencial Bolonia; 48 15 Av. Suroeste.</t>
  </si>
  <si>
    <t>Instituto Nicaragüense del Cemento y del Concreto (INCYC)</t>
  </si>
  <si>
    <t>km 6 Carretera Norte, Managua.</t>
  </si>
  <si>
    <t>Instituto Mechnikov S.A.</t>
  </si>
  <si>
    <t>Del restaurante Summer 1,5 C. Norte, Casa M/I No. 128. Los Robles III Etapa</t>
  </si>
  <si>
    <t>Instituto de Ciencias Sostenible</t>
  </si>
  <si>
    <t>Carretera Norte de Laboratorios Ramos, 100 m Norte, 100 m Oeste</t>
  </si>
  <si>
    <t>Inspectorate America corp</t>
  </si>
  <si>
    <t>Km 19 1/2 Carretera Vieja a Tipitapa</t>
  </si>
  <si>
    <t>Innova Industrias, S.A</t>
  </si>
  <si>
    <t>Los semáforos de claro Villa Fontana, 100 m al este 150 m al norte</t>
  </si>
  <si>
    <t>Ingenieros Consultores Centroamericanos  S.A.</t>
  </si>
  <si>
    <t>Hotel Bermúdez 40 vrs al Oeste, 2do piso, Modulo 1, Matagalpa</t>
  </si>
  <si>
    <t>Ingeniería y Controles Automatizados S.A</t>
  </si>
  <si>
    <t>Residencial Mayales, casa N° 62, Esquipulas</t>
  </si>
  <si>
    <t>Ingeniería de Pesaje S.A.</t>
  </si>
  <si>
    <t>Rotonda la Virgen, 100 metros al Norte, 30 metros al oeste, Managua</t>
  </si>
  <si>
    <t>Ingenieria de Materiales, S.A</t>
  </si>
  <si>
    <t>Km 43.5 Carretera Panamericana Norte</t>
  </si>
  <si>
    <t>Ingemann Food Nicaragua, S.A</t>
  </si>
  <si>
    <t>Ingemann Fine Cocoa, S.A</t>
  </si>
  <si>
    <t>De La Parmalat 500 m lago, 200 m arriba</t>
  </si>
  <si>
    <t>Industrias Toro S.A.</t>
  </si>
  <si>
    <t>Costado Sur Iglesia San Sebastian, León-Nicaragua.</t>
  </si>
  <si>
    <t>Industrias Mantica S.A.</t>
  </si>
  <si>
    <t>Banpro Ciudad Jardin 100 m Norte, 100 Este</t>
  </si>
  <si>
    <t>Industrias Edison S.A.</t>
  </si>
  <si>
    <t xml:space="preserve">km 7 Carretera Sur, contiguo a UNO 7 Sur  </t>
  </si>
  <si>
    <t>Industrias Delmor S.A.</t>
  </si>
  <si>
    <t>Industrias Cárnicas Integradas, S.A.</t>
  </si>
  <si>
    <t>km 67,5 Carretera Panamericana Sur</t>
  </si>
  <si>
    <t>Industrial Comercial San Martin, S.A.</t>
  </si>
  <si>
    <t>Km 12.5 Carretera Norte Parque Industrial las Mercedes Módulo 10</t>
  </si>
  <si>
    <t>Industria Textilera Sil, S.A</t>
  </si>
  <si>
    <t>Banpro 100 m al Este, 10 vrs al Sur, Matagalpa-Nicaragua</t>
  </si>
  <si>
    <t>Industria Robelo Camacho S.A.</t>
  </si>
  <si>
    <t>Km 29 Carretera Masaya Tipitapa. Finca Ave Azul</t>
  </si>
  <si>
    <t>Industrias Nicaraguenses Diversificadas, S.A (Pixca)</t>
  </si>
  <si>
    <t>km 4,5 Carretera Norte</t>
  </si>
  <si>
    <t>Industria Nacional de Refrescos, S.A. (FEMSA)</t>
  </si>
  <si>
    <t>km 11 Carretera Nueva a León 300 m Oeste, 100 m Sur</t>
  </si>
  <si>
    <t>Industria de Envases Tecnificados S.A.</t>
  </si>
  <si>
    <t xml:space="preserve">km 5,5 Carretera Norte </t>
  </si>
  <si>
    <t xml:space="preserve">Industria Cerámica Centroamericana, S.A </t>
  </si>
  <si>
    <t>km 30 Carretera Managua-Granada</t>
  </si>
  <si>
    <t>Incasa</t>
  </si>
  <si>
    <t>km 9,5 Carretera a Masaya, contiguo al Hospital Vivian Pellas</t>
  </si>
  <si>
    <t>INBRA-Instituto Nicaragüense de Biotecnología y Reproducción Animal</t>
  </si>
  <si>
    <t>Frente al Restaurante El Pullazo, Las Tejas km 125, Carretera Matagalpa Sebaco</t>
  </si>
  <si>
    <t>Impexca S.A.</t>
  </si>
  <si>
    <t>km 6,5 Carretera Norte, Contiguo a Bodega Pollo Estrella</t>
  </si>
  <si>
    <t>Impelsa</t>
  </si>
  <si>
    <t>Pista a la Refinería #22, Frente al BAC Las Brisas</t>
  </si>
  <si>
    <t>ICABALCETA CONSULTORES</t>
  </si>
  <si>
    <t>km 9,8 Carretera a Masaya 250 m Oeste</t>
  </si>
  <si>
    <t>Hospital Metropolitano S.A</t>
  </si>
  <si>
    <t>km 12,5 Carretera Norte, Parque Industrial Las Mercedes, modulo # 35</t>
  </si>
  <si>
    <t>Hialpesa Nicaragua S.A.</t>
  </si>
  <si>
    <t>De donde fueron las delicias del volga 2c ½ al lago a mano derecha</t>
  </si>
  <si>
    <t>Hanon Tercero Metals LTD</t>
  </si>
  <si>
    <t xml:space="preserve">Hannes Schwarzberger </t>
  </si>
  <si>
    <t>Km 14,5 Carrtera Nueva a León</t>
  </si>
  <si>
    <t>Handsome Nica S.A.</t>
  </si>
  <si>
    <t>Selva Negra, Matagalpa</t>
  </si>
  <si>
    <t>Hacienda la Hammonia y Cia. Ltda</t>
  </si>
  <si>
    <t>Pista Sabana Grande 150 m Sur</t>
  </si>
  <si>
    <t>Gunnar James</t>
  </si>
  <si>
    <t>Masatepe - Estación de Buses 800mts al sur.</t>
  </si>
  <si>
    <t>Grupo Industrial el Granjero</t>
  </si>
  <si>
    <t>Altamira del BDF 100 m al Lago 50 m Oeste, Managua - Nicaragua</t>
  </si>
  <si>
    <t>Grupo FLOTEC S.A.</t>
  </si>
  <si>
    <t>km 122 1/2 Carretera Managua - Matagalpa, entrada a Tejerina 500 m norte.</t>
  </si>
  <si>
    <t>Grupo Fhelca S.A.</t>
  </si>
  <si>
    <t>Puerto Sandino</t>
  </si>
  <si>
    <t>Grupo CYMCA S.A.</t>
  </si>
  <si>
    <t>Del portón del antiguo Hospital Militar 200 m al lago</t>
  </si>
  <si>
    <t>Grupo ACISA</t>
  </si>
  <si>
    <t>Portón Principal Hospital Bautista 100 m Sur, 8 m Oeste</t>
  </si>
  <si>
    <t>Gran Costa Nicaragua S.A.</t>
  </si>
  <si>
    <t xml:space="preserve">km 45 Carretera a San Marcos    </t>
  </si>
  <si>
    <t>Gildan Activewear y Cía Ltda.</t>
  </si>
  <si>
    <t>Gildan Activewear San Marcos II, S.A.</t>
  </si>
  <si>
    <t>km 109,5 Carretera Panamericana Sur 300 m oeste</t>
  </si>
  <si>
    <t>Gildan Activewear Rivas II, S.A.</t>
  </si>
  <si>
    <t>Gerardo Ferrufino</t>
  </si>
  <si>
    <t>San Rafael del Sur, Nicaragua</t>
  </si>
  <si>
    <t>Generación Green Power S.A</t>
  </si>
  <si>
    <t>km 185 Carretera Jinotega San Rafael del Norte</t>
  </si>
  <si>
    <t>GChamorro Agroindustrial S.A.</t>
  </si>
  <si>
    <t>De donde fue La Pepsi 200 m Lago</t>
  </si>
  <si>
    <t>Gatornica-AB S.A.</t>
  </si>
  <si>
    <t>km 34,5 Carretera Vieja a León, 1 200 m Sur, Municipio Villa El Carmen. Managua</t>
  </si>
  <si>
    <t>Ganadería Integral Nicaragua S.A.</t>
  </si>
  <si>
    <t>Semáforos del Ministerio de Gobernacion 75 Varas al este frente a la Iglesia el Redentor</t>
  </si>
  <si>
    <t>Frío Industrial S.A.</t>
  </si>
  <si>
    <t>km 2,2 Carretera Norte</t>
  </si>
  <si>
    <t>Fracocsa</t>
  </si>
  <si>
    <t xml:space="preserve">Zona Franca Astro Nicaragua S.A. Nave 21E km 47,5 Carretera Tipitapa a Masaya Tipitapa Managua </t>
  </si>
  <si>
    <t>Finotex Nicaragua</t>
  </si>
  <si>
    <t>Reparto Serrano, De la Catedral Metropolitana 2c al lago,1/2c. abajo. Casa No.39</t>
  </si>
  <si>
    <t>FINISA</t>
  </si>
  <si>
    <t>Km 2 carretera norte, semáforos de la Dirección General de Contrataciones del Estado 1 c. al sur 1/2 c. al oeste, Managua</t>
  </si>
  <si>
    <t>Farmaquim</t>
  </si>
  <si>
    <t>km 121 Carretera Managua - Matagalpa</t>
  </si>
  <si>
    <t>Fara Coffee S.A.</t>
  </si>
  <si>
    <t>km 19,4 Carretera Masaya-Managua</t>
  </si>
  <si>
    <t>FACEMA S.A.</t>
  </si>
  <si>
    <t>Carretera Panamericana km 215,5 Somoto-Madriz</t>
  </si>
  <si>
    <t>Exportadora Panamericana Norte S.A.</t>
  </si>
  <si>
    <t>Esteli Horticultural S.A.</t>
  </si>
  <si>
    <t>Del tanque Enacal 75 m al Oeste.</t>
  </si>
  <si>
    <t>Ernesto Francisco Castellón</t>
  </si>
  <si>
    <t>Barrio La Fuente del Portón de La Escuela Normal  300 m Este  300 m Sur</t>
  </si>
  <si>
    <t>Ernesto Blake</t>
  </si>
  <si>
    <t>km 123 Carretera Panamericana Sur, del empalme de La Virgen, 400 m Sur, Rivas</t>
  </si>
  <si>
    <t>Eolo de Nicaragua S.A.</t>
  </si>
  <si>
    <t>Km 15.5 Carretera a Ticuantepe</t>
  </si>
  <si>
    <t>ENERGY LINDMAN ENTERPRISES CORP</t>
  </si>
  <si>
    <t xml:space="preserve">Pista de La Resistencia, Managua </t>
  </si>
  <si>
    <t>ENEL</t>
  </si>
  <si>
    <t>Segunda Entrada a Las Colinas, Iglesia Católica 100 m Norte 250 m Este</t>
  </si>
  <si>
    <t>Empresa Servicios Electrónicos Azocar S.A.</t>
  </si>
  <si>
    <t xml:space="preserve">Planta Electríca Margarita II  </t>
  </si>
  <si>
    <t>Empresa Energética Corinto, LTD</t>
  </si>
  <si>
    <t>Aldea Santa Elena, Desvío Carretera a Cedeño, Honduras, C.A.</t>
  </si>
  <si>
    <t>Empacadora de Camarones Santa Inés, S. de R.L de C.V</t>
  </si>
  <si>
    <t>Gasolinera UNO Waspan 700 mts al sur</t>
  </si>
  <si>
    <t>Embotelladora Nacional S.A.</t>
  </si>
  <si>
    <t>Rotonda El Güegüense, Managua</t>
  </si>
  <si>
    <t>Elvatron</t>
  </si>
  <si>
    <t>Ticuantepe, km 16.5</t>
  </si>
  <si>
    <t>Ecoquimica S.A.</t>
  </si>
  <si>
    <t>De la Óptica Nicaraguense, 3C al Este 1/2 C al Sur Residencial Bolonia. Managua, Nicaragua</t>
  </si>
  <si>
    <t>Electrónica Técnica, S.A</t>
  </si>
  <si>
    <t>Escuela Palo Solo 1 km Oeste, la Concepción - Masaya</t>
  </si>
  <si>
    <t>El Socorro Enterprises S.A.</t>
  </si>
  <si>
    <t>Eins S.A.</t>
  </si>
  <si>
    <t>Km 7.5 carretera norte, de la Kativo 50 metros al este. Managua, Nicaragua</t>
  </si>
  <si>
    <t>EDT Nicaragua, S.A</t>
  </si>
  <si>
    <t>Calle 27 de Mayo CST 100 m Sur 200 m Este, Managua</t>
  </si>
  <si>
    <t>Edisa</t>
  </si>
  <si>
    <t>La Paz Centro, cancha 100 m Oeste, 50 m Norte</t>
  </si>
  <si>
    <t>Eddy Job Pallais Vallecillo</t>
  </si>
  <si>
    <t>km 15,2 Carretera a Masaya</t>
  </si>
  <si>
    <t>E Chamorro Industrial S.A.</t>
  </si>
  <si>
    <t xml:space="preserve">km 15,2 Carretera Managua-Masaya </t>
  </si>
  <si>
    <t>Drogueria Rocha</t>
  </si>
  <si>
    <t>Donde fueron Las Aldeas SOS, Barrio Oscar Gamez N°2, Estelí</t>
  </si>
  <si>
    <t>Drew Estate Tobacco Company S.A.</t>
  </si>
  <si>
    <t>km 25,5 Carretera a Masaya</t>
  </si>
  <si>
    <t>Draexlmaier Partes Automotrices Nicaragua S.A</t>
  </si>
  <si>
    <t>Km 16  carretera nueva a Leon, detrás del cementerio los Brasiles</t>
  </si>
  <si>
    <t>Disnorte-Dissur</t>
  </si>
  <si>
    <t>Entrada Principal Oncológico 4c al Este, 4c al sur, Lomas de San Judas, Managua</t>
  </si>
  <si>
    <t>Distribuidora Internacional Medwell Nicaragua, S.A</t>
  </si>
  <si>
    <t>km 44,5 Carretera Vieja a León, Empalme El Transito, 5 km Sur.</t>
  </si>
  <si>
    <t>Distribuidora de Carbón El Milagrito</t>
  </si>
  <si>
    <t>Semáforos del seminario 1C al Norte, 1C Oeste. Casa esquinera – Managua, Nicaragua.</t>
  </si>
  <si>
    <t>Diseño y Supervisión, Control de Calidad, S.A (DYSCONCSA)</t>
  </si>
  <si>
    <t>Estación Uno plaza el sol 1 cuadra al sur y 1 1/2 media cuadra abajo</t>
  </si>
  <si>
    <t>Dimex Nicaragua S.A.</t>
  </si>
  <si>
    <t>Carretera Sur, km 7, 800 m al este</t>
  </si>
  <si>
    <t>Dicegsa</t>
  </si>
  <si>
    <t>Delicarnes, S.A</t>
  </si>
  <si>
    <t>Camino de oriente, edificio U frente al gimnasio Try Fitness</t>
  </si>
  <si>
    <t>DHL Global Forwarding Nicaragua S.A.</t>
  </si>
  <si>
    <t>Carretera Norte, km 12,5 Módulo 2. Zona Franca Las Mercedes</t>
  </si>
  <si>
    <t>Dasoltex S.A.</t>
  </si>
  <si>
    <t>km 243 Mulukukú, de la gasolinera puma 200 metros al norte</t>
  </si>
  <si>
    <t>Cruz Reyes y Cia Ltda.</t>
  </si>
  <si>
    <t>Km 252 carretera Managua a San miguelito, Rio San Juan</t>
  </si>
  <si>
    <t>Cruz y Medal</t>
  </si>
  <si>
    <t xml:space="preserve">km 62,5 Carretera a Montelimar         </t>
  </si>
  <si>
    <t xml:space="preserve">Corporación Montelimar S.A. </t>
  </si>
  <si>
    <t>km 132 Carretera a Corinto, De La Rotonda 300 m Sur, Frente a Aceitera El Real S.A</t>
  </si>
  <si>
    <t>Corporación Agroindustrial del Pacifico S.A</t>
  </si>
  <si>
    <t>Hospital España 5 km al Oeste</t>
  </si>
  <si>
    <t>COQUIMBA S.A.</t>
  </si>
  <si>
    <t>Km 212 carretera hacia el Ayote, Santo domingo, Chontales</t>
  </si>
  <si>
    <t>Cooserva R.L</t>
  </si>
  <si>
    <t>Nueva Guinea</t>
  </si>
  <si>
    <t>Coopreleche El Triunfo</t>
  </si>
  <si>
    <t>Km 185.5 Carretera Managua- El Rama</t>
  </si>
  <si>
    <t>Cooperativa Agropecuaria de Servicios Santo Tomás R.L</t>
  </si>
  <si>
    <t>kilometro 115 carretera a sebaco matagalpa.</t>
  </si>
  <si>
    <t>Cooperativa Integral de Productores Agroecológicos R.L.</t>
  </si>
  <si>
    <t>Km 184,5 Carretera Managua-San Pedro De Lovago</t>
  </si>
  <si>
    <t>Cooperativa Chontalac</t>
  </si>
  <si>
    <t>Km 108,5 carretera Managua - Matagalpa</t>
  </si>
  <si>
    <t>Coopagro R.L.</t>
  </si>
  <si>
    <t>km 82,5 Carretera León - Managua</t>
  </si>
  <si>
    <t>Consultoría y Construcción S.A.</t>
  </si>
  <si>
    <t>Rotonda Ticuantepe 8.5 km al Noreste, carretera hacia Veracruz</t>
  </si>
  <si>
    <t>Constructora MECO, S.A</t>
  </si>
  <si>
    <t>Chinandega</t>
  </si>
  <si>
    <t>Consorcio Europeo Hospital de Chinandega</t>
  </si>
  <si>
    <t>km 12 Carretera a Masaya</t>
  </si>
  <si>
    <t>Concretera Total S.A.</t>
  </si>
  <si>
    <t>Zona Franca Industrial las Mercedes, Módulo 16.</t>
  </si>
  <si>
    <t>Command Medical</t>
  </si>
  <si>
    <t>Complejo Agroindustrial</t>
  </si>
  <si>
    <t>km 119 Carretera a Chinandega, Gasolinera UNO</t>
  </si>
  <si>
    <t xml:space="preserve">Compañía Licorera de Nicaragua S.A.    </t>
  </si>
  <si>
    <t xml:space="preserve">km 6,5 Carretera Norte, Cruz Lorena 800 m norte </t>
  </si>
  <si>
    <t xml:space="preserve">Compañía Cervecera de Nicaragua S.A. </t>
  </si>
  <si>
    <t>Ingenio CASUR, km. 103 carretera Panamericana, Potosi (Rivas).</t>
  </si>
  <si>
    <t>Compañia Azucarera del Sur, S.A. (CASUR)</t>
  </si>
  <si>
    <t>km 139 carretera a Corinto</t>
  </si>
  <si>
    <t>Comercializadora de Maní S.A. (COMASA)</t>
  </si>
  <si>
    <t>De La Iglesia Las Palmas 30 m abajo, Managua</t>
  </si>
  <si>
    <t>Comercial MW S.A</t>
  </si>
  <si>
    <t>Beneficio Las Trincheras, puesto Norte, Jinotega</t>
  </si>
  <si>
    <t>Cojicafe-Beneficio Las Trincheras</t>
  </si>
  <si>
    <t>km 10,5 Carretera Norte, Frente a La Aduana Aérea, Managua</t>
  </si>
  <si>
    <t>Cocesna</t>
  </si>
  <si>
    <t>Hospital Monte España 300 m Norte</t>
  </si>
  <si>
    <t>CIRA/UNAN-Managua</t>
  </si>
  <si>
    <t>Universidad Centroamericana (UCA), Managua</t>
  </si>
  <si>
    <t>CIDEA UCA</t>
  </si>
  <si>
    <t>Planta Aguadora 200 m norte</t>
  </si>
  <si>
    <t xml:space="preserve">CIA. Centroamericana de Productos Lacteos S.A.   </t>
  </si>
  <si>
    <t>Cheolmin Park</t>
  </si>
  <si>
    <t>Puerto Sandino, el Empalme</t>
  </si>
  <si>
    <t>César Machado</t>
  </si>
  <si>
    <t>Parque Industrial San Cristobal, Calle Santa Rosa, Bethania, Ciudad de Panamá</t>
  </si>
  <si>
    <t>Cervecería Panamá Barú S.A</t>
  </si>
  <si>
    <t>Paso a desnivel Portezuelo, 150 m norte</t>
  </si>
  <si>
    <t>Cereales de Centroamérica S.A.</t>
  </si>
  <si>
    <t xml:space="preserve">km 46,5 Carretera Masaya-Tipitapa </t>
  </si>
  <si>
    <t>Centrolac, S.A</t>
  </si>
  <si>
    <t>Costado Oeste Colonia Primero de Mayo, Complejo Nacional de Salud Dra. Concepción Palacios.</t>
  </si>
  <si>
    <t>Centro Nacional de Diagnostico Y Referencia</t>
  </si>
  <si>
    <t>Central American Fisheries S.A.</t>
  </si>
  <si>
    <t>km 3,5 Carretera Sur, desvío a batahola</t>
  </si>
  <si>
    <t>Cemex Nicaragua S.A.</t>
  </si>
  <si>
    <t>km 95, Laboratorios Divina, 800 m oeste. León</t>
  </si>
  <si>
    <t>CEGA Nicaragua S.A.</t>
  </si>
  <si>
    <t>Tiscapa. Barrio Largaespada. Busto José Martí 3 C al Este y 1 C al Norte.</t>
  </si>
  <si>
    <t>CEFSA</t>
  </si>
  <si>
    <t>Planteles Claro, 25 m oeste No. 206</t>
  </si>
  <si>
    <t xml:space="preserve">Casa del Café S.A. </t>
  </si>
  <si>
    <t>Km 17 Carretera a Masaya</t>
  </si>
  <si>
    <t>Cargill de Nicaragua S.A.</t>
  </si>
  <si>
    <t>Km 7 1/2 Carretera Norte Edificio Fabrigas Copa Managua, Nicaragua</t>
  </si>
  <si>
    <t>Carbox de Nicaragua, S.A</t>
  </si>
  <si>
    <t>km 106 1/2 Carretera panaméricana- Rivas</t>
  </si>
  <si>
    <t>Campresa Mariscos Procesadores S.A.</t>
  </si>
  <si>
    <t>km 3,5 Carretera Norte. El Nuevo Diario 150 m oeste</t>
  </si>
  <si>
    <t>Cambridge Internacional,S.A.</t>
  </si>
  <si>
    <t xml:space="preserve">km 130 Carretera a Chinandega     </t>
  </si>
  <si>
    <t xml:space="preserve">Camanica Zona Franca, S.A.     </t>
  </si>
  <si>
    <t>Jinotega, Banpro 100 m Este</t>
  </si>
  <si>
    <t>Cafetalera La Bastilla S.A.</t>
  </si>
  <si>
    <t>Km 107 carretera a Matagalpa. Entrada a Chagüitillo 1,5 Km al norte. Matagalpa, Nicaragua.</t>
  </si>
  <si>
    <t>Cafetalera Castellon S.A.</t>
  </si>
  <si>
    <t>km 8,5 carretera norte, 800 m al norte</t>
  </si>
  <si>
    <t>Café Soluble S.A. (Planta)</t>
  </si>
  <si>
    <t>Café Soluble S.A. (Laboratorio Soluble)</t>
  </si>
  <si>
    <t>Café Soluble S.A. (Laboratorio Cereales)</t>
  </si>
  <si>
    <t>Burke Agro de Nicaragua S.A.</t>
  </si>
  <si>
    <t>km 10 Carretera Tola-Las Salinas, Rivas</t>
  </si>
  <si>
    <t>Brito Real Estate S.A.</t>
  </si>
  <si>
    <t>Km 45 carretera al Pacifico La Boquita, Diriamba, Carazo</t>
  </si>
  <si>
    <t>Brands of The World in America S.A.</t>
  </si>
  <si>
    <t>km 179 Carretera a Muy Muy, Comunidad el Plomo</t>
  </si>
  <si>
    <t>Borinquen, S.A (Empacadora de Raices y Tuberculos)</t>
  </si>
  <si>
    <t>km 8,5 Carretera Masaya, 100 m Oeste, Managua</t>
  </si>
  <si>
    <t>Bolsa Agropecuaria de Nicaragua S.A.</t>
  </si>
  <si>
    <t>Portón principal Claro Villa Fontana 1 1/2 C al norte, Casa #259</t>
  </si>
  <si>
    <t>Bluefields Technologies, S.A</t>
  </si>
  <si>
    <t xml:space="preserve">Subasta, 1 200 m noroeste         </t>
  </si>
  <si>
    <t>Biwater International, LTD.</t>
  </si>
  <si>
    <t>km 11.4 carretera Masaya, entrada de Esquipulas 150 m al este.</t>
  </si>
  <si>
    <t>Farmacos Bioequivalentes, S.A</t>
  </si>
  <si>
    <t>km 122,5 Carretera Matagalpa-Managua, del puente Waswali 100 m Norte, 200 m Oeste</t>
  </si>
  <si>
    <t>Beneficio Las Nubes Inrocasa</t>
  </si>
  <si>
    <t>km 114,5 Carretera Sébaco - Matagalpa</t>
  </si>
  <si>
    <t>Beneficio Don Will S.A.</t>
  </si>
  <si>
    <t>km 122,5 Carretera Managua, Matagalpa Entrada a Tejerina 500 m al norte</t>
  </si>
  <si>
    <t>Beneficiadora OLAM</t>
  </si>
  <si>
    <t>km 120 Carretera Sebaco-Matagalpa</t>
  </si>
  <si>
    <t>Benediciadora de café La Providencia S.A.</t>
  </si>
  <si>
    <t xml:space="preserve">km 107 Carretera a Matagalpa-Sebaco, Frente al Campo de Baseball–Villa Chaguitillo                                                                                         </t>
  </si>
  <si>
    <t xml:space="preserve">BENCAFE </t>
  </si>
  <si>
    <t>km 11,5 Carretera a Masaya</t>
  </si>
  <si>
    <t xml:space="preserve">Bayer S.A.     </t>
  </si>
  <si>
    <t>Km 130 Chinandega</t>
  </si>
  <si>
    <t>Básculas Rodriguez</t>
  </si>
  <si>
    <t>Km 18 carretera nueva a León. Ciudad El Doral casa D-55</t>
  </si>
  <si>
    <t>Básculas Ramón Nicoya</t>
  </si>
  <si>
    <t>Reparto Belmonte 7 Sur, Contiguo a La Cruz Roja</t>
  </si>
  <si>
    <t>Banco de Sangre</t>
  </si>
  <si>
    <t>BAIT &amp; SEAFOOD</t>
  </si>
  <si>
    <t>Mina La Libertad Chontales</t>
  </si>
  <si>
    <t>B2GOLD CORP, Desarrollo Minero de Nicaragua S.A.</t>
  </si>
  <si>
    <t>Kilómetro 27.5 carretera vieja Tipitapa-San Benito</t>
  </si>
  <si>
    <t>Avicasa</t>
  </si>
  <si>
    <t>km 11,5 Carretera Masaya, contiguo Bayer</t>
  </si>
  <si>
    <t xml:space="preserve">ATB TRADING </t>
  </si>
  <si>
    <t xml:space="preserve">km 265 Pantasma Wiwili </t>
  </si>
  <si>
    <t>ASTALDI SPA - PROYECTO Pantasma Wiwili TI</t>
  </si>
  <si>
    <t>Semáforos Club Terraza 150 m oeste, casa #38</t>
  </si>
  <si>
    <t xml:space="preserve">Astaldi S.P.A. </t>
  </si>
  <si>
    <t>Frente a la Tropigas Cuesta El Plomo, Managua</t>
  </si>
  <si>
    <t>Asfaltos Industriales S.A.</t>
  </si>
  <si>
    <t>Arturo José Castellon Lothrop</t>
  </si>
  <si>
    <t>Instalaciones del Aereopuerto Internacional Augusto C. Sandino. / km 10,5 Carretera Norte, portón 5 de aduana aérea.</t>
  </si>
  <si>
    <t>Apen</t>
  </si>
  <si>
    <t>Km 9.5 Carretera Nueva a León, frente a Camas Karen</t>
  </si>
  <si>
    <t>Altamar Seafood, S.A</t>
  </si>
  <si>
    <t>km 45,5 Carretera San Marcos-Masatepe, Parque Industrial Las Palmeras</t>
  </si>
  <si>
    <t xml:space="preserve">Annic II, S.A. </t>
  </si>
  <si>
    <t>Alternative Manufacturing S.A.</t>
  </si>
  <si>
    <t>Sinsa Altamira, 100 m al sur, 100 m este</t>
  </si>
  <si>
    <t xml:space="preserve">Alta Research        </t>
  </si>
  <si>
    <t>Carretera 4,5 Carretera Norte</t>
  </si>
  <si>
    <t xml:space="preserve">Alpla  Nicaragua S.A.  </t>
  </si>
  <si>
    <t>km 78,6 Carretera Managua-León</t>
  </si>
  <si>
    <t>Almidones de Centroamerica, S.A</t>
  </si>
  <si>
    <t>Km 24.5 Carretera a Tipitapa-Masaya. Nave 24C</t>
  </si>
  <si>
    <t>Alinsa</t>
  </si>
  <si>
    <t>Alejandro Alonso</t>
  </si>
  <si>
    <t>Terminal Benjamín Zeledon Corinto.</t>
  </si>
  <si>
    <t>Albanisa</t>
  </si>
  <si>
    <t>km 3,5 Carretera Norte</t>
  </si>
  <si>
    <t>Aje Nicaragua S.A.</t>
  </si>
  <si>
    <t xml:space="preserve"> Reparto las Palmas, del BANPRO 2 cuadras al Norte, 1 cuadra al Oeste, ½ cuadra al Sur; casa 123, Managua, Nicaragua.</t>
  </si>
  <si>
    <t>Aivepet Inspecciones Nicaragua S.A.</t>
  </si>
  <si>
    <t>Plaza España, Edificio Malaga Módulo E8</t>
  </si>
  <si>
    <t>Agropecuaria Raminsa S.A.</t>
  </si>
  <si>
    <t>Condega - Estelí</t>
  </si>
  <si>
    <t>Agroindustrial Nicaraguense de Tabacos S.A.</t>
  </si>
  <si>
    <t>km 121 Carretera Sebaco-Matagalpa, frente a portones de SOLCAFE</t>
  </si>
  <si>
    <t>Beneficio de Café Talia</t>
  </si>
  <si>
    <t>Gasolinera Puma Las Marias 700 m Carretera al Tuma.</t>
  </si>
  <si>
    <t>Agroexport S,A.</t>
  </si>
  <si>
    <t>Reparto El Carmen, Hyundai Montoya 200 m Este, Managua</t>
  </si>
  <si>
    <t>AgroBioTek Nicaragua S.A</t>
  </si>
  <si>
    <t>El Realejo, km. 145 carretera Chinandega - Corinto, luego 10 km. hacia adentro, hasta llegar a la finca.</t>
  </si>
  <si>
    <t>Agricola El Rosario, S.A.</t>
  </si>
  <si>
    <t>Ciudad Rama, Atlántico Sur, Nicaragua</t>
  </si>
  <si>
    <t xml:space="preserve">Agricola Nicavista </t>
  </si>
  <si>
    <t>Chinandega el Realejo - Carrtera a Corinto, trocha cañera el Ensayo 5 km</t>
  </si>
  <si>
    <t>Agricola el Cardon S.A.</t>
  </si>
  <si>
    <t>De Los Semáforos de Sabana Grande 1 500 m Este.</t>
  </si>
  <si>
    <t>Agencia Aduanera GRH S,A.</t>
  </si>
  <si>
    <t>ACQUASU S.A. de CV</t>
  </si>
  <si>
    <t>Carretera a Siuna KM 265 a 200 varas del puente del río wapi Mulukukú RACCN</t>
  </si>
  <si>
    <t>Acopio y Procesadora de Leche San Antonio/Sarawas </t>
  </si>
  <si>
    <t>Lotería Nacional, 300 m oeste. Entrada a Edificio Agricorp</t>
  </si>
  <si>
    <t>ACI-ACN</t>
  </si>
  <si>
    <t xml:space="preserve">Rotonda Los Encuentros, 300 m sur    </t>
  </si>
  <si>
    <t xml:space="preserve">Aceitera EL Real S.A.   </t>
  </si>
  <si>
    <t>km 126,5 ruta al Atlántico, Rio Hondo, Zacapa - Guatemala</t>
  </si>
  <si>
    <t xml:space="preserve">ABASA Coca-Cola </t>
  </si>
  <si>
    <t>km 105 Carretera Panamericana Sebaco, Matagalpa, Nicaragua</t>
  </si>
  <si>
    <t>Aalfs Uno S.A.</t>
  </si>
  <si>
    <t xml:space="preserve">Coyotepe, 800 m norte               </t>
  </si>
  <si>
    <t xml:space="preserve">A&amp;T Nicaragua S.A. </t>
  </si>
  <si>
    <t>Dirección de la empresa</t>
  </si>
  <si>
    <t>Clave</t>
  </si>
  <si>
    <t>Base de datos de clientes</t>
  </si>
  <si>
    <t>METROLOGÍA CONSULTORES DE NICARAGUA, S.A.</t>
  </si>
  <si>
    <t>Resultados de la calibración en libras (lb)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</si>
</sst>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5">
    <numFmt numFmtId="164" formatCode="0.0"/>
    <numFmt numFmtId="165" formatCode="yyyy\-mm\-dd;@"/>
    <numFmt numFmtId="166" formatCode="0.000"/>
    <numFmt numFmtId="167" formatCode="0.00000"/>
    <numFmt numFmtId="168" formatCode="0.0000"/>
    <numFmt numFmtId="169" formatCode="#,##0.0000"/>
    <numFmt numFmtId="170" formatCode="0.0%"/>
    <numFmt numFmtId="171" formatCode="0.000000"/>
    <numFmt numFmtId="172" formatCode="0.0000000"/>
    <numFmt numFmtId="173" formatCode="#,##0.00;[Red]#,##0.00"/>
    <numFmt numFmtId="174" formatCode="yyyy/mm/dd;@"/>
    <numFmt numFmtId="175" formatCode="#,##0.000000"/>
    <numFmt numFmtId="176" formatCode="#,##0.000"/>
    <numFmt numFmtId="177" formatCode="#,##0.0"/>
    <numFmt numFmtId="178" formatCode="#,##0.00000"/>
  </numFmts>
  <fonts count="86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theme="1"/>
      <name val="Symbol"/>
      <family val="1"/>
      <charset val="2"/>
    </font>
    <font>
      <sz val="11"/>
      <color theme="1"/>
      <name val="Calibri"/>
      <family val="2"/>
    </font>
    <font>
      <sz val="11"/>
      <color theme="1"/>
      <name val="Symbol"/>
      <family val="1"/>
      <charset val="2"/>
    </font>
    <font>
      <sz val="9.15"/>
      <color theme="1"/>
      <name val="Calibri"/>
      <family val="2"/>
    </font>
    <font>
      <sz val="10"/>
      <name val="Aptos Narrow"/>
      <family val="2"/>
      <scheme val="minor"/>
    </font>
    <font>
      <b/>
      <sz val="10"/>
      <name val="Aptos Narrow"/>
      <family val="2"/>
      <scheme val="minor"/>
    </font>
    <font>
      <b/>
      <sz val="10"/>
      <name val="Symbol"/>
      <family val="1"/>
      <charset val="2"/>
    </font>
    <font>
      <b/>
      <sz val="7.5"/>
      <name val="Calibri"/>
      <family val="2"/>
    </font>
    <font>
      <b/>
      <vertAlign val="subscript"/>
      <sz val="10"/>
      <name val="Aptos Narrow"/>
      <family val="2"/>
      <scheme val="minor"/>
    </font>
    <font>
      <b/>
      <vertAlign val="superscript"/>
      <sz val="10"/>
      <name val="Aptos Narrow"/>
      <family val="2"/>
      <scheme val="minor"/>
    </font>
    <font>
      <vertAlign val="superscript"/>
      <sz val="7.6"/>
      <color theme="1"/>
      <name val="Calibri"/>
      <family val="2"/>
    </font>
    <font>
      <sz val="7.6"/>
      <color theme="1"/>
      <name val="Calibri"/>
      <family val="2"/>
    </font>
    <font>
      <b/>
      <sz val="11"/>
      <color rgb="FFFF0000"/>
      <name val="Aptos Narrow"/>
      <family val="2"/>
      <scheme val="minor"/>
    </font>
    <font>
      <b/>
      <sz val="11"/>
      <color rgb="FFC00000"/>
      <name val="Aptos Narrow"/>
      <family val="2"/>
      <scheme val="minor"/>
    </font>
    <font>
      <vertAlign val="superscript"/>
      <sz val="11"/>
      <color theme="1"/>
      <name val="Aptos Narrow"/>
      <family val="2"/>
      <scheme val="minor"/>
    </font>
    <font>
      <vertAlign val="superscript"/>
      <sz val="11"/>
      <color theme="1"/>
      <name val="Calibri"/>
      <family val="2"/>
    </font>
    <font>
      <b/>
      <vertAlign val="superscript"/>
      <sz val="11"/>
      <color theme="1"/>
      <name val="Aptos Narrow"/>
      <family val="2"/>
      <scheme val="minor"/>
    </font>
    <font>
      <sz val="11"/>
      <name val="Aptos Narrow"/>
      <family val="2"/>
      <scheme val="minor"/>
    </font>
    <font>
      <sz val="10"/>
      <name val="Arial"/>
      <family val="2"/>
    </font>
    <font>
      <i/>
      <sz val="10"/>
      <color theme="1"/>
      <name val="Times New Roman"/>
      <family val="1"/>
    </font>
    <font>
      <i/>
      <sz val="11"/>
      <color theme="1"/>
      <name val="Aptos Narrow"/>
      <family val="2"/>
      <scheme val="minor"/>
    </font>
    <font>
      <i/>
      <vertAlign val="subscript"/>
      <sz val="11"/>
      <color theme="1"/>
      <name val="Aptos Narrow"/>
      <family val="2"/>
      <scheme val="minor"/>
    </font>
    <font>
      <i/>
      <sz val="11"/>
      <color theme="1"/>
      <name val="Symbol"/>
      <family val="1"/>
      <charset val="2"/>
    </font>
    <font>
      <i/>
      <sz val="11"/>
      <color theme="1"/>
      <name val="Calibri"/>
      <family val="2"/>
    </font>
    <font>
      <sz val="8"/>
      <color rgb="FF333333"/>
      <name val="Verdana"/>
      <family val="2"/>
    </font>
    <font>
      <i/>
      <vertAlign val="subscript"/>
      <sz val="11"/>
      <color theme="1"/>
      <name val="Calibri"/>
      <family val="2"/>
    </font>
    <font>
      <u/>
      <sz val="11"/>
      <color theme="1"/>
      <name val="Aptos Narrow"/>
      <family val="2"/>
      <scheme val="minor"/>
    </font>
    <font>
      <i/>
      <vertAlign val="subscript"/>
      <sz val="10"/>
      <color theme="1"/>
      <name val="Times New Roman"/>
      <family val="1"/>
    </font>
    <font>
      <sz val="11"/>
      <color rgb="FF373B41"/>
      <name val="Aptos Narrow"/>
      <family val="2"/>
      <scheme val="minor"/>
    </font>
    <font>
      <sz val="11"/>
      <color rgb="FF444444"/>
      <name val="Aptos Narrow"/>
      <family val="2"/>
      <scheme val="minor"/>
    </font>
    <font>
      <sz val="10"/>
      <color theme="1"/>
      <name val="Aptos Narrow"/>
      <family val="2"/>
      <scheme val="minor"/>
    </font>
    <font>
      <i/>
      <sz val="10"/>
      <color theme="1"/>
      <name val="Aptos Narrow"/>
      <family val="2"/>
      <scheme val="minor"/>
    </font>
    <font>
      <i/>
      <vertAlign val="subscript"/>
      <sz val="10"/>
      <color theme="1"/>
      <name val="Aptos Narrow"/>
      <family val="2"/>
      <scheme val="minor"/>
    </font>
    <font>
      <i/>
      <vertAlign val="superscript"/>
      <sz val="10"/>
      <color theme="1"/>
      <name val="Aptos Narrow"/>
      <family val="2"/>
      <scheme val="minor"/>
    </font>
    <font>
      <b/>
      <sz val="10"/>
      <color theme="1"/>
      <name val="Aptos Narrow"/>
      <family val="2"/>
      <scheme val="minor"/>
    </font>
    <font>
      <i/>
      <sz val="10"/>
      <name val="Calibri"/>
      <family val="2"/>
    </font>
    <font>
      <sz val="10"/>
      <name val="Symbol"/>
      <family val="1"/>
      <charset val="2"/>
    </font>
    <font>
      <i/>
      <vertAlign val="subscript"/>
      <sz val="10"/>
      <name val="Calibri"/>
      <family val="2"/>
    </font>
    <font>
      <i/>
      <sz val="12"/>
      <color theme="1"/>
      <name val="Symbol"/>
      <family val="1"/>
      <charset val="2"/>
    </font>
    <font>
      <i/>
      <sz val="12"/>
      <color theme="1"/>
      <name val="Times New Roman"/>
      <family val="1"/>
    </font>
    <font>
      <i/>
      <sz val="10"/>
      <name val="Aptos Narrow"/>
      <family val="2"/>
      <scheme val="minor"/>
    </font>
    <font>
      <i/>
      <vertAlign val="subscript"/>
      <sz val="10"/>
      <name val="Aptos Narrow"/>
      <family val="2"/>
      <scheme val="minor"/>
    </font>
    <font>
      <i/>
      <sz val="10"/>
      <name val="Symbol"/>
      <family val="1"/>
      <charset val="2"/>
    </font>
    <font>
      <i/>
      <vertAlign val="superscript"/>
      <sz val="10"/>
      <name val="Calibri"/>
      <family val="2"/>
    </font>
    <font>
      <sz val="10"/>
      <color theme="1"/>
      <name val="Symbol"/>
      <family val="1"/>
      <charset val="2"/>
    </font>
    <font>
      <b/>
      <sz val="11"/>
      <color rgb="FFFF0000"/>
      <name val="Symbol"/>
      <family val="1"/>
      <charset val="2"/>
    </font>
    <font>
      <sz val="10"/>
      <color theme="1"/>
      <name val="Arial"/>
      <family val="2"/>
    </font>
    <font>
      <i/>
      <vertAlign val="subscript"/>
      <sz val="12"/>
      <color theme="1"/>
      <name val="Times New Roman"/>
      <family val="1"/>
    </font>
    <font>
      <i/>
      <sz val="10"/>
      <color theme="1"/>
      <name val="Arial"/>
      <family val="2"/>
    </font>
    <font>
      <i/>
      <vertAlign val="subscript"/>
      <sz val="10"/>
      <color theme="1"/>
      <name val="Arial"/>
      <family val="2"/>
    </font>
    <font>
      <b/>
      <i/>
      <sz val="11"/>
      <color theme="1"/>
      <name val="Aptos Narrow"/>
      <family val="2"/>
      <scheme val="minor"/>
    </font>
    <font>
      <b/>
      <i/>
      <sz val="11"/>
      <color theme="1"/>
      <name val="Symbol"/>
      <family val="1"/>
      <charset val="2"/>
    </font>
    <font>
      <b/>
      <i/>
      <vertAlign val="subscript"/>
      <sz val="11"/>
      <color theme="1"/>
      <name val="Aptos Narrow"/>
      <family val="2"/>
      <scheme val="minor"/>
    </font>
    <font>
      <i/>
      <vertAlign val="subscript"/>
      <sz val="12"/>
      <color theme="1"/>
      <name val="Aptos Narrow"/>
      <family val="2"/>
      <scheme val="minor"/>
    </font>
    <font>
      <b/>
      <sz val="9.35"/>
      <color rgb="FFFF0000"/>
      <name val="Calibri"/>
      <family val="2"/>
    </font>
    <font>
      <sz val="9.35"/>
      <color theme="1"/>
      <name val="Calibri"/>
      <family val="2"/>
    </font>
    <font>
      <vertAlign val="subscript"/>
      <sz val="11"/>
      <color theme="1"/>
      <name val="Aptos Narrow"/>
      <family val="2"/>
      <scheme val="minor"/>
    </font>
    <font>
      <b/>
      <sz val="11"/>
      <name val="Aptos Narrow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0"/>
      <color theme="1"/>
      <name val="Arial"/>
      <family val="2"/>
    </font>
    <font>
      <sz val="8"/>
      <color theme="1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sz val="11"/>
      <color indexed="8"/>
      <name val="Aptos Narrow"/>
      <family val="2"/>
      <scheme val="minor"/>
    </font>
    <font>
      <sz val="11"/>
      <color rgb="FF000000"/>
      <name val="Arial"/>
      <family val="2"/>
    </font>
    <font>
      <sz val="10"/>
      <color rgb="FF000000"/>
      <name val="Arial"/>
      <family val="2"/>
    </font>
    <font>
      <vertAlign val="superscript"/>
      <sz val="9.15"/>
      <color theme="1"/>
      <name val="Calibri"/>
      <family val="2"/>
    </font>
    <font>
      <i/>
      <sz val="9"/>
      <color rgb="FF000000"/>
      <name val="Calibri"/>
      <family val="2"/>
    </font>
    <font>
      <i/>
      <sz val="9"/>
      <color theme="1"/>
      <name val="Calibri"/>
      <family val="2"/>
    </font>
    <font>
      <i/>
      <sz val="9"/>
      <color theme="1"/>
      <name val="Arial"/>
      <family val="2"/>
    </font>
    <font>
      <sz val="9"/>
      <color rgb="FF000000"/>
      <name val="Arial"/>
      <family val="2"/>
    </font>
    <font>
      <i/>
      <sz val="9"/>
      <color rgb="FF000000"/>
      <name val="Arial"/>
      <family val="2"/>
    </font>
    <font>
      <i/>
      <vertAlign val="subscript"/>
      <sz val="9"/>
      <color rgb="FF000000"/>
      <name val="Arial"/>
      <family val="2"/>
    </font>
    <font>
      <sz val="12"/>
      <color theme="1"/>
      <name val="Arial"/>
      <family val="2"/>
    </font>
    <font>
      <i/>
      <sz val="10"/>
      <color theme="1"/>
      <name val="Calibri"/>
      <family val="2"/>
    </font>
    <font>
      <sz val="10"/>
      <color theme="1"/>
      <name val="Calibri"/>
      <family val="2"/>
    </font>
    <font>
      <sz val="10"/>
      <color rgb="FFFF0000"/>
      <name val="Arial"/>
      <family val="2"/>
    </font>
    <font>
      <sz val="8"/>
      <color rgb="FF222222"/>
      <name val="Arial"/>
      <family val="2"/>
    </font>
    <font>
      <sz val="8"/>
      <color rgb="FF000000"/>
      <name val="Arial"/>
      <family val="2"/>
    </font>
    <font>
      <b/>
      <sz val="8"/>
      <color rgb="FFFFFF00"/>
      <name val="Arial"/>
      <family val="2"/>
    </font>
    <font>
      <sz val="11"/>
      <color theme="1"/>
      <name val="Arial"/>
      <family val="2"/>
    </font>
    <font>
      <b/>
      <sz val="10"/>
      <color rgb="FFFFFF00"/>
      <name val="Aptos Narrow"/>
      <family val="2"/>
      <scheme val="minor"/>
    </font>
  </fonts>
  <fills count="29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CC66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203764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3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08">
    <xf numFmtId="0" fontId="0" fillId="0" borderId="0" xfId="0"/>
    <xf numFmtId="0" fontId="0" fillId="2" borderId="0" xfId="0" applyFill="1"/>
    <xf numFmtId="0" fontId="0" fillId="3" borderId="0" xfId="0" applyFill="1"/>
    <xf numFmtId="0" fontId="0" fillId="0" borderId="1" xfId="0" applyBorder="1" applyAlignment="1">
      <alignment horizontal="center" vertical="center"/>
    </xf>
    <xf numFmtId="0" fontId="0" fillId="4" borderId="0" xfId="0" applyFill="1"/>
    <xf numFmtId="0" fontId="3" fillId="0" borderId="0" xfId="0" applyFont="1"/>
    <xf numFmtId="0" fontId="4" fillId="5" borderId="1" xfId="0" applyFont="1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0" fillId="6" borderId="0" xfId="0" applyFill="1" applyAlignment="1">
      <alignment vertical="center"/>
    </xf>
    <xf numFmtId="0" fontId="0" fillId="0" borderId="0" xfId="0" applyAlignment="1">
      <alignment horizontal="center" vertical="center"/>
    </xf>
    <xf numFmtId="0" fontId="7" fillId="5" borderId="1" xfId="0" applyFont="1" applyFill="1" applyBorder="1" applyAlignment="1">
      <alignment horizontal="center" vertical="center" wrapText="1"/>
    </xf>
    <xf numFmtId="0" fontId="8" fillId="5" borderId="1" xfId="0" applyFont="1" applyFill="1" applyBorder="1" applyAlignment="1">
      <alignment horizontal="center" vertical="center" wrapText="1"/>
    </xf>
    <xf numFmtId="0" fontId="2" fillId="4" borderId="0" xfId="0" applyFont="1" applyFill="1"/>
    <xf numFmtId="0" fontId="0" fillId="0" borderId="0" xfId="0" applyAlignment="1" applyProtection="1">
      <alignment horizontal="left" vertical="top"/>
      <protection locked="0"/>
    </xf>
    <xf numFmtId="0" fontId="0" fillId="0" borderId="0" xfId="0" applyAlignment="1">
      <alignment horizontal="left" vertical="top"/>
    </xf>
    <xf numFmtId="164" fontId="0" fillId="7" borderId="0" xfId="0" applyNumberFormat="1" applyFill="1" applyAlignment="1">
      <alignment horizontal="left" vertical="center"/>
    </xf>
    <xf numFmtId="0" fontId="0" fillId="7" borderId="0" xfId="0" applyFill="1" applyAlignment="1">
      <alignment horizontal="left" vertical="center"/>
    </xf>
    <xf numFmtId="49" fontId="0" fillId="0" borderId="0" xfId="0" applyNumberFormat="1" applyAlignment="1" applyProtection="1">
      <alignment horizontal="left" vertical="top"/>
      <protection locked="0"/>
    </xf>
    <xf numFmtId="0" fontId="0" fillId="8" borderId="0" xfId="0" applyFill="1"/>
    <xf numFmtId="164" fontId="15" fillId="0" borderId="0" xfId="0" applyNumberFormat="1" applyFont="1" applyAlignment="1" applyProtection="1">
      <alignment horizontal="left" vertical="center"/>
      <protection locked="0"/>
    </xf>
    <xf numFmtId="0" fontId="0" fillId="9" borderId="0" xfId="0" applyFill="1"/>
    <xf numFmtId="164" fontId="0" fillId="10" borderId="0" xfId="0" applyNumberFormat="1" applyFill="1" applyAlignment="1">
      <alignment horizontal="left" vertical="center"/>
    </xf>
    <xf numFmtId="0" fontId="16" fillId="0" borderId="0" xfId="0" applyFont="1" applyAlignment="1" applyProtection="1">
      <alignment horizontal="left" vertical="center"/>
      <protection locked="0"/>
    </xf>
    <xf numFmtId="0" fontId="0" fillId="10" borderId="0" xfId="0" applyFill="1"/>
    <xf numFmtId="0" fontId="0" fillId="10" borderId="0" xfId="0" applyFill="1" applyAlignment="1">
      <alignment horizontal="left" vertical="center"/>
    </xf>
    <xf numFmtId="164" fontId="16" fillId="0" borderId="0" xfId="0" applyNumberFormat="1" applyFont="1" applyAlignment="1" applyProtection="1">
      <alignment horizontal="left" vertical="center"/>
      <protection locked="0"/>
    </xf>
    <xf numFmtId="165" fontId="0" fillId="0" borderId="0" xfId="0" applyNumberFormat="1" applyAlignment="1" applyProtection="1">
      <alignment horizontal="left" vertical="top"/>
      <protection locked="0"/>
    </xf>
    <xf numFmtId="0" fontId="0" fillId="10" borderId="0" xfId="0" applyFill="1" applyAlignment="1">
      <alignment horizontal="left" vertical="top"/>
    </xf>
    <xf numFmtId="0" fontId="15" fillId="7" borderId="0" xfId="0" applyFont="1" applyFill="1" applyAlignment="1" applyProtection="1">
      <alignment horizontal="left" vertical="center"/>
      <protection locked="0"/>
    </xf>
    <xf numFmtId="0" fontId="0" fillId="0" borderId="0" xfId="0" applyAlignment="1" applyProtection="1">
      <alignment horizontal="left" vertical="center"/>
      <protection locked="0"/>
    </xf>
    <xf numFmtId="0" fontId="0" fillId="0" borderId="0" xfId="0" applyAlignment="1">
      <alignment horizontal="left" vertical="center"/>
    </xf>
    <xf numFmtId="0" fontId="20" fillId="0" borderId="0" xfId="0" applyFont="1"/>
    <xf numFmtId="0" fontId="21" fillId="10" borderId="1" xfId="0" applyFont="1" applyFill="1" applyBorder="1" applyAlignment="1">
      <alignment horizontal="center" vertical="top"/>
    </xf>
    <xf numFmtId="165" fontId="21" fillId="10" borderId="2" xfId="0" applyNumberFormat="1" applyFont="1" applyFill="1" applyBorder="1" applyAlignment="1">
      <alignment vertical="top"/>
    </xf>
    <xf numFmtId="0" fontId="21" fillId="10" borderId="1" xfId="0" applyFont="1" applyFill="1" applyBorder="1" applyAlignment="1">
      <alignment vertical="top"/>
    </xf>
    <xf numFmtId="0" fontId="21" fillId="10" borderId="3" xfId="0" applyFont="1" applyFill="1" applyBorder="1" applyAlignment="1">
      <alignment vertical="top"/>
    </xf>
    <xf numFmtId="0" fontId="0" fillId="0" borderId="4" xfId="0" applyBorder="1" applyAlignment="1">
      <alignment vertical="top"/>
    </xf>
    <xf numFmtId="0" fontId="0" fillId="0" borderId="5" xfId="0" applyBorder="1" applyAlignment="1">
      <alignment vertical="top"/>
    </xf>
    <xf numFmtId="0" fontId="0" fillId="0" borderId="0" xfId="0" applyAlignment="1">
      <alignment vertical="top"/>
    </xf>
    <xf numFmtId="0" fontId="0" fillId="2" borderId="0" xfId="0" applyFill="1" applyAlignment="1">
      <alignment horizontal="center"/>
    </xf>
    <xf numFmtId="0" fontId="21" fillId="10" borderId="6" xfId="0" applyFont="1" applyFill="1" applyBorder="1" applyAlignment="1">
      <alignment vertical="top"/>
    </xf>
    <xf numFmtId="0" fontId="21" fillId="10" borderId="2" xfId="0" applyFont="1" applyFill="1" applyBorder="1" applyAlignment="1">
      <alignment vertical="top"/>
    </xf>
    <xf numFmtId="0" fontId="0" fillId="0" borderId="6" xfId="0" applyBorder="1" applyAlignment="1">
      <alignment vertical="top"/>
    </xf>
    <xf numFmtId="0" fontId="0" fillId="2" borderId="0" xfId="0" applyFill="1" applyAlignment="1">
      <alignment wrapText="1"/>
    </xf>
    <xf numFmtId="0" fontId="22" fillId="0" borderId="0" xfId="0" applyFont="1"/>
    <xf numFmtId="0" fontId="0" fillId="0" borderId="0" xfId="0" applyProtection="1">
      <protection locked="0"/>
    </xf>
    <xf numFmtId="166" fontId="0" fillId="9" borderId="1" xfId="0" applyNumberFormat="1" applyFill="1" applyBorder="1"/>
    <xf numFmtId="0" fontId="23" fillId="4" borderId="1" xfId="0" applyFont="1" applyFill="1" applyBorder="1" applyAlignment="1">
      <alignment horizontal="right" vertical="top"/>
    </xf>
    <xf numFmtId="0" fontId="0" fillId="10" borderId="1" xfId="0" applyFill="1" applyBorder="1"/>
    <xf numFmtId="166" fontId="16" fillId="0" borderId="1" xfId="0" applyNumberFormat="1" applyFont="1" applyBorder="1" applyAlignment="1" applyProtection="1">
      <alignment vertical="top"/>
      <protection locked="0"/>
    </xf>
    <xf numFmtId="0" fontId="0" fillId="0" borderId="1" xfId="0" applyBorder="1" applyAlignment="1">
      <alignment horizontal="left" vertical="top"/>
    </xf>
    <xf numFmtId="0" fontId="0" fillId="7" borderId="1" xfId="0" applyFill="1" applyBorder="1" applyAlignment="1">
      <alignment vertical="center"/>
    </xf>
    <xf numFmtId="0" fontId="0" fillId="7" borderId="1" xfId="0" applyFill="1" applyBorder="1" applyAlignment="1">
      <alignment horizontal="center" vertical="center"/>
    </xf>
    <xf numFmtId="165" fontId="21" fillId="10" borderId="1" xfId="0" applyNumberFormat="1" applyFont="1" applyFill="1" applyBorder="1" applyAlignment="1">
      <alignment vertical="center"/>
    </xf>
    <xf numFmtId="0" fontId="0" fillId="10" borderId="1" xfId="0" applyFill="1" applyBorder="1" applyAlignment="1">
      <alignment vertical="center"/>
    </xf>
    <xf numFmtId="0" fontId="21" fillId="10" borderId="1" xfId="0" applyFont="1" applyFill="1" applyBorder="1" applyAlignment="1">
      <alignment vertical="center"/>
    </xf>
    <xf numFmtId="0" fontId="0" fillId="10" borderId="1" xfId="0" applyFill="1" applyBorder="1" applyAlignment="1">
      <alignment horizontal="left" vertical="center"/>
    </xf>
    <xf numFmtId="0" fontId="0" fillId="10" borderId="1" xfId="0" applyFill="1" applyBorder="1" applyAlignment="1">
      <alignment horizontal="center" vertical="center"/>
    </xf>
    <xf numFmtId="0" fontId="0" fillId="10" borderId="7" xfId="0" applyFill="1" applyBorder="1" applyAlignment="1">
      <alignment vertical="center"/>
    </xf>
    <xf numFmtId="11" fontId="0" fillId="10" borderId="3" xfId="0" applyNumberFormat="1" applyFill="1" applyBorder="1" applyAlignment="1">
      <alignment vertical="center"/>
    </xf>
    <xf numFmtId="0" fontId="0" fillId="10" borderId="3" xfId="0" applyFill="1" applyBorder="1" applyAlignment="1">
      <alignment vertical="center"/>
    </xf>
    <xf numFmtId="0" fontId="0" fillId="0" borderId="1" xfId="0" applyBorder="1" applyAlignment="1" applyProtection="1">
      <alignment vertical="center"/>
      <protection locked="0"/>
    </xf>
    <xf numFmtId="11" fontId="0" fillId="10" borderId="7" xfId="0" applyNumberFormat="1" applyFill="1" applyBorder="1" applyAlignment="1">
      <alignment vertical="center"/>
    </xf>
    <xf numFmtId="167" fontId="0" fillId="7" borderId="1" xfId="0" applyNumberFormat="1" applyFill="1" applyBorder="1"/>
    <xf numFmtId="0" fontId="0" fillId="4" borderId="1" xfId="0" applyFill="1" applyBorder="1" applyAlignment="1">
      <alignment shrinkToFit="1"/>
    </xf>
    <xf numFmtId="11" fontId="0" fillId="10" borderId="1" xfId="0" applyNumberFormat="1" applyFill="1" applyBorder="1" applyAlignment="1">
      <alignment vertical="center"/>
    </xf>
    <xf numFmtId="0" fontId="0" fillId="10" borderId="2" xfId="0" applyFill="1" applyBorder="1" applyAlignment="1">
      <alignment vertical="center"/>
    </xf>
    <xf numFmtId="168" fontId="0" fillId="10" borderId="1" xfId="0" applyNumberFormat="1" applyFill="1" applyBorder="1"/>
    <xf numFmtId="0" fontId="23" fillId="0" borderId="1" xfId="0" applyFont="1" applyBorder="1" applyAlignment="1">
      <alignment horizontal="right" vertical="top"/>
    </xf>
    <xf numFmtId="0" fontId="27" fillId="0" borderId="0" xfId="0" applyFont="1"/>
    <xf numFmtId="168" fontId="0" fillId="7" borderId="5" xfId="0" applyNumberFormat="1" applyFill="1" applyBorder="1"/>
    <xf numFmtId="0" fontId="23" fillId="0" borderId="1" xfId="0" applyFont="1" applyBorder="1"/>
    <xf numFmtId="0" fontId="0" fillId="7" borderId="1" xfId="0" applyFill="1" applyBorder="1"/>
    <xf numFmtId="0" fontId="0" fillId="11" borderId="2" xfId="0" applyFill="1" applyBorder="1" applyAlignment="1">
      <alignment horizontal="center"/>
    </xf>
    <xf numFmtId="0" fontId="0" fillId="12" borderId="1" xfId="0" applyFill="1" applyBorder="1" applyAlignment="1">
      <alignment horizontal="center" vertical="center" wrapText="1"/>
    </xf>
    <xf numFmtId="0" fontId="20" fillId="13" borderId="1" xfId="0" applyFont="1" applyFill="1" applyBorder="1" applyAlignment="1">
      <alignment horizontal="center" vertical="center"/>
    </xf>
    <xf numFmtId="0" fontId="0" fillId="12" borderId="1" xfId="0" applyFill="1" applyBorder="1" applyAlignment="1">
      <alignment horizontal="left" vertical="center"/>
    </xf>
    <xf numFmtId="0" fontId="20" fillId="13" borderId="0" xfId="0" applyFont="1" applyFill="1" applyAlignment="1" applyProtection="1">
      <alignment horizontal="center" vertical="center"/>
      <protection locked="0"/>
    </xf>
    <xf numFmtId="0" fontId="0" fillId="0" borderId="0" xfId="0" applyAlignment="1">
      <alignment horizontal="center"/>
    </xf>
    <xf numFmtId="168" fontId="0" fillId="7" borderId="1" xfId="0" applyNumberFormat="1" applyFill="1" applyBorder="1" applyAlignment="1">
      <alignment horizontal="right" vertical="top"/>
    </xf>
    <xf numFmtId="0" fontId="0" fillId="4" borderId="1" xfId="0" applyFill="1" applyBorder="1" applyAlignment="1">
      <alignment horizontal="right" vertical="top"/>
    </xf>
    <xf numFmtId="0" fontId="0" fillId="10" borderId="1" xfId="0" applyFill="1" applyBorder="1" applyAlignment="1">
      <alignment vertical="top"/>
    </xf>
    <xf numFmtId="2" fontId="16" fillId="0" borderId="1" xfId="0" applyNumberFormat="1" applyFont="1" applyBorder="1" applyAlignment="1" applyProtection="1">
      <alignment vertical="top"/>
      <protection locked="0"/>
    </xf>
    <xf numFmtId="0" fontId="0" fillId="0" borderId="1" xfId="0" applyBorder="1" applyAlignment="1">
      <alignment vertical="top"/>
    </xf>
    <xf numFmtId="0" fontId="0" fillId="0" borderId="1" xfId="0" applyBorder="1" applyAlignment="1">
      <alignment horizontal="right"/>
    </xf>
    <xf numFmtId="0" fontId="0" fillId="14" borderId="1" xfId="0" applyFill="1" applyBorder="1" applyAlignment="1">
      <alignment horizontal="center" vertical="center"/>
    </xf>
    <xf numFmtId="0" fontId="0" fillId="0" borderId="1" xfId="0" applyBorder="1" applyAlignment="1">
      <alignment horizontal="right" vertical="center"/>
    </xf>
    <xf numFmtId="0" fontId="0" fillId="14" borderId="0" xfId="0" applyFill="1" applyAlignment="1" applyProtection="1">
      <alignment horizontal="center" vertical="center"/>
      <protection locked="0"/>
    </xf>
    <xf numFmtId="168" fontId="0" fillId="9" borderId="1" xfId="0" applyNumberFormat="1" applyFill="1" applyBorder="1" applyAlignment="1">
      <alignment vertical="top"/>
    </xf>
    <xf numFmtId="166" fontId="0" fillId="10" borderId="1" xfId="0" applyNumberFormat="1" applyFill="1" applyBorder="1" applyAlignment="1">
      <alignment vertical="top"/>
    </xf>
    <xf numFmtId="2" fontId="0" fillId="7" borderId="1" xfId="0" applyNumberFormat="1" applyFill="1" applyBorder="1" applyAlignment="1">
      <alignment vertical="top"/>
    </xf>
    <xf numFmtId="166" fontId="0" fillId="0" borderId="0" xfId="0" applyNumberFormat="1"/>
    <xf numFmtId="164" fontId="16" fillId="0" borderId="1" xfId="0" applyNumberFormat="1" applyFont="1" applyBorder="1" applyAlignment="1" applyProtection="1">
      <alignment vertical="top"/>
      <protection locked="0"/>
    </xf>
    <xf numFmtId="0" fontId="0" fillId="0" borderId="0" xfId="0" applyAlignment="1">
      <alignment horizontal="left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1"/>
    </xf>
    <xf numFmtId="0" fontId="0" fillId="0" borderId="4" xfId="0" applyBorder="1"/>
    <xf numFmtId="0" fontId="0" fillId="9" borderId="1" xfId="0" applyFill="1" applyBorder="1" applyAlignment="1">
      <alignment horizontal="center"/>
    </xf>
    <xf numFmtId="0" fontId="0" fillId="0" borderId="5" xfId="0" applyBorder="1"/>
    <xf numFmtId="0" fontId="16" fillId="7" borderId="1" xfId="0" applyFont="1" applyFill="1" applyBorder="1" applyAlignment="1" applyProtection="1">
      <alignment horizontal="center" vertical="center"/>
      <protection locked="0"/>
    </xf>
    <xf numFmtId="0" fontId="0" fillId="0" borderId="1" xfId="0" applyBorder="1" applyAlignment="1">
      <alignment horizontal="left" vertical="center"/>
    </xf>
    <xf numFmtId="0" fontId="0" fillId="11" borderId="1" xfId="0" applyFill="1" applyBorder="1" applyAlignment="1" applyProtection="1">
      <alignment horizontal="center" vertical="center"/>
      <protection locked="0"/>
    </xf>
    <xf numFmtId="0" fontId="0" fillId="4" borderId="1" xfId="0" applyFill="1" applyBorder="1" applyAlignment="1">
      <alignment horizontal="left" vertical="center"/>
    </xf>
    <xf numFmtId="166" fontId="0" fillId="10" borderId="1" xfId="0" applyNumberFormat="1" applyFill="1" applyBorder="1"/>
    <xf numFmtId="1" fontId="0" fillId="10" borderId="0" xfId="0" applyNumberFormat="1" applyFill="1" applyAlignment="1">
      <alignment horizontal="center" vertical="center"/>
    </xf>
    <xf numFmtId="0" fontId="22" fillId="0" borderId="0" xfId="0" applyFont="1" applyAlignment="1">
      <alignment horizontal="right" vertical="center"/>
    </xf>
    <xf numFmtId="0" fontId="22" fillId="0" borderId="0" xfId="0" applyFont="1" applyAlignment="1">
      <alignment horizontal="left" vertical="center"/>
    </xf>
    <xf numFmtId="166" fontId="0" fillId="15" borderId="1" xfId="0" applyNumberFormat="1" applyFill="1" applyBorder="1"/>
    <xf numFmtId="0" fontId="20" fillId="13" borderId="0" xfId="0" applyFont="1" applyFill="1" applyAlignment="1">
      <alignment vertical="center"/>
    </xf>
    <xf numFmtId="166" fontId="0" fillId="0" borderId="1" xfId="0" applyNumberFormat="1" applyBorder="1"/>
    <xf numFmtId="0" fontId="0" fillId="18" borderId="1" xfId="0" applyFill="1" applyBorder="1"/>
    <xf numFmtId="0" fontId="0" fillId="4" borderId="0" xfId="0" applyFill="1" applyAlignment="1">
      <alignment vertical="center"/>
    </xf>
    <xf numFmtId="0" fontId="22" fillId="0" borderId="0" xfId="0" applyFont="1" applyAlignment="1">
      <alignment vertical="center"/>
    </xf>
    <xf numFmtId="0" fontId="31" fillId="5" borderId="1" xfId="0" applyFont="1" applyFill="1" applyBorder="1" applyAlignment="1">
      <alignment horizontal="center" vertical="center"/>
    </xf>
    <xf numFmtId="0" fontId="32" fillId="5" borderId="1" xfId="0" applyFont="1" applyFill="1" applyBorder="1" applyAlignment="1">
      <alignment horizontal="center" vertical="center"/>
    </xf>
    <xf numFmtId="0" fontId="20" fillId="5" borderId="1" xfId="0" applyFont="1" applyFill="1" applyBorder="1" applyAlignment="1">
      <alignment horizontal="center" vertical="center"/>
    </xf>
    <xf numFmtId="0" fontId="32" fillId="5" borderId="7" xfId="0" applyFont="1" applyFill="1" applyBorder="1" applyAlignment="1">
      <alignment horizontal="center" vertical="center"/>
    </xf>
    <xf numFmtId="0" fontId="31" fillId="5" borderId="5" xfId="0" applyFont="1" applyFill="1" applyBorder="1" applyAlignment="1">
      <alignment horizontal="center" vertical="center"/>
    </xf>
    <xf numFmtId="0" fontId="20" fillId="5" borderId="7" xfId="0" applyFont="1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23" fillId="19" borderId="7" xfId="0" applyFont="1" applyFill="1" applyBorder="1" applyAlignment="1">
      <alignment horizontal="center" vertical="center"/>
    </xf>
    <xf numFmtId="0" fontId="23" fillId="5" borderId="7" xfId="0" applyFont="1" applyFill="1" applyBorder="1" applyAlignment="1">
      <alignment horizontal="center" vertical="center"/>
    </xf>
    <xf numFmtId="0" fontId="0" fillId="19" borderId="7" xfId="0" applyFill="1" applyBorder="1" applyAlignment="1">
      <alignment horizontal="center" vertical="center"/>
    </xf>
    <xf numFmtId="11" fontId="23" fillId="5" borderId="7" xfId="0" applyNumberFormat="1" applyFont="1" applyFill="1" applyBorder="1" applyAlignment="1">
      <alignment horizontal="center" vertical="center"/>
    </xf>
    <xf numFmtId="0" fontId="0" fillId="14" borderId="0" xfId="0" applyFill="1" applyAlignment="1">
      <alignment vertical="center"/>
    </xf>
    <xf numFmtId="11" fontId="2" fillId="7" borderId="1" xfId="0" applyNumberFormat="1" applyFont="1" applyFill="1" applyBorder="1" applyAlignment="1">
      <alignment horizontal="center" vertical="center"/>
    </xf>
    <xf numFmtId="0" fontId="2" fillId="7" borderId="1" xfId="0" applyFont="1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2" fillId="9" borderId="0" xfId="0" applyFont="1" applyFill="1" applyAlignment="1">
      <alignment horizontal="left" vertical="center"/>
    </xf>
    <xf numFmtId="0" fontId="0" fillId="7" borderId="1" xfId="0" applyFill="1" applyBorder="1" applyAlignment="1" applyProtection="1">
      <alignment vertical="center"/>
      <protection locked="0"/>
    </xf>
    <xf numFmtId="0" fontId="0" fillId="0" borderId="1" xfId="0" applyBorder="1" applyAlignment="1">
      <alignment vertical="center"/>
    </xf>
    <xf numFmtId="0" fontId="0" fillId="10" borderId="0" xfId="0" applyFill="1" applyAlignment="1">
      <alignment horizontal="center" vertical="center"/>
    </xf>
    <xf numFmtId="0" fontId="20" fillId="4" borderId="0" xfId="0" applyFont="1" applyFill="1"/>
    <xf numFmtId="0" fontId="0" fillId="16" borderId="1" xfId="0" applyFill="1" applyBorder="1" applyAlignment="1">
      <alignment horizontal="center" vertical="center"/>
    </xf>
    <xf numFmtId="0" fontId="0" fillId="7" borderId="0" xfId="0" applyFill="1" applyAlignment="1">
      <alignment horizontal="right"/>
    </xf>
    <xf numFmtId="0" fontId="0" fillId="7" borderId="0" xfId="0" applyFill="1" applyAlignment="1">
      <alignment horizontal="center"/>
    </xf>
    <xf numFmtId="0" fontId="0" fillId="11" borderId="0" xfId="0" applyFill="1"/>
    <xf numFmtId="0" fontId="0" fillId="0" borderId="1" xfId="0" applyBorder="1" applyAlignment="1">
      <alignment horizontal="center"/>
    </xf>
    <xf numFmtId="0" fontId="0" fillId="0" borderId="12" xfId="0" applyBorder="1" applyAlignment="1">
      <alignment vertical="center"/>
    </xf>
    <xf numFmtId="0" fontId="33" fillId="0" borderId="0" xfId="0" applyFont="1"/>
    <xf numFmtId="168" fontId="33" fillId="10" borderId="1" xfId="0" applyNumberFormat="1" applyFont="1" applyFill="1" applyBorder="1" applyAlignment="1">
      <alignment horizontal="center" vertical="center"/>
    </xf>
    <xf numFmtId="48" fontId="33" fillId="7" borderId="7" xfId="0" applyNumberFormat="1" applyFont="1" applyFill="1" applyBorder="1"/>
    <xf numFmtId="0" fontId="34" fillId="0" borderId="13" xfId="0" applyFont="1" applyBorder="1"/>
    <xf numFmtId="0" fontId="34" fillId="0" borderId="2" xfId="0" applyFont="1" applyBorder="1"/>
    <xf numFmtId="0" fontId="33" fillId="0" borderId="10" xfId="0" applyFont="1" applyBorder="1"/>
    <xf numFmtId="11" fontId="0" fillId="0" borderId="1" xfId="0" applyNumberFormat="1" applyBorder="1" applyAlignment="1">
      <alignment vertical="center"/>
    </xf>
    <xf numFmtId="0" fontId="33" fillId="18" borderId="1" xfId="0" applyFont="1" applyFill="1" applyBorder="1" applyAlignment="1">
      <alignment horizontal="center" vertical="center"/>
    </xf>
    <xf numFmtId="11" fontId="33" fillId="10" borderId="1" xfId="0" applyNumberFormat="1" applyFont="1" applyFill="1" applyBorder="1"/>
    <xf numFmtId="0" fontId="34" fillId="0" borderId="6" xfId="0" applyFont="1" applyBorder="1"/>
    <xf numFmtId="0" fontId="33" fillId="0" borderId="2" xfId="0" applyFont="1" applyBorder="1"/>
    <xf numFmtId="167" fontId="0" fillId="10" borderId="1" xfId="0" applyNumberFormat="1" applyFill="1" applyBorder="1"/>
    <xf numFmtId="169" fontId="0" fillId="10" borderId="1" xfId="0" applyNumberFormat="1" applyFill="1" applyBorder="1" applyAlignment="1">
      <alignment horizontal="right" vertical="center"/>
    </xf>
    <xf numFmtId="4" fontId="0" fillId="10" borderId="1" xfId="0" applyNumberFormat="1" applyFill="1" applyBorder="1" applyAlignment="1">
      <alignment horizontal="right" vertical="center"/>
    </xf>
    <xf numFmtId="0" fontId="0" fillId="2" borderId="0" xfId="0" applyFill="1" applyAlignment="1">
      <alignment horizontal="left" vertical="center"/>
    </xf>
    <xf numFmtId="0" fontId="34" fillId="18" borderId="1" xfId="0" applyFont="1" applyFill="1" applyBorder="1" applyAlignment="1">
      <alignment horizontal="center" vertical="center"/>
    </xf>
    <xf numFmtId="168" fontId="33" fillId="10" borderId="1" xfId="0" applyNumberFormat="1" applyFont="1" applyFill="1" applyBorder="1"/>
    <xf numFmtId="0" fontId="33" fillId="10" borderId="1" xfId="0" applyFont="1" applyFill="1" applyBorder="1"/>
    <xf numFmtId="0" fontId="37" fillId="18" borderId="1" xfId="0" applyFont="1" applyFill="1" applyBorder="1" applyAlignment="1">
      <alignment horizontal="left" vertical="center"/>
    </xf>
    <xf numFmtId="0" fontId="37" fillId="18" borderId="6" xfId="0" applyFont="1" applyFill="1" applyBorder="1" applyAlignment="1">
      <alignment horizontal="left" vertical="center"/>
    </xf>
    <xf numFmtId="0" fontId="37" fillId="18" borderId="2" xfId="0" applyFont="1" applyFill="1" applyBorder="1" applyAlignment="1">
      <alignment horizontal="left" vertical="center"/>
    </xf>
    <xf numFmtId="0" fontId="0" fillId="18" borderId="4" xfId="0" applyFill="1" applyBorder="1"/>
    <xf numFmtId="0" fontId="33" fillId="4" borderId="0" xfId="0" applyFont="1" applyFill="1"/>
    <xf numFmtId="0" fontId="0" fillId="19" borderId="1" xfId="0" applyFill="1" applyBorder="1" applyAlignment="1">
      <alignment horizontal="center" vertical="center"/>
    </xf>
    <xf numFmtId="0" fontId="23" fillId="19" borderId="1" xfId="0" applyFont="1" applyFill="1" applyBorder="1" applyAlignment="1">
      <alignment horizontal="center" vertical="center"/>
    </xf>
    <xf numFmtId="0" fontId="2" fillId="11" borderId="0" xfId="0" applyFont="1" applyFill="1" applyAlignment="1" applyProtection="1">
      <alignment horizontal="center" vertical="center"/>
      <protection locked="0"/>
    </xf>
    <xf numFmtId="170" fontId="7" fillId="0" borderId="7" xfId="1" applyNumberFormat="1" applyFont="1" applyFill="1" applyBorder="1" applyAlignment="1" applyProtection="1">
      <alignment horizontal="right" vertical="center"/>
    </xf>
    <xf numFmtId="0" fontId="33" fillId="0" borderId="1" xfId="0" applyFont="1" applyBorder="1" applyAlignment="1">
      <alignment horizontal="center" vertical="center"/>
    </xf>
    <xf numFmtId="1" fontId="33" fillId="0" borderId="1" xfId="0" applyNumberFormat="1" applyFont="1" applyBorder="1" applyAlignment="1">
      <alignment horizontal="center" vertical="center"/>
    </xf>
    <xf numFmtId="0" fontId="33" fillId="0" borderId="1" xfId="0" applyFont="1" applyBorder="1" applyAlignment="1">
      <alignment vertical="center"/>
    </xf>
    <xf numFmtId="0" fontId="23" fillId="0" borderId="1" xfId="0" applyFont="1" applyBorder="1" applyAlignment="1">
      <alignment horizontal="center" vertical="center"/>
    </xf>
    <xf numFmtId="168" fontId="38" fillId="20" borderId="1" xfId="0" applyNumberFormat="1" applyFont="1" applyFill="1" applyBorder="1" applyAlignment="1">
      <alignment horizontal="center" vertical="center"/>
    </xf>
    <xf numFmtId="167" fontId="0" fillId="7" borderId="1" xfId="0" applyNumberFormat="1" applyFill="1" applyBorder="1" applyAlignment="1">
      <alignment horizontal="right" vertical="center"/>
    </xf>
    <xf numFmtId="169" fontId="0" fillId="10" borderId="1" xfId="0" applyNumberFormat="1" applyFill="1" applyBorder="1" applyAlignment="1">
      <alignment horizontal="center" vertical="center"/>
    </xf>
    <xf numFmtId="169" fontId="0" fillId="10" borderId="1" xfId="0" applyNumberFormat="1" applyFill="1" applyBorder="1" applyAlignment="1">
      <alignment vertical="center"/>
    </xf>
    <xf numFmtId="0" fontId="23" fillId="0" borderId="0" xfId="0" applyFont="1" applyAlignment="1">
      <alignment horizontal="center" vertical="center"/>
    </xf>
    <xf numFmtId="167" fontId="43" fillId="20" borderId="1" xfId="0" applyNumberFormat="1" applyFont="1" applyFill="1" applyBorder="1" applyAlignment="1">
      <alignment horizontal="center" vertical="center"/>
    </xf>
    <xf numFmtId="168" fontId="43" fillId="20" borderId="1" xfId="0" applyNumberFormat="1" applyFont="1" applyFill="1" applyBorder="1" applyAlignment="1">
      <alignment horizontal="center" vertical="center"/>
    </xf>
    <xf numFmtId="2" fontId="33" fillId="0" borderId="1" xfId="0" applyNumberFormat="1" applyFont="1" applyBorder="1" applyAlignment="1">
      <alignment horizontal="center" vertical="center"/>
    </xf>
    <xf numFmtId="0" fontId="2" fillId="4" borderId="0" xfId="0" applyFont="1" applyFill="1" applyAlignment="1">
      <alignment horizontal="left" vertical="center"/>
    </xf>
    <xf numFmtId="11" fontId="7" fillId="0" borderId="3" xfId="1" applyNumberFormat="1" applyFont="1" applyFill="1" applyBorder="1" applyAlignment="1" applyProtection="1">
      <alignment horizontal="right" vertical="center"/>
    </xf>
    <xf numFmtId="0" fontId="34" fillId="0" borderId="1" xfId="0" applyFont="1" applyBorder="1" applyAlignment="1">
      <alignment horizontal="center" vertical="center"/>
    </xf>
    <xf numFmtId="11" fontId="7" fillId="0" borderId="1" xfId="1" applyNumberFormat="1" applyFont="1" applyFill="1" applyBorder="1" applyAlignment="1" applyProtection="1">
      <alignment horizontal="right" vertical="center"/>
    </xf>
    <xf numFmtId="48" fontId="0" fillId="0" borderId="0" xfId="0" applyNumberFormat="1"/>
    <xf numFmtId="0" fontId="48" fillId="0" borderId="0" xfId="0" applyFont="1" applyAlignment="1">
      <alignment horizontal="center" vertical="center"/>
    </xf>
    <xf numFmtId="2" fontId="0" fillId="0" borderId="0" xfId="0" applyNumberFormat="1"/>
    <xf numFmtId="0" fontId="42" fillId="0" borderId="1" xfId="0" applyFont="1" applyBorder="1" applyAlignment="1">
      <alignment horizontal="center" vertical="center"/>
    </xf>
    <xf numFmtId="2" fontId="0" fillId="9" borderId="5" xfId="0" applyNumberFormat="1" applyFill="1" applyBorder="1" applyAlignment="1">
      <alignment horizontal="right" vertical="center"/>
    </xf>
    <xf numFmtId="0" fontId="0" fillId="0" borderId="6" xfId="0" applyBorder="1"/>
    <xf numFmtId="0" fontId="0" fillId="0" borderId="2" xfId="0" applyBorder="1" applyAlignment="1">
      <alignment vertical="center"/>
    </xf>
    <xf numFmtId="11" fontId="7" fillId="0" borderId="7" xfId="1" applyNumberFormat="1" applyFont="1" applyFill="1" applyBorder="1" applyAlignment="1" applyProtection="1">
      <alignment horizontal="right" vertical="center"/>
    </xf>
    <xf numFmtId="0" fontId="49" fillId="0" borderId="1" xfId="0" applyFont="1" applyBorder="1" applyAlignment="1">
      <alignment horizontal="center" vertical="center"/>
    </xf>
    <xf numFmtId="2" fontId="0" fillId="19" borderId="5" xfId="0" applyNumberFormat="1" applyFill="1" applyBorder="1" applyAlignment="1">
      <alignment horizontal="right" vertical="center"/>
    </xf>
    <xf numFmtId="0" fontId="0" fillId="0" borderId="2" xfId="0" applyBorder="1"/>
    <xf numFmtId="0" fontId="0" fillId="2" borderId="0" xfId="0" applyFill="1" applyAlignment="1">
      <alignment horizontal="center" vertical="center"/>
    </xf>
    <xf numFmtId="2" fontId="0" fillId="7" borderId="5" xfId="0" applyNumberFormat="1" applyFill="1" applyBorder="1" applyAlignment="1">
      <alignment vertical="center"/>
    </xf>
    <xf numFmtId="0" fontId="41" fillId="0" borderId="2" xfId="0" applyFont="1" applyBorder="1" applyAlignment="1">
      <alignment vertical="center"/>
    </xf>
    <xf numFmtId="0" fontId="0" fillId="10" borderId="5" xfId="0" applyFill="1" applyBorder="1" applyAlignment="1">
      <alignment vertical="center"/>
    </xf>
    <xf numFmtId="0" fontId="42" fillId="0" borderId="2" xfId="0" applyFont="1" applyBorder="1" applyAlignment="1">
      <alignment vertical="center"/>
    </xf>
    <xf numFmtId="1" fontId="15" fillId="21" borderId="1" xfId="0" applyNumberFormat="1" applyFont="1" applyFill="1" applyBorder="1" applyAlignment="1" applyProtection="1">
      <alignment horizontal="center" vertical="center"/>
      <protection locked="0"/>
    </xf>
    <xf numFmtId="0" fontId="51" fillId="0" borderId="1" xfId="0" applyFont="1" applyBorder="1" applyAlignment="1">
      <alignment horizontal="center" vertical="center"/>
    </xf>
    <xf numFmtId="0" fontId="33" fillId="19" borderId="1" xfId="0" applyFont="1" applyFill="1" applyBorder="1" applyAlignment="1">
      <alignment horizontal="left" vertical="center"/>
    </xf>
    <xf numFmtId="0" fontId="53" fillId="5" borderId="1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167" fontId="0" fillId="0" borderId="0" xfId="0" applyNumberFormat="1" applyAlignment="1">
      <alignment vertical="center"/>
    </xf>
    <xf numFmtId="172" fontId="0" fillId="0" borderId="0" xfId="0" applyNumberFormat="1" applyAlignment="1">
      <alignment vertical="center"/>
    </xf>
    <xf numFmtId="48" fontId="0" fillId="4" borderId="0" xfId="0" applyNumberFormat="1" applyFill="1"/>
    <xf numFmtId="0" fontId="0" fillId="2" borderId="0" xfId="0" applyFill="1" applyAlignment="1">
      <alignment vertical="center"/>
    </xf>
    <xf numFmtId="2" fontId="0" fillId="10" borderId="0" xfId="0" applyNumberFormat="1" applyFill="1" applyAlignment="1">
      <alignment horizontal="center" vertical="center"/>
    </xf>
    <xf numFmtId="9" fontId="0" fillId="3" borderId="0" xfId="1" applyFont="1" applyFill="1" applyAlignment="1" applyProtection="1">
      <alignment horizontal="center" vertical="center"/>
    </xf>
    <xf numFmtId="0" fontId="0" fillId="19" borderId="0" xfId="0" applyFill="1" applyAlignment="1">
      <alignment horizontal="center" vertical="center"/>
    </xf>
    <xf numFmtId="0" fontId="0" fillId="2" borderId="0" xfId="0" applyFill="1" applyAlignment="1">
      <alignment horizontal="right" vertical="center"/>
    </xf>
    <xf numFmtId="0" fontId="0" fillId="9" borderId="5" xfId="0" applyFill="1" applyBorder="1" applyAlignment="1">
      <alignment vertical="center"/>
    </xf>
    <xf numFmtId="0" fontId="0" fillId="4" borderId="0" xfId="0" applyFill="1" applyAlignment="1">
      <alignment horizontal="center" vertical="center"/>
    </xf>
    <xf numFmtId="0" fontId="2" fillId="5" borderId="1" xfId="0" applyFont="1" applyFill="1" applyBorder="1" applyAlignment="1">
      <alignment horizontal="center"/>
    </xf>
    <xf numFmtId="0" fontId="2" fillId="5" borderId="5" xfId="0" applyFont="1" applyFill="1" applyBorder="1" applyAlignment="1">
      <alignment horizontal="center"/>
    </xf>
    <xf numFmtId="0" fontId="0" fillId="5" borderId="5" xfId="0" applyFill="1" applyBorder="1"/>
    <xf numFmtId="0" fontId="0" fillId="5" borderId="6" xfId="0" applyFill="1" applyBorder="1"/>
    <xf numFmtId="0" fontId="2" fillId="5" borderId="6" xfId="0" applyFont="1" applyFill="1" applyBorder="1"/>
    <xf numFmtId="0" fontId="2" fillId="5" borderId="2" xfId="0" applyFont="1" applyFill="1" applyBorder="1" applyAlignment="1">
      <alignment horizontal="center"/>
    </xf>
    <xf numFmtId="0" fontId="60" fillId="4" borderId="0" xfId="0" applyFont="1" applyFill="1" applyAlignment="1">
      <alignment vertical="center"/>
    </xf>
    <xf numFmtId="0" fontId="49" fillId="0" borderId="0" xfId="0" applyFont="1"/>
    <xf numFmtId="0" fontId="49" fillId="0" borderId="0" xfId="0" applyFont="1" applyAlignment="1">
      <alignment horizontal="center"/>
    </xf>
    <xf numFmtId="0" fontId="49" fillId="0" borderId="0" xfId="0" applyFont="1" applyAlignment="1">
      <alignment vertical="center"/>
    </xf>
    <xf numFmtId="0" fontId="49" fillId="0" borderId="0" xfId="0" applyFont="1" applyAlignment="1">
      <alignment horizontal="center" vertical="center"/>
    </xf>
    <xf numFmtId="0" fontId="49" fillId="0" borderId="0" xfId="0" applyFont="1" applyAlignment="1">
      <alignment vertical="top" wrapText="1"/>
    </xf>
    <xf numFmtId="0" fontId="63" fillId="0" borderId="0" xfId="0" applyFont="1" applyAlignment="1">
      <alignment horizontal="left" indent="1"/>
    </xf>
    <xf numFmtId="0" fontId="64" fillId="0" borderId="1" xfId="0" applyFont="1" applyBorder="1" applyAlignment="1">
      <alignment vertical="center"/>
    </xf>
    <xf numFmtId="0" fontId="64" fillId="0" borderId="1" xfId="0" applyFont="1" applyBorder="1" applyAlignment="1">
      <alignment vertical="center" wrapText="1"/>
    </xf>
    <xf numFmtId="0" fontId="65" fillId="18" borderId="1" xfId="0" applyFont="1" applyFill="1" applyBorder="1" applyAlignment="1">
      <alignment horizontal="center" vertical="center"/>
    </xf>
    <xf numFmtId="0" fontId="49" fillId="0" borderId="0" xfId="0" applyFont="1" applyAlignment="1">
      <alignment horizontal="justify" vertical="top" wrapText="1"/>
    </xf>
    <xf numFmtId="164" fontId="49" fillId="0" borderId="0" xfId="0" applyNumberFormat="1" applyFont="1" applyAlignment="1">
      <alignment horizontal="center" vertical="center"/>
    </xf>
    <xf numFmtId="0" fontId="49" fillId="0" borderId="0" xfId="0" applyFont="1" applyAlignment="1">
      <alignment horizontal="left" vertical="center"/>
    </xf>
    <xf numFmtId="1" fontId="49" fillId="0" borderId="0" xfId="0" applyNumberFormat="1" applyFont="1" applyAlignment="1">
      <alignment horizontal="center" vertical="center"/>
    </xf>
    <xf numFmtId="0" fontId="49" fillId="0" borderId="0" xfId="0" applyFont="1" applyAlignment="1">
      <alignment horizontal="right" vertical="center"/>
    </xf>
    <xf numFmtId="0" fontId="63" fillId="0" borderId="0" xfId="0" applyFont="1" applyAlignment="1">
      <alignment vertical="center"/>
    </xf>
    <xf numFmtId="0" fontId="63" fillId="0" borderId="0" xfId="0" applyFont="1" applyAlignment="1">
      <alignment horizontal="left" vertical="center"/>
    </xf>
    <xf numFmtId="0" fontId="49" fillId="0" borderId="0" xfId="0" applyFont="1" applyAlignment="1">
      <alignment horizontal="left" vertical="center" wrapText="1"/>
    </xf>
    <xf numFmtId="165" fontId="21" fillId="0" borderId="0" xfId="0" applyNumberFormat="1" applyFont="1" applyAlignment="1">
      <alignment horizontal="left" vertical="center"/>
    </xf>
    <xf numFmtId="165" fontId="49" fillId="0" borderId="0" xfId="0" applyNumberFormat="1" applyFont="1" applyAlignment="1">
      <alignment horizontal="left" vertical="center"/>
    </xf>
    <xf numFmtId="49" fontId="2" fillId="0" borderId="0" xfId="0" applyNumberFormat="1" applyFont="1" applyAlignment="1">
      <alignment horizontal="center"/>
    </xf>
    <xf numFmtId="0" fontId="2" fillId="0" borderId="12" xfId="0" applyFont="1" applyBorder="1" applyAlignment="1">
      <alignment horizontal="center"/>
    </xf>
    <xf numFmtId="174" fontId="2" fillId="0" borderId="12" xfId="0" applyNumberFormat="1" applyFont="1" applyBorder="1" applyAlignment="1">
      <alignment horizontal="center"/>
    </xf>
    <xf numFmtId="0" fontId="2" fillId="21" borderId="2" xfId="0" applyFont="1" applyFill="1" applyBorder="1"/>
    <xf numFmtId="165" fontId="49" fillId="0" borderId="0" xfId="0" applyNumberFormat="1" applyFont="1" applyAlignment="1">
      <alignment horizontal="center" vertical="center"/>
    </xf>
    <xf numFmtId="0" fontId="49" fillId="0" borderId="1" xfId="0" applyFont="1" applyBorder="1" applyAlignment="1">
      <alignment vertical="center"/>
    </xf>
    <xf numFmtId="0" fontId="66" fillId="0" borderId="1" xfId="0" applyFont="1" applyBorder="1" applyAlignment="1">
      <alignment vertical="center"/>
    </xf>
    <xf numFmtId="0" fontId="16" fillId="0" borderId="1" xfId="0" applyFont="1" applyBorder="1" applyAlignment="1">
      <alignment vertical="top"/>
    </xf>
    <xf numFmtId="165" fontId="16" fillId="0" borderId="1" xfId="0" applyNumberFormat="1" applyFont="1" applyBorder="1" applyAlignment="1">
      <alignment vertical="top"/>
    </xf>
    <xf numFmtId="0" fontId="0" fillId="7" borderId="1" xfId="0" applyFill="1" applyBorder="1" applyAlignment="1">
      <alignment vertical="top"/>
    </xf>
    <xf numFmtId="11" fontId="16" fillId="0" borderId="1" xfId="0" applyNumberFormat="1" applyFont="1" applyBorder="1" applyAlignment="1">
      <alignment vertical="top"/>
    </xf>
    <xf numFmtId="175" fontId="0" fillId="7" borderId="1" xfId="0" applyNumberFormat="1" applyFill="1" applyBorder="1" applyAlignment="1">
      <alignment vertical="top"/>
    </xf>
    <xf numFmtId="3" fontId="20" fillId="20" borderId="1" xfId="0" applyNumberFormat="1" applyFont="1" applyFill="1" applyBorder="1" applyAlignment="1">
      <alignment horizontal="right" vertical="top"/>
    </xf>
    <xf numFmtId="0" fontId="0" fillId="0" borderId="1" xfId="0" applyBorder="1" applyAlignment="1">
      <alignment horizontal="center" vertical="top"/>
    </xf>
    <xf numFmtId="49" fontId="20" fillId="7" borderId="1" xfId="0" applyNumberFormat="1" applyFont="1" applyFill="1" applyBorder="1" applyAlignment="1">
      <alignment horizontal="left" vertical="top"/>
    </xf>
    <xf numFmtId="0" fontId="1" fillId="0" borderId="3" xfId="0" applyFont="1" applyBorder="1" applyAlignment="1">
      <alignment vertical="top"/>
    </xf>
    <xf numFmtId="0" fontId="0" fillId="7" borderId="0" xfId="0" applyFill="1" applyAlignment="1">
      <alignment vertical="top"/>
    </xf>
    <xf numFmtId="0" fontId="16" fillId="0" borderId="14" xfId="0" applyFont="1" applyBorder="1" applyAlignment="1">
      <alignment vertical="top"/>
    </xf>
    <xf numFmtId="0" fontId="0" fillId="7" borderId="6" xfId="0" applyFill="1" applyBorder="1" applyAlignment="1">
      <alignment vertical="top"/>
    </xf>
    <xf numFmtId="175" fontId="0" fillId="7" borderId="6" xfId="0" applyNumberFormat="1" applyFill="1" applyBorder="1" applyAlignment="1">
      <alignment vertical="top"/>
    </xf>
    <xf numFmtId="3" fontId="20" fillId="20" borderId="2" xfId="0" applyNumberFormat="1" applyFont="1" applyFill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7" borderId="0" xfId="0" applyFont="1" applyFill="1" applyAlignment="1">
      <alignment vertical="top"/>
    </xf>
    <xf numFmtId="0" fontId="1" fillId="7" borderId="12" xfId="0" applyFont="1" applyFill="1" applyBorder="1" applyAlignment="1">
      <alignment vertical="top"/>
    </xf>
    <xf numFmtId="3" fontId="67" fillId="20" borderId="1" xfId="0" applyNumberFormat="1" applyFont="1" applyFill="1" applyBorder="1" applyAlignment="1">
      <alignment horizontal="right" vertical="top"/>
    </xf>
    <xf numFmtId="0" fontId="5" fillId="0" borderId="1" xfId="0" applyFont="1" applyBorder="1" applyAlignment="1">
      <alignment horizontal="center" vertical="center"/>
    </xf>
    <xf numFmtId="166" fontId="0" fillId="0" borderId="1" xfId="0" applyNumberFormat="1" applyBorder="1" applyAlignment="1">
      <alignment vertical="center"/>
    </xf>
    <xf numFmtId="168" fontId="0" fillId="0" borderId="1" xfId="0" applyNumberFormat="1" applyBorder="1" applyAlignment="1">
      <alignment vertical="center"/>
    </xf>
    <xf numFmtId="176" fontId="68" fillId="0" borderId="0" xfId="0" applyNumberFormat="1" applyFont="1" applyAlignment="1">
      <alignment horizontal="center" vertical="center" wrapText="1"/>
    </xf>
    <xf numFmtId="176" fontId="68" fillId="0" borderId="1" xfId="0" applyNumberFormat="1" applyFont="1" applyBorder="1" applyAlignment="1">
      <alignment horizontal="center" vertical="center" wrapText="1"/>
    </xf>
    <xf numFmtId="176" fontId="69" fillId="0" borderId="1" xfId="0" applyNumberFormat="1" applyFont="1" applyBorder="1" applyAlignment="1">
      <alignment horizontal="center" vertical="center"/>
    </xf>
    <xf numFmtId="4" fontId="69" fillId="0" borderId="1" xfId="0" applyNumberFormat="1" applyFont="1" applyBorder="1" applyAlignment="1">
      <alignment horizontal="center" vertical="center"/>
    </xf>
    <xf numFmtId="176" fontId="69" fillId="0" borderId="1" xfId="0" applyNumberFormat="1" applyFont="1" applyBorder="1" applyAlignment="1">
      <alignment horizontal="center" vertical="center" wrapText="1"/>
    </xf>
    <xf numFmtId="177" fontId="69" fillId="0" borderId="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vertical="center"/>
    </xf>
    <xf numFmtId="3" fontId="69" fillId="0" borderId="0" xfId="0" applyNumberFormat="1" applyFont="1" applyAlignment="1">
      <alignment horizontal="center" vertical="center" wrapText="1"/>
    </xf>
    <xf numFmtId="3" fontId="69" fillId="0" borderId="1" xfId="0" applyNumberFormat="1" applyFont="1" applyBorder="1" applyAlignment="1">
      <alignment horizontal="center" vertical="center"/>
    </xf>
    <xf numFmtId="2" fontId="69" fillId="0" borderId="1" xfId="0" applyNumberFormat="1" applyFont="1" applyBorder="1" applyAlignment="1">
      <alignment vertical="center" wrapText="1"/>
    </xf>
    <xf numFmtId="2" fontId="69" fillId="0" borderId="1" xfId="0" applyNumberFormat="1" applyFont="1" applyBorder="1" applyAlignment="1">
      <alignment vertical="center"/>
    </xf>
    <xf numFmtId="1" fontId="69" fillId="19" borderId="1" xfId="0" applyNumberFormat="1" applyFont="1" applyFill="1" applyBorder="1" applyAlignment="1">
      <alignment vertical="center"/>
    </xf>
    <xf numFmtId="0" fontId="49" fillId="0" borderId="9" xfId="0" applyFont="1" applyBorder="1" applyAlignment="1">
      <alignment horizontal="center" vertical="center" wrapText="1"/>
    </xf>
    <xf numFmtId="0" fontId="49" fillId="0" borderId="3" xfId="0" applyFont="1" applyBorder="1" applyAlignment="1">
      <alignment horizontal="center" vertical="center" wrapText="1"/>
    </xf>
    <xf numFmtId="0" fontId="49" fillId="0" borderId="4" xfId="0" applyFont="1" applyBorder="1" applyAlignment="1">
      <alignment vertical="center"/>
    </xf>
    <xf numFmtId="3" fontId="69" fillId="0" borderId="0" xfId="0" applyNumberFormat="1" applyFont="1" applyAlignment="1">
      <alignment horizontal="center" vertical="center"/>
    </xf>
    <xf numFmtId="0" fontId="49" fillId="0" borderId="2" xfId="0" applyFont="1" applyBorder="1" applyAlignment="1">
      <alignment horizontal="center" vertical="center" wrapText="1"/>
    </xf>
    <xf numFmtId="0" fontId="49" fillId="0" borderId="1" xfId="0" applyFont="1" applyBorder="1" applyAlignment="1">
      <alignment horizontal="center" vertical="center" wrapText="1"/>
    </xf>
    <xf numFmtId="0" fontId="49" fillId="0" borderId="5" xfId="0" applyFont="1" applyBorder="1" applyAlignment="1">
      <alignment vertical="center"/>
    </xf>
    <xf numFmtId="0" fontId="16" fillId="0" borderId="8" xfId="0" applyFont="1" applyBorder="1" applyAlignment="1">
      <alignment vertical="top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2" fontId="2" fillId="5" borderId="1" xfId="0" applyNumberFormat="1" applyFont="1" applyFill="1" applyBorder="1" applyAlignment="1">
      <alignment horizontal="center" vertical="center"/>
    </xf>
    <xf numFmtId="1" fontId="69" fillId="0" borderId="0" xfId="0" applyNumberFormat="1" applyFont="1" applyAlignment="1">
      <alignment vertical="center" wrapText="1"/>
    </xf>
    <xf numFmtId="9" fontId="2" fillId="5" borderId="1" xfId="1" applyFont="1" applyFill="1" applyBorder="1" applyAlignment="1">
      <alignment horizontal="center" vertical="center"/>
    </xf>
    <xf numFmtId="0" fontId="0" fillId="5" borderId="1" xfId="0" applyFill="1" applyBorder="1"/>
    <xf numFmtId="177" fontId="20" fillId="20" borderId="1" xfId="0" applyNumberFormat="1" applyFont="1" applyFill="1" applyBorder="1" applyAlignment="1">
      <alignment horizontal="right" vertical="top"/>
    </xf>
    <xf numFmtId="0" fontId="66" fillId="16" borderId="1" xfId="0" applyFont="1" applyFill="1" applyBorder="1" applyAlignment="1">
      <alignment horizontal="center" vertical="center"/>
    </xf>
    <xf numFmtId="0" fontId="66" fillId="16" borderId="5" xfId="0" applyFont="1" applyFill="1" applyBorder="1" applyAlignment="1">
      <alignment horizontal="center" vertical="center"/>
    </xf>
    <xf numFmtId="4" fontId="20" fillId="20" borderId="1" xfId="0" applyNumberFormat="1" applyFont="1" applyFill="1" applyBorder="1" applyAlignment="1">
      <alignment horizontal="right" vertical="top"/>
    </xf>
    <xf numFmtId="0" fontId="49" fillId="5" borderId="10" xfId="0" applyFont="1" applyFill="1" applyBorder="1" applyAlignment="1">
      <alignment horizontal="center" vertical="center" wrapText="1"/>
    </xf>
    <xf numFmtId="0" fontId="49" fillId="5" borderId="7" xfId="0" applyFont="1" applyFill="1" applyBorder="1" applyAlignment="1">
      <alignment horizontal="center" vertical="center" wrapText="1"/>
    </xf>
    <xf numFmtId="0" fontId="49" fillId="5" borderId="11" xfId="0" applyFont="1" applyFill="1" applyBorder="1" applyAlignment="1">
      <alignment horizontal="center" vertical="center" wrapText="1"/>
    </xf>
    <xf numFmtId="0" fontId="23" fillId="16" borderId="7" xfId="0" applyFont="1" applyFill="1" applyBorder="1" applyAlignment="1">
      <alignment horizontal="center" vertical="center" wrapText="1"/>
    </xf>
    <xf numFmtId="0" fontId="0" fillId="16" borderId="7" xfId="0" applyFill="1" applyBorder="1" applyAlignment="1">
      <alignment horizontal="center" vertical="center" wrapText="1"/>
    </xf>
    <xf numFmtId="0" fontId="0" fillId="16" borderId="11" xfId="0" applyFill="1" applyBorder="1" applyAlignment="1">
      <alignment horizontal="center" vertical="center" wrapText="1"/>
    </xf>
    <xf numFmtId="0" fontId="49" fillId="22" borderId="0" xfId="0" applyFont="1" applyFill="1"/>
    <xf numFmtId="4" fontId="0" fillId="0" borderId="0" xfId="0" applyNumberFormat="1"/>
    <xf numFmtId="0" fontId="23" fillId="23" borderId="0" xfId="0" applyFont="1" applyFill="1" applyAlignment="1">
      <alignment horizontal="center" vertical="center"/>
    </xf>
    <xf numFmtId="0" fontId="2" fillId="11" borderId="0" xfId="0" applyFont="1" applyFill="1"/>
    <xf numFmtId="0" fontId="0" fillId="4" borderId="0" xfId="0" applyFill="1" applyAlignment="1">
      <alignment vertical="top"/>
    </xf>
    <xf numFmtId="0" fontId="23" fillId="3" borderId="0" xfId="0" applyFont="1" applyFill="1" applyAlignment="1">
      <alignment horizontal="center" vertical="center"/>
    </xf>
    <xf numFmtId="0" fontId="23" fillId="24" borderId="0" xfId="0" applyFont="1" applyFill="1" applyAlignment="1">
      <alignment horizontal="center" vertical="center"/>
    </xf>
    <xf numFmtId="0" fontId="0" fillId="0" borderId="1" xfId="0" applyBorder="1"/>
    <xf numFmtId="164" fontId="16" fillId="0" borderId="1" xfId="0" applyNumberFormat="1" applyFont="1" applyBorder="1" applyAlignment="1">
      <alignment vertical="top"/>
    </xf>
    <xf numFmtId="0" fontId="16" fillId="0" borderId="5" xfId="0" applyFont="1" applyBorder="1"/>
    <xf numFmtId="0" fontId="16" fillId="0" borderId="6" xfId="0" applyFont="1" applyBorder="1" applyAlignment="1">
      <alignment vertical="top"/>
    </xf>
    <xf numFmtId="0" fontId="16" fillId="0" borderId="5" xfId="0" applyFont="1" applyBorder="1" applyAlignment="1">
      <alignment horizontal="center" vertical="top"/>
    </xf>
    <xf numFmtId="0" fontId="16" fillId="0" borderId="6" xfId="0" applyFont="1" applyBorder="1" applyAlignment="1">
      <alignment horizontal="center" vertical="top"/>
    </xf>
    <xf numFmtId="0" fontId="16" fillId="0" borderId="2" xfId="0" applyFont="1" applyBorder="1" applyAlignment="1">
      <alignment vertical="top"/>
    </xf>
    <xf numFmtId="165" fontId="16" fillId="0" borderId="2" xfId="0" applyNumberFormat="1" applyFont="1" applyBorder="1" applyAlignment="1">
      <alignment vertical="top"/>
    </xf>
    <xf numFmtId="0" fontId="0" fillId="16" borderId="1" xfId="0" applyFill="1" applyBorder="1" applyAlignment="1">
      <alignment horizontal="center" vertical="center" wrapText="1"/>
    </xf>
    <xf numFmtId="178" fontId="0" fillId="10" borderId="1" xfId="0" applyNumberFormat="1" applyFill="1" applyBorder="1" applyAlignment="1">
      <alignment horizontal="right" vertical="center"/>
    </xf>
    <xf numFmtId="0" fontId="81" fillId="0" borderId="0" xfId="0" applyFont="1" applyAlignment="1">
      <alignment vertical="center" wrapText="1"/>
    </xf>
    <xf numFmtId="0" fontId="82" fillId="4" borderId="15" xfId="0" applyFont="1" applyFill="1" applyBorder="1" applyAlignment="1">
      <alignment horizontal="center" vertical="center"/>
    </xf>
    <xf numFmtId="0" fontId="82" fillId="4" borderId="20" xfId="0" applyFont="1" applyFill="1" applyBorder="1" applyAlignment="1">
      <alignment horizontal="center" vertical="center"/>
    </xf>
    <xf numFmtId="0" fontId="81" fillId="25" borderId="0" xfId="0" applyFont="1" applyFill="1"/>
    <xf numFmtId="11" fontId="0" fillId="0" borderId="1" xfId="0" applyNumberFormat="1" applyBorder="1"/>
    <xf numFmtId="0" fontId="82" fillId="0" borderId="0" xfId="0" applyFont="1"/>
    <xf numFmtId="0" fontId="49" fillId="0" borderId="0" xfId="0" applyFont="1" applyAlignment="1" applyProtection="1">
      <alignment horizontal="left" vertical="center" wrapText="1"/>
      <protection locked="0"/>
    </xf>
    <xf numFmtId="0" fontId="49" fillId="0" borderId="0" xfId="0" applyFont="1" applyAlignment="1" applyProtection="1">
      <alignment horizontal="center" vertical="center"/>
      <protection locked="0"/>
    </xf>
    <xf numFmtId="0" fontId="49" fillId="0" borderId="0" xfId="0" applyFont="1" applyAlignment="1" applyProtection="1">
      <alignment horizontal="left" vertical="center"/>
      <protection locked="0"/>
    </xf>
    <xf numFmtId="3" fontId="49" fillId="0" borderId="0" xfId="0" applyNumberFormat="1" applyFont="1" applyAlignment="1">
      <alignment horizontal="left" vertical="center" wrapText="1"/>
    </xf>
    <xf numFmtId="0" fontId="84" fillId="0" borderId="0" xfId="0" applyFont="1" applyAlignment="1">
      <alignment vertical="center"/>
    </xf>
    <xf numFmtId="0" fontId="49" fillId="0" borderId="0" xfId="0" applyFont="1" applyAlignment="1" applyProtection="1">
      <alignment vertical="center" wrapText="1"/>
      <protection locked="0"/>
    </xf>
    <xf numFmtId="0" fontId="49" fillId="0" borderId="0" xfId="0" applyFont="1" applyAlignment="1" applyProtection="1">
      <alignment horizontal="left" vertical="top"/>
      <protection locked="0"/>
    </xf>
    <xf numFmtId="0" fontId="49" fillId="0" borderId="0" xfId="0" applyFont="1" applyAlignment="1">
      <alignment vertical="center" wrapText="1"/>
    </xf>
    <xf numFmtId="0" fontId="85" fillId="28" borderId="0" xfId="0" applyFont="1" applyFill="1" applyAlignment="1" applyProtection="1">
      <alignment horizontal="left" vertical="center" wrapText="1"/>
      <protection locked="0"/>
    </xf>
    <xf numFmtId="0" fontId="85" fillId="28" borderId="0" xfId="0" applyFont="1" applyFill="1" applyAlignment="1" applyProtection="1">
      <alignment horizontal="center"/>
      <protection locked="0"/>
    </xf>
    <xf numFmtId="0" fontId="33" fillId="0" borderId="0" xfId="0" applyFont="1" applyAlignment="1" applyProtection="1">
      <alignment horizontal="center"/>
      <protection locked="0"/>
    </xf>
    <xf numFmtId="0" fontId="33" fillId="0" borderId="0" xfId="0" applyFont="1" applyProtection="1">
      <protection locked="0"/>
    </xf>
    <xf numFmtId="0" fontId="7" fillId="12" borderId="1" xfId="0" applyFont="1" applyFill="1" applyBorder="1" applyAlignment="1">
      <alignment vertical="center" wrapText="1"/>
    </xf>
    <xf numFmtId="0" fontId="7" fillId="5" borderId="6" xfId="0" applyFont="1" applyFill="1" applyBorder="1" applyAlignment="1">
      <alignment horizontal="right" vertical="center" wrapText="1"/>
    </xf>
    <xf numFmtId="0" fontId="7" fillId="5" borderId="6" xfId="0" applyFont="1" applyFill="1" applyBorder="1" applyAlignment="1">
      <alignment horizontal="left" vertical="center" wrapText="1"/>
    </xf>
    <xf numFmtId="0" fontId="0" fillId="4" borderId="6" xfId="0" applyFill="1" applyBorder="1" applyAlignment="1">
      <alignment horizontal="right" vertical="center"/>
    </xf>
    <xf numFmtId="0" fontId="0" fillId="4" borderId="6" xfId="0" applyFill="1" applyBorder="1" applyAlignment="1">
      <alignment horizontal="center" vertical="center"/>
    </xf>
    <xf numFmtId="171" fontId="7" fillId="9" borderId="1" xfId="0" applyNumberFormat="1" applyFont="1" applyFill="1" applyBorder="1" applyAlignment="1">
      <alignment horizontal="right" vertical="center"/>
    </xf>
    <xf numFmtId="0" fontId="0" fillId="0" borderId="6" xfId="0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170" fontId="7" fillId="9" borderId="1" xfId="0" applyNumberFormat="1" applyFont="1" applyFill="1" applyBorder="1" applyAlignment="1">
      <alignment horizontal="right" vertical="center"/>
    </xf>
    <xf numFmtId="0" fontId="0" fillId="0" borderId="1" xfId="0" applyBorder="1" applyProtection="1">
      <protection locked="0"/>
    </xf>
    <xf numFmtId="0" fontId="0" fillId="17" borderId="1" xfId="0" applyFill="1" applyBorder="1"/>
    <xf numFmtId="4" fontId="49" fillId="0" borderId="0" xfId="0" applyNumberFormat="1" applyFont="1" applyAlignment="1">
      <alignment horizontal="center" vertical="center"/>
    </xf>
    <xf numFmtId="173" fontId="49" fillId="0" borderId="0" xfId="0" applyNumberFormat="1" applyFont="1" applyAlignment="1">
      <alignment horizontal="center" vertical="center"/>
    </xf>
    <xf numFmtId="0" fontId="0" fillId="17" borderId="1" xfId="0" applyFill="1" applyBorder="1" applyAlignment="1">
      <alignment horizontal="center" vertical="center"/>
    </xf>
    <xf numFmtId="0" fontId="0" fillId="2" borderId="8" xfId="0" applyFill="1" applyBorder="1" applyAlignment="1">
      <alignment horizontal="left" vertical="top" wrapText="1" indent="3"/>
    </xf>
    <xf numFmtId="0" fontId="0" fillId="2" borderId="0" xfId="0" applyFill="1" applyAlignment="1">
      <alignment horizontal="left" vertical="top" wrapText="1" indent="3"/>
    </xf>
    <xf numFmtId="0" fontId="64" fillId="0" borderId="1" xfId="0" applyFont="1" applyBorder="1" applyAlignment="1">
      <alignment horizontal="left" vertical="center"/>
    </xf>
    <xf numFmtId="0" fontId="64" fillId="0" borderId="1" xfId="0" applyFont="1" applyBorder="1" applyAlignment="1">
      <alignment vertical="center"/>
    </xf>
    <xf numFmtId="165" fontId="64" fillId="0" borderId="1" xfId="0" applyNumberFormat="1" applyFont="1" applyBorder="1" applyAlignment="1">
      <alignment horizontal="center" vertical="center"/>
    </xf>
    <xf numFmtId="173" fontId="49" fillId="0" borderId="5" xfId="0" applyNumberFormat="1" applyFont="1" applyBorder="1" applyAlignment="1">
      <alignment horizontal="center" vertical="center"/>
    </xf>
    <xf numFmtId="173" fontId="49" fillId="0" borderId="1" xfId="0" applyNumberFormat="1" applyFont="1" applyBorder="1" applyAlignment="1">
      <alignment horizontal="center" vertical="center"/>
    </xf>
    <xf numFmtId="4" fontId="49" fillId="0" borderId="1" xfId="0" applyNumberFormat="1" applyFont="1" applyBorder="1" applyAlignment="1">
      <alignment horizontal="center" vertical="center"/>
    </xf>
    <xf numFmtId="0" fontId="65" fillId="18" borderId="1" xfId="0" applyFont="1" applyFill="1" applyBorder="1" applyAlignment="1">
      <alignment horizontal="center" vertical="center"/>
    </xf>
    <xf numFmtId="0" fontId="64" fillId="0" borderId="1" xfId="0" applyFont="1" applyBorder="1" applyAlignment="1">
      <alignment vertical="center" wrapText="1"/>
    </xf>
    <xf numFmtId="165" fontId="21" fillId="0" borderId="0" xfId="0" applyNumberFormat="1" applyFont="1" applyAlignment="1">
      <alignment horizontal="left" vertical="center"/>
    </xf>
    <xf numFmtId="0" fontId="49" fillId="0" borderId="13" xfId="0" applyFont="1" applyBorder="1" applyAlignment="1">
      <alignment horizontal="center"/>
    </xf>
    <xf numFmtId="165" fontId="65" fillId="18" borderId="1" xfId="0" applyNumberFormat="1" applyFont="1" applyFill="1" applyBorder="1" applyAlignment="1">
      <alignment horizontal="center" vertical="center"/>
    </xf>
    <xf numFmtId="0" fontId="63" fillId="0" borderId="1" xfId="0" applyFont="1" applyBorder="1" applyAlignment="1">
      <alignment horizontal="center" vertical="center" wrapText="1"/>
    </xf>
    <xf numFmtId="0" fontId="49" fillId="0" borderId="1" xfId="0" applyFont="1" applyBorder="1" applyAlignment="1">
      <alignment horizontal="center" vertical="center"/>
    </xf>
    <xf numFmtId="0" fontId="49" fillId="0" borderId="0" xfId="0" applyFont="1" applyAlignment="1">
      <alignment horizontal="center" vertical="center"/>
    </xf>
    <xf numFmtId="0" fontId="49" fillId="0" borderId="0" xfId="0" applyFont="1" applyAlignment="1">
      <alignment horizontal="center"/>
    </xf>
    <xf numFmtId="0" fontId="49" fillId="0" borderId="0" xfId="0" applyFont="1" applyAlignment="1">
      <alignment horizontal="left" vertical="center" wrapText="1"/>
    </xf>
    <xf numFmtId="0" fontId="63" fillId="0" borderId="0" xfId="0" applyFont="1" applyAlignment="1">
      <alignment horizontal="center" vertical="center"/>
    </xf>
    <xf numFmtId="0" fontId="49" fillId="0" borderId="0" xfId="0" applyFont="1" applyAlignment="1">
      <alignment horizontal="justify" vertical="top" wrapText="1"/>
    </xf>
    <xf numFmtId="165" fontId="64" fillId="0" borderId="1" xfId="0" applyNumberFormat="1" applyFont="1" applyBorder="1" applyAlignment="1">
      <alignment horizontal="center" vertical="center" wrapText="1"/>
    </xf>
    <xf numFmtId="0" fontId="64" fillId="0" borderId="1" xfId="0" applyFont="1" applyBorder="1" applyAlignment="1">
      <alignment horizontal="left" vertical="center" wrapText="1"/>
    </xf>
    <xf numFmtId="0" fontId="49" fillId="0" borderId="1" xfId="0" applyFont="1" applyBorder="1" applyAlignment="1">
      <alignment vertical="center"/>
    </xf>
    <xf numFmtId="165" fontId="49" fillId="0" borderId="1" xfId="0" applyNumberFormat="1" applyFont="1" applyBorder="1" applyAlignment="1">
      <alignment horizontal="center" vertical="center"/>
    </xf>
    <xf numFmtId="0" fontId="49" fillId="0" borderId="1" xfId="0" applyFont="1" applyBorder="1" applyAlignment="1">
      <alignment horizontal="left" vertical="center"/>
    </xf>
    <xf numFmtId="0" fontId="66" fillId="0" borderId="1" xfId="0" applyFont="1" applyBorder="1" applyAlignment="1">
      <alignment horizontal="left" vertical="center"/>
    </xf>
    <xf numFmtId="0" fontId="66" fillId="0" borderId="1" xfId="0" applyFont="1" applyBorder="1" applyAlignment="1">
      <alignment vertical="center"/>
    </xf>
    <xf numFmtId="0" fontId="49" fillId="0" borderId="2" xfId="0" applyFont="1" applyBorder="1" applyAlignment="1">
      <alignment horizontal="center" vertical="center"/>
    </xf>
    <xf numFmtId="0" fontId="49" fillId="0" borderId="5" xfId="0" applyFont="1" applyBorder="1" applyAlignment="1">
      <alignment horizontal="center" vertical="center"/>
    </xf>
    <xf numFmtId="165" fontId="66" fillId="0" borderId="1" xfId="0" applyNumberFormat="1" applyFont="1" applyBorder="1" applyAlignment="1">
      <alignment horizontal="center" vertical="center"/>
    </xf>
    <xf numFmtId="2" fontId="49" fillId="0" borderId="1" xfId="0" applyNumberFormat="1" applyFont="1" applyBorder="1" applyAlignment="1">
      <alignment horizontal="center" vertical="center"/>
    </xf>
    <xf numFmtId="0" fontId="0" fillId="16" borderId="2" xfId="0" applyFill="1" applyBorder="1" applyAlignment="1">
      <alignment horizontal="center" vertical="center"/>
    </xf>
    <xf numFmtId="0" fontId="0" fillId="16" borderId="5" xfId="0" applyFill="1" applyBorder="1" applyAlignment="1">
      <alignment horizontal="center" vertical="center"/>
    </xf>
    <xf numFmtId="0" fontId="74" fillId="5" borderId="1" xfId="0" applyFont="1" applyFill="1" applyBorder="1" applyAlignment="1">
      <alignment horizontal="center" vertical="center"/>
    </xf>
    <xf numFmtId="0" fontId="0" fillId="16" borderId="3" xfId="0" applyFill="1" applyBorder="1" applyAlignment="1">
      <alignment horizontal="center" vertical="center" wrapText="1"/>
    </xf>
    <xf numFmtId="0" fontId="0" fillId="16" borderId="7" xfId="0" applyFill="1" applyBorder="1" applyAlignment="1">
      <alignment horizontal="center" vertical="center" wrapText="1"/>
    </xf>
    <xf numFmtId="0" fontId="0" fillId="16" borderId="1" xfId="0" applyFill="1" applyBorder="1" applyAlignment="1">
      <alignment horizontal="center" vertical="center" wrapText="1"/>
    </xf>
    <xf numFmtId="0" fontId="69" fillId="5" borderId="3" xfId="0" applyFont="1" applyFill="1" applyBorder="1" applyAlignment="1">
      <alignment horizontal="center" wrapText="1"/>
    </xf>
    <xf numFmtId="0" fontId="69" fillId="5" borderId="7" xfId="0" applyFont="1" applyFill="1" applyBorder="1" applyAlignment="1">
      <alignment horizontal="center" wrapText="1"/>
    </xf>
    <xf numFmtId="0" fontId="71" fillId="5" borderId="1" xfId="0" applyFont="1" applyFill="1" applyBorder="1" applyAlignment="1">
      <alignment horizontal="center" vertical="center"/>
    </xf>
    <xf numFmtId="0" fontId="51" fillId="16" borderId="1" xfId="0" applyFont="1" applyFill="1" applyBorder="1" applyAlignment="1">
      <alignment horizontal="center" vertical="center"/>
    </xf>
    <xf numFmtId="0" fontId="66" fillId="16" borderId="1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82" fillId="4" borderId="16" xfId="0" applyFont="1" applyFill="1" applyBorder="1" applyAlignment="1">
      <alignment horizontal="center" vertical="center"/>
    </xf>
    <xf numFmtId="0" fontId="82" fillId="4" borderId="15" xfId="0" applyFont="1" applyFill="1" applyBorder="1" applyAlignment="1">
      <alignment horizontal="center" vertical="center"/>
    </xf>
    <xf numFmtId="0" fontId="83" fillId="26" borderId="21" xfId="0" applyFont="1" applyFill="1" applyBorder="1" applyAlignment="1">
      <alignment horizontal="center" vertical="center"/>
    </xf>
    <xf numFmtId="0" fontId="82" fillId="4" borderId="19" xfId="0" applyFont="1" applyFill="1" applyBorder="1" applyAlignment="1">
      <alignment horizontal="center" vertical="center"/>
    </xf>
    <xf numFmtId="0" fontId="82" fillId="4" borderId="18" xfId="0" applyFont="1" applyFill="1" applyBorder="1" applyAlignment="1">
      <alignment horizontal="center" vertical="center"/>
    </xf>
    <xf numFmtId="0" fontId="82" fillId="4" borderId="17" xfId="0" applyFont="1" applyFill="1" applyBorder="1" applyAlignment="1">
      <alignment horizontal="center" vertical="center"/>
    </xf>
    <xf numFmtId="0" fontId="0" fillId="27" borderId="1" xfId="0" applyFill="1" applyBorder="1" applyAlignment="1">
      <alignment horizontal="center"/>
    </xf>
    <xf numFmtId="0" fontId="83" fillId="26" borderId="0" xfId="0" applyFont="1" applyFill="1" applyAlignment="1">
      <alignment horizontal="center" vertical="center"/>
    </xf>
    <xf numFmtId="0" fontId="37" fillId="0" borderId="0" xfId="0" applyFont="1" applyAlignment="1" applyProtection="1">
      <alignment horizontal="center"/>
      <protection locked="0"/>
    </xf>
    <xf numFmtId="0" fontId="33" fillId="0" borderId="0" xfId="0" applyFont="1" applyAlignment="1" applyProtection="1">
      <alignment horizontal="center"/>
      <protection locked="0"/>
    </xf>
  </cellXfs>
  <cellStyles count="2">
    <cellStyle name="Normal" xfId="0" builtinId="0"/>
    <cellStyle name="Porcentaje" xfId="1" builtinId="5"/>
  </cellStyles>
  <dxfs count="255"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FF33CC"/>
        </patternFill>
      </fill>
    </dxf>
    <dxf>
      <fill>
        <patternFill>
          <bgColor rgb="FFFF66FF"/>
        </patternFill>
      </fill>
    </dxf>
    <dxf>
      <fill>
        <patternFill>
          <bgColor rgb="FFCC66FF"/>
        </patternFill>
      </fill>
    </dxf>
    <dxf>
      <fill>
        <patternFill>
          <bgColor rgb="FF66FF66"/>
        </patternFill>
      </fill>
    </dxf>
    <dxf>
      <fill>
        <patternFill>
          <bgColor rgb="FFCC66FF"/>
        </patternFill>
      </fill>
    </dxf>
    <dxf>
      <fill>
        <patternFill>
          <bgColor rgb="FF66FF66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9933"/>
        </patternFill>
      </fill>
    </dxf>
    <dxf>
      <fill>
        <patternFill>
          <bgColor rgb="FF33CC33"/>
        </patternFill>
      </fill>
    </dxf>
    <dxf>
      <fill>
        <patternFill>
          <bgColor rgb="FFFF9900"/>
        </patternFill>
      </fill>
    </dxf>
    <dxf>
      <fill>
        <patternFill>
          <bgColor rgb="FF33CC33"/>
        </patternFill>
      </fill>
    </dxf>
    <dxf>
      <fill>
        <patternFill>
          <bgColor rgb="FFFF9933"/>
        </patternFill>
      </fill>
    </dxf>
    <dxf>
      <fill>
        <patternFill>
          <bgColor rgb="FF33CC3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general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2" tint="-9.9978637043366805E-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numFmt numFmtId="0" formatCode="General"/>
      <alignment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numFmt numFmtId="0" formatCode="General"/>
      <alignment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numFmt numFmtId="0" formatCode="General"/>
      <alignment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numFmt numFmtId="0" formatCode="General"/>
      <alignment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alignment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ptos Narrow"/>
        <scheme val="minor"/>
      </font>
      <alignment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ptos Narrow"/>
        <scheme val="minor"/>
      </font>
      <numFmt numFmtId="165" formatCode="yyyy\-mm\-dd;@"/>
      <alignment vertical="top" textRotation="0" wrapText="0" indent="0" justifyLastLine="0" shrinkToFit="0" readingOrder="0"/>
      <border outline="0">
        <left style="thin">
          <color indexed="64"/>
        </left>
        <right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numFmt numFmtId="0" formatCode="General"/>
      <fill>
        <patternFill patternType="solid">
          <fgColor indexed="64"/>
          <bgColor theme="4"/>
        </patternFill>
      </fill>
      <alignment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ptos Narrow"/>
        <scheme val="minor"/>
      </font>
      <alignment vertical="top" textRotation="0" wrapText="0" indent="0" justifyLastLine="0" shrinkToFit="0" readingOrder="0"/>
      <border outline="0">
        <left style="thin">
          <color indexed="64"/>
        </left>
        <right style="thin">
          <color indexed="64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numFmt numFmtId="0" formatCode="General"/>
      <fill>
        <patternFill patternType="solid">
          <fgColor indexed="64"/>
          <bgColor theme="4"/>
        </patternFill>
      </fill>
      <alignment vertical="top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ptos Narrow"/>
        <scheme val="minor"/>
      </font>
      <numFmt numFmtId="15" formatCode="0.00E+00"/>
      <alignment vertical="top" textRotation="0" wrapText="0" indent="0" justifyLastLine="0" shrinkToFit="0" readingOrder="0"/>
      <border>
        <left/>
        <right style="thin">
          <color indexed="64"/>
        </righ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ptos Narrow"/>
        <scheme val="minor"/>
      </font>
      <alignment vertical="top" textRotation="0" wrapText="0" indent="0" justifyLastLine="0" shrinkToFit="0" readingOrder="0"/>
      <border outline="0">
        <left style="thin">
          <color indexed="64"/>
        </left>
        <right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numFmt numFmtId="175" formatCode="#,##0.000000"/>
      <fill>
        <patternFill patternType="solid">
          <fgColor indexed="64"/>
          <bgColor theme="4"/>
        </patternFill>
      </fill>
      <alignment vertical="top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ptos Narrow"/>
        <scheme val="minor"/>
      </font>
      <numFmt numFmtId="15" formatCode="0.00E+00"/>
      <fill>
        <patternFill patternType="none">
          <fgColor indexed="64"/>
          <bgColor auto="1"/>
        </patternFill>
      </fill>
      <alignment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scheme val="minor"/>
      </font>
      <numFmt numFmtId="4" formatCode="#,##0.0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alignment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scheme val="minor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alignment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top style="thin">
          <color indexed="6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alignment vertical="top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sz val="10"/>
        <color auto="1"/>
        <name val="Arial"/>
        <scheme val="none"/>
      </font>
      <numFmt numFmtId="0" formatCode="General"/>
      <fill>
        <patternFill patternType="solid">
          <fgColor indexed="64"/>
          <bgColor theme="4" tint="0.79998168889431442"/>
        </patternFill>
      </fill>
      <alignment horizontal="center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5" formatCode="yyyy\-mm\-dd;@"/>
      <fill>
        <patternFill patternType="solid">
          <fgColor indexed="64"/>
          <bgColor theme="4" tint="0.79998168889431442"/>
        </patternFill>
      </fill>
      <alignment horizontal="general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top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font>
        <sz val="10"/>
        <color auto="1"/>
        <name val="Arial"/>
        <scheme val="none"/>
      </font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z val="10"/>
        <color auto="1"/>
        <name val="Arial"/>
        <scheme val="none"/>
      </font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theme="4" tint="0.79998168889431442"/>
        </patternFill>
      </fill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</dxf>
    <dxf>
      <border outline="0"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15" formatCode="0.00E+00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alignment horizontal="general" vertical="center" textRotation="0" wrapText="0" indent="0" justifyLastLine="0" shrinkToFit="0" readingOrder="0"/>
      <border outline="0">
        <right style="thin">
          <color indexed="64"/>
        </right>
      </border>
    </dxf>
    <dxf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15" formatCode="0.00E+00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15" formatCode="0.00E+00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15" formatCode="0.00E+00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15" formatCode="0.00E+00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  <protection locked="1" hidden="0"/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15" formatCode="0.00E+00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numFmt numFmtId="15" formatCode="0.00E+00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15" formatCode="0.00E+00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 outline="0">
        <left/>
        <right/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border diagonalUp="0" diagonalDown="0" outline="0">
        <left/>
        <right/>
        <top style="thin">
          <color indexed="64"/>
        </top>
        <bottom/>
      </border>
    </dxf>
    <dxf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15" formatCode="0.00E+00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5" formatCode="0.00E+00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</border>
      <protection locked="0" hidden="0"/>
    </dxf>
    <dxf>
      <alignment horizontal="general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/>
      </border>
    </dxf>
    <dxf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left" vertical="top" textRotation="0" wrapText="0" indent="0" justifyLastLine="0" shrinkToFit="0" readingOrder="0"/>
      <protection locked="0" hidden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vertical="center" textRotation="0" wrapText="0" indent="0" justifyLastLine="0" shrinkToFit="0" readingOrder="0"/>
      <protection locked="0" hidden="0"/>
    </dxf>
    <dxf>
      <alignment horizontal="general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numFmt numFmtId="30" formatCode="@"/>
      <alignment horizontal="left" vertical="top" textRotation="0" wrapText="0" indent="0" justifyLastLine="0" shrinkToFit="0" readingOrder="0"/>
      <protection locked="0" hidden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  <protection locked="0" hidden="0"/>
    </dxf>
    <dxf>
      <alignment horizontal="left" vertical="top" textRotation="0" wrapText="0" indent="0" justifyLastLine="0" shrinkToFit="0" readingOrder="0"/>
    </dxf>
    <dxf>
      <alignment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vmlDrawing5.v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795590</xdr:colOff>
      <xdr:row>47</xdr:row>
      <xdr:rowOff>71068</xdr:rowOff>
    </xdr:from>
    <xdr:ext cx="3047400" cy="203972"/>
    <xdr:grpSp>
      <xdr:nvGrpSpPr>
        <xdr:cNvPr id="2" name="Group 2">
          <a:extLst>
            <a:ext uri="{FF2B5EF4-FFF2-40B4-BE49-F238E27FC236}">
              <a16:creationId xmlns:a16="http://schemas.microsoft.com/office/drawing/2014/main" id="{50612EDA-E3F6-4970-991C-2A8E912F7761}"/>
            </a:ext>
          </a:extLst>
        </xdr:cNvPr>
        <xdr:cNvGrpSpPr/>
      </xdr:nvGrpSpPr>
      <xdr:grpSpPr>
        <a:xfrm>
          <a:off x="3226370" y="9336988"/>
          <a:ext cx="3047400" cy="203972"/>
          <a:chOff x="2881630" y="9072457"/>
          <a:chExt cx="3149600" cy="202776"/>
        </a:xfrm>
      </xdr:grpSpPr>
      <xdr:pic>
        <xdr:nvPicPr>
          <xdr:cNvPr id="3" name="Picture 7">
            <a:extLst>
              <a:ext uri="{FF2B5EF4-FFF2-40B4-BE49-F238E27FC236}">
                <a16:creationId xmlns:a16="http://schemas.microsoft.com/office/drawing/2014/main" id="{D75D4696-FA9E-F1D3-0ACB-D99D739775D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064000" y="9072457"/>
            <a:ext cx="1967230" cy="202776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4" name="Picture 8">
            <a:extLst>
              <a:ext uri="{FF2B5EF4-FFF2-40B4-BE49-F238E27FC236}">
                <a16:creationId xmlns:a16="http://schemas.microsoft.com/office/drawing/2014/main" id="{D5785650-85B2-9ECF-3617-12C6A8DCCE2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881630" y="9095317"/>
            <a:ext cx="803487" cy="157056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oneCellAnchor>
  <xdr:oneCellAnchor>
    <xdr:from>
      <xdr:col>1</xdr:col>
      <xdr:colOff>0</xdr:colOff>
      <xdr:row>40</xdr:row>
      <xdr:rowOff>66977</xdr:rowOff>
    </xdr:from>
    <xdr:ext cx="2041265" cy="579119"/>
    <xdr:grpSp>
      <xdr:nvGrpSpPr>
        <xdr:cNvPr id="5" name="Group 3">
          <a:extLst>
            <a:ext uri="{FF2B5EF4-FFF2-40B4-BE49-F238E27FC236}">
              <a16:creationId xmlns:a16="http://schemas.microsoft.com/office/drawing/2014/main" id="{37A05C52-E989-44AA-8CAC-80B044A1A5C5}"/>
            </a:ext>
          </a:extLst>
        </xdr:cNvPr>
        <xdr:cNvGrpSpPr/>
      </xdr:nvGrpSpPr>
      <xdr:grpSpPr>
        <a:xfrm>
          <a:off x="236220" y="8037497"/>
          <a:ext cx="2041265" cy="579119"/>
          <a:chOff x="276111" y="4442158"/>
          <a:chExt cx="2205321" cy="568363"/>
        </a:xfrm>
      </xdr:grpSpPr>
      <xdr:pic>
        <xdr:nvPicPr>
          <xdr:cNvPr id="6" name="Picture 6">
            <a:extLst>
              <a:ext uri="{FF2B5EF4-FFF2-40B4-BE49-F238E27FC236}">
                <a16:creationId xmlns:a16="http://schemas.microsoft.com/office/drawing/2014/main" id="{1269CDAE-264E-F8E4-FA5E-B8639AD5943B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869945" y="4512834"/>
            <a:ext cx="611487" cy="42701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7" name="Picture 9">
            <a:extLst>
              <a:ext uri="{FF2B5EF4-FFF2-40B4-BE49-F238E27FC236}">
                <a16:creationId xmlns:a16="http://schemas.microsoft.com/office/drawing/2014/main" id="{00AD1C41-0922-A053-E6EF-A3EA343BA13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76111" y="4442158"/>
            <a:ext cx="1429351" cy="568363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oneCellAnchor>
  <xdr:oneCellAnchor>
    <xdr:from>
      <xdr:col>2</xdr:col>
      <xdr:colOff>233083</xdr:colOff>
      <xdr:row>44</xdr:row>
      <xdr:rowOff>27709</xdr:rowOff>
    </xdr:from>
    <xdr:ext cx="1231729" cy="172869"/>
    <xdr:pic>
      <xdr:nvPicPr>
        <xdr:cNvPr id="8" name="Picture 13">
          <a:extLst>
            <a:ext uri="{FF2B5EF4-FFF2-40B4-BE49-F238E27FC236}">
              <a16:creationId xmlns:a16="http://schemas.microsoft.com/office/drawing/2014/main" id="{EC056E4E-6615-4C52-8E3B-898ACF2B14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1482763" y="8074429"/>
          <a:ext cx="1231729" cy="1728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278617</xdr:colOff>
      <xdr:row>54</xdr:row>
      <xdr:rowOff>42134</xdr:rowOff>
    </xdr:from>
    <xdr:ext cx="1701426" cy="208165"/>
    <xdr:pic>
      <xdr:nvPicPr>
        <xdr:cNvPr id="9" name="Picture 16">
          <a:extLst>
            <a:ext uri="{FF2B5EF4-FFF2-40B4-BE49-F238E27FC236}">
              <a16:creationId xmlns:a16="http://schemas.microsoft.com/office/drawing/2014/main" id="{3CDD8E78-ADC2-4392-95A5-CCB762AD9F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903457" y="9917654"/>
          <a:ext cx="1701426" cy="208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47</xdr:col>
      <xdr:colOff>0</xdr:colOff>
      <xdr:row>13</xdr:row>
      <xdr:rowOff>0</xdr:rowOff>
    </xdr:from>
    <xdr:ext cx="304800" cy="304800"/>
    <xdr:sp macro="" textlink="">
      <xdr:nvSpPr>
        <xdr:cNvPr id="2" name="AutoShape 1" descr="C:\Moi\Consultores Med Nic ISO 17025\Investigaci%C3%B3n internet\Estad%C3%ADsticas\La incertidumbre en la medida de una magnitud y el m%C3%A9todo de Montecarlo - Juan Manuel Oliveras Sevilla - tecnicaindustrial.es_files\a2018_img_14.jpg">
          <a:extLst>
            <a:ext uri="{FF2B5EF4-FFF2-40B4-BE49-F238E27FC236}">
              <a16:creationId xmlns:a16="http://schemas.microsoft.com/office/drawing/2014/main" id="{4D9924B1-68CF-4693-A059-F5E435A7C04F}"/>
            </a:ext>
          </a:extLst>
        </xdr:cNvPr>
        <xdr:cNvSpPr>
          <a:spLocks noChangeAspect="1" noChangeArrowheads="1"/>
        </xdr:cNvSpPr>
      </xdr:nvSpPr>
      <xdr:spPr bwMode="auto">
        <a:xfrm>
          <a:off x="28651200" y="23774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46</xdr:col>
      <xdr:colOff>438411</xdr:colOff>
      <xdr:row>12</xdr:row>
      <xdr:rowOff>177452</xdr:rowOff>
    </xdr:from>
    <xdr:ext cx="6129077" cy="9130603"/>
    <xdr:pic>
      <xdr:nvPicPr>
        <xdr:cNvPr id="3" name="Picture 5">
          <a:extLst>
            <a:ext uri="{FF2B5EF4-FFF2-40B4-BE49-F238E27FC236}">
              <a16:creationId xmlns:a16="http://schemas.microsoft.com/office/drawing/2014/main" id="{3D192934-2D35-402A-9A1D-1C70AF8BC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480011" y="2372012"/>
          <a:ext cx="6129077" cy="9130603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134472</xdr:colOff>
      <xdr:row>13</xdr:row>
      <xdr:rowOff>130089</xdr:rowOff>
    </xdr:from>
    <xdr:ext cx="5610775" cy="350840"/>
    <xdr:grpSp>
      <xdr:nvGrpSpPr>
        <xdr:cNvPr id="2" name="Group 3">
          <a:extLst>
            <a:ext uri="{FF2B5EF4-FFF2-40B4-BE49-F238E27FC236}">
              <a16:creationId xmlns:a16="http://schemas.microsoft.com/office/drawing/2014/main" id="{DB0D159E-AC69-4E27-96AD-880611C12DD2}"/>
            </a:ext>
          </a:extLst>
        </xdr:cNvPr>
        <xdr:cNvGrpSpPr/>
      </xdr:nvGrpSpPr>
      <xdr:grpSpPr>
        <a:xfrm>
          <a:off x="12500643" y="2535832"/>
          <a:ext cx="5610775" cy="350840"/>
          <a:chOff x="11510683" y="3160160"/>
          <a:chExt cx="5578759" cy="339314"/>
        </a:xfrm>
      </xdr:grpSpPr>
      <xdr:pic>
        <xdr:nvPicPr>
          <xdr:cNvPr id="3" name="Picture 1">
            <a:extLst>
              <a:ext uri="{FF2B5EF4-FFF2-40B4-BE49-F238E27FC236}">
                <a16:creationId xmlns:a16="http://schemas.microsoft.com/office/drawing/2014/main" id="{09582D6B-F546-5C5A-E9B7-9744B64CD7F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4494550" y="3177982"/>
            <a:ext cx="2594892" cy="30367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4" name="Picture 8">
            <a:extLst>
              <a:ext uri="{FF2B5EF4-FFF2-40B4-BE49-F238E27FC236}">
                <a16:creationId xmlns:a16="http://schemas.microsoft.com/office/drawing/2014/main" id="{6765A0C1-5B8B-E50B-4784-92E7E04B9729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510683" y="3160160"/>
            <a:ext cx="2568388" cy="33931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oneCellAnchor>
  <xdr:oneCellAnchor>
    <xdr:from>
      <xdr:col>12</xdr:col>
      <xdr:colOff>89646</xdr:colOff>
      <xdr:row>6</xdr:row>
      <xdr:rowOff>71718</xdr:rowOff>
    </xdr:from>
    <xdr:ext cx="3167105" cy="305120"/>
    <xdr:grpSp>
      <xdr:nvGrpSpPr>
        <xdr:cNvPr id="5" name="Group 13">
          <a:extLst>
            <a:ext uri="{FF2B5EF4-FFF2-40B4-BE49-F238E27FC236}">
              <a16:creationId xmlns:a16="http://schemas.microsoft.com/office/drawing/2014/main" id="{CA8D3463-B06F-46BC-8EFC-9E2847BB0A99}"/>
            </a:ext>
          </a:extLst>
        </xdr:cNvPr>
        <xdr:cNvGrpSpPr/>
      </xdr:nvGrpSpPr>
      <xdr:grpSpPr>
        <a:xfrm>
          <a:off x="9135675" y="1182061"/>
          <a:ext cx="3167105" cy="305120"/>
          <a:chOff x="7906869" y="1075765"/>
          <a:chExt cx="3200402" cy="293594"/>
        </a:xfrm>
      </xdr:grpSpPr>
      <xdr:pic>
        <xdr:nvPicPr>
          <xdr:cNvPr id="6" name="Picture 11">
            <a:extLst>
              <a:ext uri="{FF2B5EF4-FFF2-40B4-BE49-F238E27FC236}">
                <a16:creationId xmlns:a16="http://schemas.microsoft.com/office/drawing/2014/main" id="{0D70A83F-9337-1013-09F5-8E6C2A083E1A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906869" y="1146362"/>
            <a:ext cx="1452283" cy="1524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7" name="Picture 12">
            <a:extLst>
              <a:ext uri="{FF2B5EF4-FFF2-40B4-BE49-F238E27FC236}">
                <a16:creationId xmlns:a16="http://schemas.microsoft.com/office/drawing/2014/main" id="{6229E5E3-E851-62D1-EF4A-F0ACF013A079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9888071" y="1075765"/>
            <a:ext cx="1219200" cy="29359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oneCellAnchor>
  <xdr:twoCellAnchor>
    <xdr:from>
      <xdr:col>27</xdr:col>
      <xdr:colOff>0</xdr:colOff>
      <xdr:row>0</xdr:row>
      <xdr:rowOff>162661</xdr:rowOff>
    </xdr:from>
    <xdr:to>
      <xdr:col>34</xdr:col>
      <xdr:colOff>570632</xdr:colOff>
      <xdr:row>2</xdr:row>
      <xdr:rowOff>122557</xdr:rowOff>
    </xdr:to>
    <xdr:grpSp>
      <xdr:nvGrpSpPr>
        <xdr:cNvPr id="8" name="Group 9">
          <a:extLst>
            <a:ext uri="{FF2B5EF4-FFF2-40B4-BE49-F238E27FC236}">
              <a16:creationId xmlns:a16="http://schemas.microsoft.com/office/drawing/2014/main" id="{D24E33E8-7959-4624-9ED8-8E04CE1ADA4A}"/>
            </a:ext>
          </a:extLst>
        </xdr:cNvPr>
        <xdr:cNvGrpSpPr/>
      </xdr:nvGrpSpPr>
      <xdr:grpSpPr>
        <a:xfrm>
          <a:off x="18788743" y="162661"/>
          <a:ext cx="6405375" cy="330010"/>
          <a:chOff x="17768047" y="162661"/>
          <a:chExt cx="6406656" cy="318484"/>
        </a:xfrm>
      </xdr:grpSpPr>
      <xdr:pic>
        <xdr:nvPicPr>
          <xdr:cNvPr id="9" name="Picture 2">
            <a:extLst>
              <a:ext uri="{FF2B5EF4-FFF2-40B4-BE49-F238E27FC236}">
                <a16:creationId xmlns:a16="http://schemas.microsoft.com/office/drawing/2014/main" id="{A1E81AE0-6EC2-0314-DC49-650B708C8D8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2068355" y="162661"/>
            <a:ext cx="2106348" cy="31848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0" name="Picture 14">
            <a:extLst>
              <a:ext uri="{FF2B5EF4-FFF2-40B4-BE49-F238E27FC236}">
                <a16:creationId xmlns:a16="http://schemas.microsoft.com/office/drawing/2014/main" id="{D36C6965-0D75-EA2C-831F-F7B88282F04B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0122596" y="175106"/>
            <a:ext cx="1221889" cy="29359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1" name="Picture 15">
            <a:extLst>
              <a:ext uri="{FF2B5EF4-FFF2-40B4-BE49-F238E27FC236}">
                <a16:creationId xmlns:a16="http://schemas.microsoft.com/office/drawing/2014/main" id="{76F8AFAC-4F9F-FB76-1F26-37B045BDC2A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7768047" y="167486"/>
            <a:ext cx="1630680" cy="30883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oneCellAnchor>
    <xdr:from>
      <xdr:col>8</xdr:col>
      <xdr:colOff>0</xdr:colOff>
      <xdr:row>36</xdr:row>
      <xdr:rowOff>0</xdr:rowOff>
    </xdr:from>
    <xdr:ext cx="955994" cy="490853"/>
    <xdr:pic>
      <xdr:nvPicPr>
        <xdr:cNvPr id="12" name="Picture 28">
          <a:extLst>
            <a:ext uri="{FF2B5EF4-FFF2-40B4-BE49-F238E27FC236}">
              <a16:creationId xmlns:a16="http://schemas.microsoft.com/office/drawing/2014/main" id="{EB3C0769-59DE-40CC-9CFD-D9EAE15043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6583680"/>
          <a:ext cx="955994" cy="4908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114792</xdr:colOff>
      <xdr:row>36</xdr:row>
      <xdr:rowOff>21317</xdr:rowOff>
    </xdr:from>
    <xdr:ext cx="1073716" cy="368771"/>
    <xdr:pic>
      <xdr:nvPicPr>
        <xdr:cNvPr id="13" name="Picture 29">
          <a:extLst>
            <a:ext uri="{FF2B5EF4-FFF2-40B4-BE49-F238E27FC236}">
              <a16:creationId xmlns:a16="http://schemas.microsoft.com/office/drawing/2014/main" id="{E2E364EC-2D1E-4C7F-AEED-6E15868EC4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10792" y="6604997"/>
          <a:ext cx="1073716" cy="3687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0</xdr:colOff>
      <xdr:row>1</xdr:row>
      <xdr:rowOff>0</xdr:rowOff>
    </xdr:from>
    <xdr:ext cx="304800" cy="304800"/>
    <xdr:sp macro="" textlink="">
      <xdr:nvSpPr>
        <xdr:cNvPr id="2" name="AutoShape 1" descr="{\ displaystyle P (x) _ () ^ () =}">
          <a:extLst>
            <a:ext uri="{FF2B5EF4-FFF2-40B4-BE49-F238E27FC236}">
              <a16:creationId xmlns:a16="http://schemas.microsoft.com/office/drawing/2014/main" id="{E047EC7D-7327-4D2D-B25A-D6B67E13E537}"/>
            </a:ext>
          </a:extLst>
        </xdr:cNvPr>
        <xdr:cNvSpPr>
          <a:spLocks noChangeAspect="1" noChangeArrowheads="1"/>
        </xdr:cNvSpPr>
      </xdr:nvSpPr>
      <xdr:spPr bwMode="auto">
        <a:xfrm>
          <a:off x="4998720" y="1828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312420</xdr:colOff>
      <xdr:row>1</xdr:row>
      <xdr:rowOff>0</xdr:rowOff>
    </xdr:from>
    <xdr:ext cx="320039" cy="304800"/>
    <xdr:sp macro="" textlink="">
      <xdr:nvSpPr>
        <xdr:cNvPr id="3" name="AutoShape 2" descr="{\ displaystyle a_ (n) x ^ (n) + a_ (n-1) x ^ (n-1) + \ cdots + a_ (1) x ^ (1) + a_ (0) x ^ {0}. }">
          <a:extLst>
            <a:ext uri="{FF2B5EF4-FFF2-40B4-BE49-F238E27FC236}">
              <a16:creationId xmlns:a16="http://schemas.microsoft.com/office/drawing/2014/main" id="{249AA8AB-51EC-40B4-8DDA-7264CC16E7FD}"/>
            </a:ext>
          </a:extLst>
        </xdr:cNvPr>
        <xdr:cNvSpPr>
          <a:spLocks noChangeAspect="1" noChangeArrowheads="1"/>
        </xdr:cNvSpPr>
      </xdr:nvSpPr>
      <xdr:spPr bwMode="auto">
        <a:xfrm>
          <a:off x="5311140" y="182880"/>
          <a:ext cx="320039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441960</xdr:colOff>
      <xdr:row>0</xdr:row>
      <xdr:rowOff>121920</xdr:rowOff>
    </xdr:from>
    <xdr:ext cx="2904259" cy="243840"/>
    <xdr:pic>
      <xdr:nvPicPr>
        <xdr:cNvPr id="4" name="Picture 3">
          <a:extLst>
            <a:ext uri="{FF2B5EF4-FFF2-40B4-BE49-F238E27FC236}">
              <a16:creationId xmlns:a16="http://schemas.microsoft.com/office/drawing/2014/main" id="{FBF0FCCC-02F8-40C0-ADDD-86A094448F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5840" y="121920"/>
          <a:ext cx="2904259" cy="243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358140</xdr:colOff>
      <xdr:row>0</xdr:row>
      <xdr:rowOff>106680</xdr:rowOff>
    </xdr:from>
    <xdr:ext cx="2458488" cy="281940"/>
    <xdr:pic>
      <xdr:nvPicPr>
        <xdr:cNvPr id="5" name="Picture 4">
          <a:extLst>
            <a:ext uri="{FF2B5EF4-FFF2-40B4-BE49-F238E27FC236}">
              <a16:creationId xmlns:a16="http://schemas.microsoft.com/office/drawing/2014/main" id="{91A0A07A-8A31-4979-BBB8-299E78769B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56220" y="106680"/>
          <a:ext cx="2458488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463435</xdr:colOff>
      <xdr:row>0</xdr:row>
      <xdr:rowOff>0</xdr:rowOff>
    </xdr:from>
    <xdr:ext cx="1226820" cy="574617"/>
    <xdr:pic>
      <xdr:nvPicPr>
        <xdr:cNvPr id="6" name="Picture 5">
          <a:extLst>
            <a:ext uri="{FF2B5EF4-FFF2-40B4-BE49-F238E27FC236}">
              <a16:creationId xmlns:a16="http://schemas.microsoft.com/office/drawing/2014/main" id="{263BAD79-D958-4C22-92F4-6BDC89BBB1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60875" y="0"/>
          <a:ext cx="1226820" cy="5746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013B1E3-8513-4313-988F-A9F773A21EFB}" name="tblGenDoc" displayName="tblGenDoc" ref="B2:C10" totalsRowShown="0" headerRowDxfId="254" dataDxfId="253">
  <tableColumns count="2">
    <tableColumn id="1" xr3:uid="{00000000-0010-0000-0000-000001000000}" name="Hoja de cálculo" dataDxfId="252"/>
    <tableColumn id="2" xr3:uid="{00000000-0010-0000-0000-000002000000}" name="Detalles" dataDxfId="251"/>
  </tableColumns>
  <tableStyleInfo name="TableStyleLight13" showFirstColumn="1" showLastColumn="0" showRowStripes="1" showColumnStripes="1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838673A-A2AC-4EA4-B9A5-75016E886E86}" name="tblGenBalanzaCert" displayName="tblGenBalanzaCert" ref="E2:F18" totalsRowShown="0" headerRowDxfId="250" dataDxfId="249">
  <tableColumns count="2">
    <tableColumn id="1" xr3:uid="{00000000-0010-0000-0100-000001000000}" name="Certificado Balanza" dataDxfId="248"/>
    <tableColumn id="2" xr3:uid="{00000000-0010-0000-0100-000002000000}" name="Detalles" dataDxfId="247"/>
  </tableColumns>
  <tableStyleInfo name="TableStyleLight13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8586EFD-B9F1-4D4C-8D74-8E01483542E5}" name="tblAmbiente" displayName="tblAmbiente" ref="H2:I19" totalsRowShown="0" headerRowDxfId="246" dataDxfId="245">
  <tableColumns count="2">
    <tableColumn id="1" xr3:uid="{00000000-0010-0000-0200-000001000000}" name="Condiciones ambientales" dataDxfId="244"/>
    <tableColumn id="2" xr3:uid="{00000000-0010-0000-0200-000002000000}" name="Detalles" dataDxfId="243"/>
  </tableColumns>
  <tableStyleInfo name="TableStyleLight13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457C096-832E-4195-BDD7-6B8A55F21585}" name="tblCliente" displayName="tblCliente" ref="K2:L6" totalsRowShown="0" headerRowDxfId="242" dataDxfId="241">
  <tableColumns count="2">
    <tableColumn id="1" xr3:uid="{00000000-0010-0000-0300-000001000000}" name="Cliente" dataDxfId="240"/>
    <tableColumn id="2" xr3:uid="{00000000-0010-0000-0300-000002000000}" name="Detalles" dataDxfId="239"/>
  </tableColumns>
  <tableStyleInfo name="TableStyleLight13" showFirstColumn="1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BD9314F-2BE2-4750-AC9A-A0CB086B3954}" name="tblCompPuntosCal" displayName="tblCompPuntosCal" ref="M4:CD54" headerRowDxfId="238" dataDxfId="236" headerRowBorderDxfId="237" tableBorderDxfId="235" totalsRowBorderDxfId="234">
  <tableColumns count="70">
    <tableColumn id="1" xr3:uid="{00000000-0010-0000-0400-000001000000}" name="Punto 1" totalsRowLabel="Total" dataDxfId="233" totalsRowDxfId="232"/>
    <tableColumn id="23" xr3:uid="{00000000-0010-0000-0400-000017000000}" name="mN1" dataDxfId="231">
      <calculatedColumnFormula>IFERROR(VLOOKUP(tblCompPuntosCal[[#This Row],[Punto 1]],tblBD_PatronMasa[[Código Patrón]:[mpe]],4,FALSE),"")</calculatedColumnFormula>
    </tableColumn>
    <tableColumn id="2" xr3:uid="{00000000-0010-0000-0400-000002000000}" name="mc1" totalsRowFunction="sum" dataDxfId="230">
      <calculatedColumnFormula>IFERROR(VLOOKUP(tblCompPuntosCal[[#This Row],[Punto 1]],tblBD_PatronMasa[[Código Patrón]:[mpe]],6,FALSE),"")</calculatedColumnFormula>
    </tableColumn>
    <tableColumn id="22" xr3:uid="{00000000-0010-0000-0400-000016000000}" name="u(δmc1)" dataDxfId="229">
      <calculatedColumnFormula>IFERROR(VLOOKUP(tblCompPuntosCal[[#This Row],[Punto 1]],tblBD_PatronMasa[[Código Patrón]:[mpe]],7,FALSE),"")</calculatedColumnFormula>
    </tableColumn>
    <tableColumn id="21" xr3:uid="{00000000-0010-0000-0400-000015000000}" name="u(δmD1)" dataDxfId="228">
      <calculatedColumnFormula>IFERROR(VLOOKUP(tblCompPuntosCal[[#This Row],[Punto 1]],tblBD_PatronMasa[[Código Patrón]:[mpe]],9,FALSE),"")</calculatedColumnFormula>
    </tableColumn>
    <tableColumn id="61" xr3:uid="{00000000-0010-0000-0400-00003D000000}" name="u(δmB1)" dataDxfId="227">
      <calculatedColumnFormula>IF(switch="Sí",IFERROR(VLOOKUP(tblCompPuntosCal[[#This Row],[Punto 1]],'kU(E)'!$AB$7:$AK$56,10,FALSE)*1000,""),IFERROR(VLOOKUP(tblCompPuntosCal[[#This Row],[Punto 1]],'kU(E)'!$AB$7:$AK$56*1000,8,FALSE),""))</calculatedColumnFormula>
    </tableColumn>
    <tableColumn id="51" xr3:uid="{00000000-0010-0000-0400-000033000000}" name="u(δmconv1)" dataDxfId="226">
      <calculatedColumnFormula>IFERROR(IF('kU(E)'!$E$6&lt;&gt;0,INDEX(deltaMconv,MATCH(tblCompPuntosCal[[#This Row],[mN1]],MnomDeltaT),MATCH('kU(E)'!$E$6,deltaT,-1))/SQRT(3),""),"")</calculatedColumnFormula>
    </tableColumn>
    <tableColumn id="3" xr3:uid="{00000000-0010-0000-0400-000003000000}" name="Punto 2" dataDxfId="225" totalsRowDxfId="224"/>
    <tableColumn id="42" xr3:uid="{00000000-0010-0000-0400-00002A000000}" name="mN2" dataDxfId="223" totalsRowDxfId="222">
      <calculatedColumnFormula>IFERROR(VLOOKUP(tblCompPuntosCal[[#This Row],[Punto 2]],tblBD_PatronMasa[[Código Patrón]:[mpe]],4,FALSE),"")</calculatedColumnFormula>
    </tableColumn>
    <tableColumn id="4" xr3:uid="{00000000-0010-0000-0400-000004000000}" name="mc2" totalsRowFunction="sum" dataDxfId="221" totalsRowDxfId="220">
      <calculatedColumnFormula>IFERROR(VLOOKUP(tblCompPuntosCal[[#This Row],[Punto 2]],tblBD_PatronMasa[[Código Patrón]:[mpe]],6,FALSE),"")</calculatedColumnFormula>
    </tableColumn>
    <tableColumn id="24" xr3:uid="{00000000-0010-0000-0400-000018000000}" name="u(δmc2)" dataDxfId="219" totalsRowDxfId="218">
      <calculatedColumnFormula>IFERROR(VLOOKUP(tblCompPuntosCal[[#This Row],[Punto 2]],tblBD_PatronMasa[[Código Patrón]:[mpe]],7,FALSE),"")</calculatedColumnFormula>
    </tableColumn>
    <tableColumn id="25" xr3:uid="{00000000-0010-0000-0400-000019000000}" name="u(δmD2)" dataDxfId="217" totalsRowDxfId="216">
      <calculatedColumnFormula>IFERROR(VLOOKUP(tblCompPuntosCal[[#This Row],[Punto 2]],tblBD_PatronMasa[[Código Patrón]:[mpe]],9,FALSE),"")</calculatedColumnFormula>
    </tableColumn>
    <tableColumn id="62" xr3:uid="{00000000-0010-0000-0400-00003E000000}" name="u(δmB2)" dataDxfId="215" totalsRowDxfId="214">
      <calculatedColumnFormula>IF(switch="Sí",IFERROR(VLOOKUP(tblCompPuntosCal[[#This Row],[Punto 2]],'kU(E)'!$AB$7:$AK$56,10,FALSE)*1000,""),IFERROR(VLOOKUP(tblCompPuntosCal[[#This Row],[Punto 2]],'kU(E)'!$AB$7:$AK$56*1000,8,FALSE),""))</calculatedColumnFormula>
    </tableColumn>
    <tableColumn id="52" xr3:uid="{00000000-0010-0000-0400-000034000000}" name="u(δmconv2)" dataDxfId="213" totalsRowDxfId="212">
      <calculatedColumnFormula>IFERROR(IF('kU(E)'!$E$6&lt;&gt;0,INDEX(deltaMconv,MATCH(tblCompPuntosCal[[#This Row],[mN2]],MnomDeltaT),MATCH('kU(E)'!$E$6,deltaT,-1))/SQRT(3),""),"")</calculatedColumnFormula>
    </tableColumn>
    <tableColumn id="5" xr3:uid="{00000000-0010-0000-0400-000005000000}" name="Punto 3" dataDxfId="211" totalsRowDxfId="210"/>
    <tableColumn id="43" xr3:uid="{00000000-0010-0000-0400-00002B000000}" name="mN3" dataDxfId="209" totalsRowDxfId="208">
      <calculatedColumnFormula>IFERROR(VLOOKUP(tblCompPuntosCal[[#This Row],[Punto 3]],tblBD_PatronMasa[[Código Patrón]:[mpe]],4,FALSE),"")</calculatedColumnFormula>
    </tableColumn>
    <tableColumn id="6" xr3:uid="{00000000-0010-0000-0400-000006000000}" name="mc3" totalsRowFunction="sum" dataDxfId="207" totalsRowDxfId="206">
      <calculatedColumnFormula>IFERROR(VLOOKUP(tblCompPuntosCal[[#This Row],[Punto 3]],tblBD_PatronMasa[[Código Patrón]:[mpe]],6,FALSE),"")</calculatedColumnFormula>
    </tableColumn>
    <tableColumn id="26" xr3:uid="{00000000-0010-0000-0400-00001A000000}" name="u(δmc3)" dataDxfId="205" totalsRowDxfId="204">
      <calculatedColumnFormula>IFERROR(VLOOKUP(tblCompPuntosCal[[#This Row],[Punto 3]],tblBD_PatronMasa[[Código Patrón]:[mpe]],7,FALSE),"")</calculatedColumnFormula>
    </tableColumn>
    <tableColumn id="27" xr3:uid="{00000000-0010-0000-0400-00001B000000}" name="u(δmD3)" dataDxfId="203" totalsRowDxfId="202">
      <calculatedColumnFormula>IFERROR(VLOOKUP(tblCompPuntosCal[[#This Row],[Punto 3]],tblBD_PatronMasa[[Código Patrón]:[mpe]],9,FALSE),"")</calculatedColumnFormula>
    </tableColumn>
    <tableColumn id="63" xr3:uid="{00000000-0010-0000-0400-00003F000000}" name="u(δmB3)" dataDxfId="201" totalsRowDxfId="200">
      <calculatedColumnFormula>IF(switch="Sí",IFERROR(VLOOKUP(tblCompPuntosCal[[#This Row],[Punto 3]],'kU(E)'!$AB$7:$AK$56,10,FALSE)*1000,""),IFERROR(VLOOKUP(tblCompPuntosCal[[#This Row],[Punto 3]],'kU(E)'!$AB$7:$AK$56*1000,8,FALSE),""))</calculatedColumnFormula>
    </tableColumn>
    <tableColumn id="53" xr3:uid="{00000000-0010-0000-0400-000035000000}" name="u(δmconv3)" dataDxfId="199" totalsRowDxfId="198">
      <calculatedColumnFormula>IFERROR(IF('kU(E)'!$E$6&lt;&gt;0,INDEX(deltaMconv,MATCH(tblCompPuntosCal[[#This Row],[mN3]],MnomDeltaT),MATCH('kU(E)'!$E$6,deltaT,-1))/SQRT(3),""),"")</calculatedColumnFormula>
    </tableColumn>
    <tableColumn id="7" xr3:uid="{00000000-0010-0000-0400-000007000000}" name="Punto 4" dataDxfId="197" totalsRowDxfId="196"/>
    <tableColumn id="44" xr3:uid="{00000000-0010-0000-0400-00002C000000}" name="mN4" dataDxfId="195" totalsRowDxfId="194">
      <calculatedColumnFormula>IFERROR(VLOOKUP(tblCompPuntosCal[[#This Row],[Punto 4]],tblBD_PatronMasa[[Código Patrón]:[mpe]],4,FALSE),"")</calculatedColumnFormula>
    </tableColumn>
    <tableColumn id="8" xr3:uid="{00000000-0010-0000-0400-000008000000}" name="mc4" totalsRowFunction="sum" dataDxfId="193" totalsRowDxfId="192">
      <calculatedColumnFormula>IFERROR(VLOOKUP(tblCompPuntosCal[[#This Row],[Punto 4]],tblBD_PatronMasa[[Código Patrón]:[mpe]],6,FALSE),"")</calculatedColumnFormula>
    </tableColumn>
    <tableColumn id="28" xr3:uid="{00000000-0010-0000-0400-00001C000000}" name="u(δmc4)" dataDxfId="191" totalsRowDxfId="190">
      <calculatedColumnFormula>IFERROR(VLOOKUP(tblCompPuntosCal[[#This Row],[Punto 4]],tblBD_PatronMasa[[Código Patrón]:[mpe]],7,FALSE),"")</calculatedColumnFormula>
    </tableColumn>
    <tableColumn id="29" xr3:uid="{00000000-0010-0000-0400-00001D000000}" name="u(δmD4)" dataDxfId="189" totalsRowDxfId="188">
      <calculatedColumnFormula>IFERROR(VLOOKUP(tblCompPuntosCal[[#This Row],[Punto 4]],tblBD_PatronMasa[[Código Patrón]:[mpe]],9,FALSE),"")</calculatedColumnFormula>
    </tableColumn>
    <tableColumn id="64" xr3:uid="{00000000-0010-0000-0400-000040000000}" name="u(δmB4)" dataDxfId="187" totalsRowDxfId="186">
      <calculatedColumnFormula>IF(switch="Sí",IFERROR(VLOOKUP(tblCompPuntosCal[[#This Row],[Punto 4]],'kU(E)'!$AB$7:$AK$56,10,FALSE)*1000,""),IFERROR(VLOOKUP(tblCompPuntosCal[[#This Row],[Punto 4]],'kU(E)'!$AB$7:$AK$56,8,FALSE)*1000,""))</calculatedColumnFormula>
    </tableColumn>
    <tableColumn id="54" xr3:uid="{00000000-0010-0000-0400-000036000000}" name="u(δmconv4)" dataDxfId="185" totalsRowDxfId="184">
      <calculatedColumnFormula>IFERROR(IF('kU(E)'!$E$6&lt;&gt;0,INDEX(deltaMconv,MATCH(tblCompPuntosCal[[#This Row],[mN4]],MnomDeltaT),MATCH('kU(E)'!$E$6,deltaT,-1))/SQRT(3),""),"")</calculatedColumnFormula>
    </tableColumn>
    <tableColumn id="9" xr3:uid="{00000000-0010-0000-0400-000009000000}" name="Punto 5" dataDxfId="183" totalsRowDxfId="182"/>
    <tableColumn id="45" xr3:uid="{00000000-0010-0000-0400-00002D000000}" name="mN5" dataDxfId="181" totalsRowDxfId="180">
      <calculatedColumnFormula>IFERROR(VLOOKUP(tblCompPuntosCal[[#This Row],[Punto 5]],tblBD_PatronMasa[[Código Patrón]:[mpe]],4,FALSE),"")</calculatedColumnFormula>
    </tableColumn>
    <tableColumn id="10" xr3:uid="{00000000-0010-0000-0400-00000A000000}" name="mc5" totalsRowFunction="sum" dataDxfId="179" totalsRowDxfId="178">
      <calculatedColumnFormula>IFERROR(VLOOKUP(tblCompPuntosCal[[#This Row],[Punto 5]],tblBD_PatronMasa[[Código Patrón]:[mpe]],6,FALSE),"")</calculatedColumnFormula>
    </tableColumn>
    <tableColumn id="30" xr3:uid="{00000000-0010-0000-0400-00001E000000}" name="u(δmc5)" dataDxfId="177" totalsRowDxfId="176">
      <calculatedColumnFormula>IFERROR(VLOOKUP(tblCompPuntosCal[[#This Row],[Punto 5]],tblBD_PatronMasa[[Código Patrón]:[mpe]],7,FALSE),"")</calculatedColumnFormula>
    </tableColumn>
    <tableColumn id="31" xr3:uid="{00000000-0010-0000-0400-00001F000000}" name="u(δmD5)" dataDxfId="175" totalsRowDxfId="174">
      <calculatedColumnFormula>IFERROR(VLOOKUP(tblCompPuntosCal[[#This Row],[Punto 5]],tblBD_PatronMasa[[Código Patrón]:[mpe]],9,FALSE),"")</calculatedColumnFormula>
    </tableColumn>
    <tableColumn id="65" xr3:uid="{00000000-0010-0000-0400-000041000000}" name="u(δmB5)" dataDxfId="173" totalsRowDxfId="172">
      <calculatedColumnFormula>IF(switch="Sí",IFERROR(VLOOKUP(tblCompPuntosCal[[#This Row],[Punto 5]],'kU(E)'!$AB$7:$AK$56,10,FALSE)*1000,""),IFERROR(VLOOKUP(tblCompPuntosCal[[#This Row],[Punto 5]],'kU(E)'!$AB$7:$AK$56,8,FALSE)*1000,""))</calculatedColumnFormula>
    </tableColumn>
    <tableColumn id="55" xr3:uid="{00000000-0010-0000-0400-000037000000}" name="u(δmconv5)" dataDxfId="171" totalsRowDxfId="170">
      <calculatedColumnFormula>IFERROR(IF('kU(E)'!$E$6&lt;&gt;0,INDEX(deltaMconv,MATCH(tblCompPuntosCal[[#This Row],[mN5]],MnomDeltaT),MATCH('kU(E)'!$E$6,deltaT,-1))/SQRT(3),""),"")</calculatedColumnFormula>
    </tableColumn>
    <tableColumn id="11" xr3:uid="{00000000-0010-0000-0400-00000B000000}" name="Punto 6" dataDxfId="169" totalsRowDxfId="168"/>
    <tableColumn id="46" xr3:uid="{00000000-0010-0000-0400-00002E000000}" name="mN6" dataDxfId="167" totalsRowDxfId="166">
      <calculatedColumnFormula>IFERROR(VLOOKUP(tblCompPuntosCal[[#This Row],[Punto 6]],tblBD_PatronMasa[[Código Patrón]:[mpe]],4,FALSE),"")</calculatedColumnFormula>
    </tableColumn>
    <tableColumn id="12" xr3:uid="{00000000-0010-0000-0400-00000C000000}" name="mc6" totalsRowFunction="sum" dataDxfId="165" totalsRowDxfId="164">
      <calculatedColumnFormula>IFERROR(VLOOKUP(tblCompPuntosCal[[#This Row],[Punto 6]],tblBD_PatronMasa[[Código Patrón]:[mpe]],6,FALSE),"")</calculatedColumnFormula>
    </tableColumn>
    <tableColumn id="32" xr3:uid="{00000000-0010-0000-0400-000020000000}" name="u(δmc6)" dataDxfId="163" totalsRowDxfId="162">
      <calculatedColumnFormula>IFERROR(VLOOKUP(tblCompPuntosCal[[#This Row],[Punto 6]],tblBD_PatronMasa[[Código Patrón]:[mpe]],7,FALSE),"")</calculatedColumnFormula>
    </tableColumn>
    <tableColumn id="33" xr3:uid="{00000000-0010-0000-0400-000021000000}" name="u(δmD6)" dataDxfId="161" totalsRowDxfId="160">
      <calculatedColumnFormula>IFERROR(VLOOKUP(tblCompPuntosCal[[#This Row],[Punto 6]],tblBD_PatronMasa[[Código Patrón]:[mpe]],9,FALSE),"")</calculatedColumnFormula>
    </tableColumn>
    <tableColumn id="66" xr3:uid="{00000000-0010-0000-0400-000042000000}" name="u(δmB6)" dataDxfId="159" totalsRowDxfId="158">
      <calculatedColumnFormula>IF(switch="Sí",IFERROR(VLOOKUP(tblCompPuntosCal[[#This Row],[Punto 6]],'kU(E)'!$AB$7:$AK$56,10,FALSE)*1000,""),IFERROR(VLOOKUP(tblCompPuntosCal[[#This Row],[Punto 6]],'kU(E)'!$AB$7:$AK$56,8,FALSE)*1000,""))</calculatedColumnFormula>
    </tableColumn>
    <tableColumn id="56" xr3:uid="{00000000-0010-0000-0400-000038000000}" name="u(δmconv6)" dataDxfId="157" totalsRowDxfId="156">
      <calculatedColumnFormula>IFERROR(IF('kU(E)'!$E$6&lt;&gt;0,INDEX(deltaMconv,MATCH(tblCompPuntosCal[[#This Row],[mN6]],MnomDeltaT),MATCH('kU(E)'!$E$6,deltaT,-1))/SQRT(3),""),"")</calculatedColumnFormula>
    </tableColumn>
    <tableColumn id="13" xr3:uid="{00000000-0010-0000-0400-00000D000000}" name="Punto 7" dataDxfId="155" totalsRowDxfId="154"/>
    <tableColumn id="47" xr3:uid="{00000000-0010-0000-0400-00002F000000}" name="mN7" dataDxfId="153" totalsRowDxfId="152">
      <calculatedColumnFormula>IFERROR(VLOOKUP(tblCompPuntosCal[[#This Row],[Punto 7]],tblBD_PatronMasa[[Código Patrón]:[mpe]],4,FALSE),"")</calculatedColumnFormula>
    </tableColumn>
    <tableColumn id="14" xr3:uid="{00000000-0010-0000-0400-00000E000000}" name="mc7" totalsRowFunction="sum" dataDxfId="151" totalsRowDxfId="150">
      <calculatedColumnFormula>IFERROR(VLOOKUP(tblCompPuntosCal[[#This Row],[Punto 7]],tblBD_PatronMasa[[Código Patrón]:[mpe]],6,FALSE),"")</calculatedColumnFormula>
    </tableColumn>
    <tableColumn id="34" xr3:uid="{00000000-0010-0000-0400-000022000000}" name="u(δmc7)" dataDxfId="149" totalsRowDxfId="148">
      <calculatedColumnFormula>IFERROR(VLOOKUP(tblCompPuntosCal[[#This Row],[Punto 7]],tblBD_PatronMasa[[Código Patrón]:[mpe]],7,FALSE),"")</calculatedColumnFormula>
    </tableColumn>
    <tableColumn id="35" xr3:uid="{00000000-0010-0000-0400-000023000000}" name="u(δmD7)" dataDxfId="147" totalsRowDxfId="146">
      <calculatedColumnFormula>IFERROR(VLOOKUP(tblCompPuntosCal[[#This Row],[Punto 7]],tblBD_PatronMasa[[Código Patrón]:[mpe]],9,FALSE),"")</calculatedColumnFormula>
    </tableColumn>
    <tableColumn id="67" xr3:uid="{00000000-0010-0000-0400-000043000000}" name="u(δmB7)" dataDxfId="145" totalsRowDxfId="144">
      <calculatedColumnFormula>IF(switch="Sí",IFERROR(VLOOKUP(tblCompPuntosCal[[#This Row],[Punto 7]],'kU(E)'!$AB$7:$AK$56,10,FALSE)*1000,""),IFERROR(VLOOKUP(tblCompPuntosCal[[#This Row],[Punto 7]],'kU(E)'!$AB$7:$AK$56,8,FALSE)*1000,""))</calculatedColumnFormula>
    </tableColumn>
    <tableColumn id="57" xr3:uid="{00000000-0010-0000-0400-000039000000}" name="u(δmconv7)" dataDxfId="143" totalsRowDxfId="142">
      <calculatedColumnFormula>IFERROR(IF('kU(E)'!$E$6&lt;&gt;0,INDEX(deltaMconv,MATCH(tblCompPuntosCal[[#This Row],[mN7]],MnomDeltaT),MATCH('kU(E)'!$E$6,deltaT,-1))/SQRT(3),""),"")</calculatedColumnFormula>
    </tableColumn>
    <tableColumn id="15" xr3:uid="{00000000-0010-0000-0400-00000F000000}" name="Punto 8" dataDxfId="141" totalsRowDxfId="140"/>
    <tableColumn id="48" xr3:uid="{00000000-0010-0000-0400-000030000000}" name="mN8" dataDxfId="139" totalsRowDxfId="138">
      <calculatedColumnFormula>IFERROR(VLOOKUP(tblCompPuntosCal[[#This Row],[Punto 8]],tblBD_PatronMasa[[Código Patrón]:[mpe]],4,FALSE),"")</calculatedColumnFormula>
    </tableColumn>
    <tableColumn id="16" xr3:uid="{00000000-0010-0000-0400-000010000000}" name="mc8" totalsRowFunction="sum" dataDxfId="137" totalsRowDxfId="136">
      <calculatedColumnFormula>IFERROR(VLOOKUP(tblCompPuntosCal[[#This Row],[Punto 8]],tblBD_PatronMasa[[Código Patrón]:[mpe]],6,FALSE),"")</calculatedColumnFormula>
    </tableColumn>
    <tableColumn id="36" xr3:uid="{00000000-0010-0000-0400-000024000000}" name="u(δmc8)" dataDxfId="135" totalsRowDxfId="134">
      <calculatedColumnFormula>IFERROR(VLOOKUP(tblCompPuntosCal[[#This Row],[Punto 8]],tblBD_PatronMasa[[Código Patrón]:[mpe]],7,FALSE),"")</calculatedColumnFormula>
    </tableColumn>
    <tableColumn id="37" xr3:uid="{00000000-0010-0000-0400-000025000000}" name="u(δmD8)" dataDxfId="133" totalsRowDxfId="132">
      <calculatedColumnFormula>IFERROR(VLOOKUP(tblCompPuntosCal[[#This Row],[Punto 8]],tblBD_PatronMasa[[Código Patrón]:[mpe]],9,FALSE),"")</calculatedColumnFormula>
    </tableColumn>
    <tableColumn id="68" xr3:uid="{00000000-0010-0000-0400-000044000000}" name="u(δmB8)" dataDxfId="131" totalsRowDxfId="130">
      <calculatedColumnFormula>IF(switch="Sí",IFERROR(VLOOKUP(tblCompPuntosCal[[#This Row],[Punto 8]],'kU(E)'!$AB$7:$AK$56,10,FALSE)*1000,""),IFERROR(VLOOKUP(tblCompPuntosCal[[#This Row],[Punto 8]],'kU(E)'!$AB$7:$AK$56,8,FALSE)*1000,""))</calculatedColumnFormula>
    </tableColumn>
    <tableColumn id="58" xr3:uid="{00000000-0010-0000-0400-00003A000000}" name="u(δmconv8)" dataDxfId="129" totalsRowDxfId="128">
      <calculatedColumnFormula>IFERROR(IF('kU(E)'!$E$6&lt;&gt;0,INDEX(deltaMconv,MATCH(tblCompPuntosCal[[#This Row],[mN8]],MnomDeltaT),MATCH('kU(E)'!$E$6,deltaT,-1))/SQRT(3),""),"")</calculatedColumnFormula>
    </tableColumn>
    <tableColumn id="17" xr3:uid="{00000000-0010-0000-0400-000011000000}" name="Punto 9" dataDxfId="127" totalsRowDxfId="126"/>
    <tableColumn id="49" xr3:uid="{00000000-0010-0000-0400-000031000000}" name="mN9" dataDxfId="125" totalsRowDxfId="124">
      <calculatedColumnFormula>IFERROR(VLOOKUP(tblCompPuntosCal[[#This Row],[Punto 9]],tblBD_PatronMasa[[Código Patrón]:[mpe]],4,FALSE),"")</calculatedColumnFormula>
    </tableColumn>
    <tableColumn id="18" xr3:uid="{00000000-0010-0000-0400-000012000000}" name="mc9" totalsRowFunction="sum" dataDxfId="123" totalsRowDxfId="122">
      <calculatedColumnFormula>IFERROR(VLOOKUP(tblCompPuntosCal[[#This Row],[Punto 9]],tblBD_PatronMasa[[Código Patrón]:[mpe]],6,FALSE),"")</calculatedColumnFormula>
    </tableColumn>
    <tableColumn id="39" xr3:uid="{00000000-0010-0000-0400-000027000000}" name="u(δmc9)" dataDxfId="121" totalsRowDxfId="120">
      <calculatedColumnFormula>IFERROR(VLOOKUP(tblCompPuntosCal[[#This Row],[Punto 9]],tblBD_PatronMasa[[Código Patrón]:[mpe]],7,FALSE),"")</calculatedColumnFormula>
    </tableColumn>
    <tableColumn id="38" xr3:uid="{00000000-0010-0000-0400-000026000000}" name="u(δmD9)" dataDxfId="119" totalsRowDxfId="118">
      <calculatedColumnFormula>IFERROR(VLOOKUP(tblCompPuntosCal[[#This Row],[Punto 9]],tblBD_PatronMasa[[Código Patrón]:[mpe]],9,FALSE),"")</calculatedColumnFormula>
    </tableColumn>
    <tableColumn id="69" xr3:uid="{00000000-0010-0000-0400-000045000000}" name="u(δmB9)" dataDxfId="117" totalsRowDxfId="116">
      <calculatedColumnFormula>IF(switch="Sí",IFERROR(VLOOKUP(tblCompPuntosCal[[#This Row],[Punto 9]],'kU(E)'!$AB$7:$AK$56,10,FALSE)*1000,""),IFERROR(VLOOKUP(tblCompPuntosCal[[#This Row],[Punto 9]],'kU(E)'!$AB$7:$AK$56,8,FALSE)*1000,""))</calculatedColumnFormula>
    </tableColumn>
    <tableColumn id="59" xr3:uid="{00000000-0010-0000-0400-00003B000000}" name="u(δmconv9)" dataDxfId="115" totalsRowDxfId="114">
      <calculatedColumnFormula>IFERROR(IF('kU(E)'!$E$6&lt;&gt;0,INDEX(deltaMconv,MATCH(tblCompPuntosCal[[#This Row],[mN9]],MnomDeltaT),MATCH('kU(E)'!$E$6,deltaT,-1))/SQRT(3),""),"")</calculatedColumnFormula>
    </tableColumn>
    <tableColumn id="19" xr3:uid="{00000000-0010-0000-0400-000013000000}" name="Punto 10" dataDxfId="113" totalsRowDxfId="112"/>
    <tableColumn id="50" xr3:uid="{00000000-0010-0000-0400-000032000000}" name="mN10" dataDxfId="111" totalsRowDxfId="110">
      <calculatedColumnFormula>IFERROR(VLOOKUP(tblCompPuntosCal[[#This Row],[Punto 10]],tblBD_PatronMasa[[Código Patrón]:[mpe]],4,FALSE),"")</calculatedColumnFormula>
    </tableColumn>
    <tableColumn id="20" xr3:uid="{00000000-0010-0000-0400-000014000000}" name="mc10" totalsRowFunction="sum" dataDxfId="109" totalsRowDxfId="108">
      <calculatedColumnFormula>IFERROR(VLOOKUP(tblCompPuntosCal[[#This Row],[Punto 10]],tblBD_PatronMasa[[Código Patrón]:[mpe]],6,FALSE),"")</calculatedColumnFormula>
    </tableColumn>
    <tableColumn id="40" xr3:uid="{00000000-0010-0000-0400-000028000000}" name="u(δmc10)" dataDxfId="107" totalsRowDxfId="106">
      <calculatedColumnFormula>IFERROR(VLOOKUP(tblCompPuntosCal[[#This Row],[Punto 10]],tblBD_PatronMasa[[Código Patrón]:[mpe]],7,FALSE),"")</calculatedColumnFormula>
    </tableColumn>
    <tableColumn id="41" xr3:uid="{00000000-0010-0000-0400-000029000000}" name="u(δmD10)" dataDxfId="105" totalsRowDxfId="104">
      <calculatedColumnFormula>IFERROR(VLOOKUP(tblCompPuntosCal[[#This Row],[Punto 10]],tblBD_PatronMasa[[Código Patrón]:[mpe]],9,FALSE),"")</calculatedColumnFormula>
    </tableColumn>
    <tableColumn id="70" xr3:uid="{00000000-0010-0000-0400-000046000000}" name="u(δmB10)" dataDxfId="103" totalsRowDxfId="102">
      <calculatedColumnFormula>IF(switch="Sí",IFERROR(VLOOKUP(tblCompPuntosCal[[#This Row],[Punto 10]],'kU(E)'!$AB$7:$AK$56,10,FALSE)*1000,""),IFERROR(VLOOKUP(tblCompPuntosCal[[#This Row],[Punto 10]],'kU(E)'!$AB$7:$AK$56,8,FALSE)*1000,""))</calculatedColumnFormula>
    </tableColumn>
    <tableColumn id="60" xr3:uid="{00000000-0010-0000-0400-00003C000000}" name="u(δmconv10)" dataDxfId="101" totalsRowDxfId="100">
      <calculatedColumnFormula>IFERROR(IF('kU(E)'!$E$6&lt;&gt;0,INDEX(deltaMconv,MATCH(tblCompPuntosCal[[#This Row],[mN10]],MnomDeltaT),MATCH('kU(E)'!$E$6,deltaT,-1))/SQRT(3),""),"")</calculatedColumnFormula>
    </tableColumn>
  </tableColumns>
  <tableStyleInfo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DD227F6-5580-4FCB-8051-71BC3BE48169}" name="tblTrazabilidad" displayName="tblTrazabilidad" ref="CG4:CM506" totalsRowShown="0" dataDxfId="98" headerRowBorderDxfId="99" tableBorderDxfId="97" totalsRowBorderDxfId="96">
  <tableColumns count="7">
    <tableColumn id="1" xr3:uid="{00000000-0010-0000-0600-000001000000}" name="#" dataDxfId="95"/>
    <tableColumn id="2" xr3:uid="{00000000-0010-0000-0600-000002000000}" name="Código" dataDxfId="94"/>
    <tableColumn id="7" xr3:uid="{00000000-0010-0000-0600-000007000000}" name="Descripción" dataDxfId="93">
      <calculatedColumnFormula>IF(tblTrazabilidad[[#This Row],[Código]]=0,"",IFERROR(IF(SEARCH("JM",tblTrazabilidad[[#This Row],[Código]])&gt;0,"Juego de pesas",),"Pesa"))</calculatedColumnFormula>
    </tableColumn>
    <tableColumn id="6" xr3:uid="{00000000-0010-0000-0600-000006000000}" name="Marca" dataDxfId="92">
      <calculatedColumnFormula>IFERROR(VLOOKUP($CH5,tblBD_PatronMasa[[Código Patrón]:[mN-(mpe–U95)]],2,FALSE),"")</calculatedColumnFormula>
    </tableColumn>
    <tableColumn id="3" xr3:uid="{00000000-0010-0000-0600-000003000000}" name="Trazabilidad" dataDxfId="91">
      <calculatedColumnFormula>IFERROR(VLOOKUP($CH5,tblBD_PatronMasa[[Código Patrón]:[mN-(mpe–U95)]],13,FALSE),"")</calculatedColumnFormula>
    </tableColumn>
    <tableColumn id="4" xr3:uid="{00000000-0010-0000-0600-000004000000}" name="Próxima calibración" dataDxfId="90">
      <calculatedColumnFormula>IF(tblTrazabilidad[[#This Row],[Clase]]="F2",IFERROR(IF(VLOOKUP($CH5,tblBD_PatronMasa[[Código Patrón]:[mN-(mpe–U95)]],12,FALSE)=0,"",VLOOKUP($CH5,tblBD_PatronMasa[[Código Patrón]:[mN-(mpe–U95)]],12,FALSE)+731),""),IF(tblTrazabilidad[[#This Row],[Clase]]="F1",IFERROR(IF(VLOOKUP($CH5,tblBD_PatronMasa[[Código Patrón]:[mN-(mpe–U95)]],12,FALSE)=0,"",VLOOKUP($CH5,tblBD_PatronMasa[[Código Patrón]:[mN-(mpe–U95)]],12,FALSE)+731),""),IFERROR(IF(VLOOKUP($CH5,tblBD_PatronMasa[[Código Patrón]:[mN-(mpe–U95)]],12,FALSE)=0,"",VLOOKUP($CH5,tblBD_PatronMasa[[Código Patrón]:[mN-(mpe–U95)]],12,FALSE)+366),"")))</calculatedColumnFormula>
    </tableColumn>
    <tableColumn id="5" xr3:uid="{00000000-0010-0000-0600-000005000000}" name="Clase" dataDxfId="89">
      <calculatedColumnFormula>IFERROR(VLOOKUP($CH5,tblBD_PatronMasa[[Código Patrón]:[mN-(mpe–U95)]],3,FALSE),"")</calculatedColumnFormula>
    </tableColumn>
  </tableColumns>
  <tableStyleInfo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74CEEFAA-32AF-4C05-BF7B-3FB505550CE1}" name="tblBD_PatronMasa" displayName="tblBD_PatronMasa" ref="B14:T110" totalsRowShown="0" headerRowDxfId="88" dataDxfId="86" headerRowBorderDxfId="87" tableBorderDxfId="85">
  <sortState xmlns:xlrd2="http://schemas.microsoft.com/office/spreadsheetml/2017/richdata2" ref="B14:N104">
    <sortCondition ref="F109:F199"/>
  </sortState>
  <tableColumns count="19">
    <tableColumn id="1" xr3:uid="{00000000-0010-0000-0900-000001000000}" name="#" dataDxfId="84"/>
    <tableColumn id="2" xr3:uid="{00000000-0010-0000-0900-000002000000}" name="Código Patrón" dataDxfId="83"/>
    <tableColumn id="3" xr3:uid="{00000000-0010-0000-0900-000003000000}" name="Marca" dataDxfId="82"/>
    <tableColumn id="4" xr3:uid="{00000000-0010-0000-0900-000004000000}" name="Clase" dataDxfId="81"/>
    <tableColumn id="5" xr3:uid="{00000000-0010-0000-0900-000005000000}" name="Masa nominal mN" dataDxfId="80"/>
    <tableColumn id="6" xr3:uid="{00000000-0010-0000-0900-000006000000}" name="Error certificado calibración δmc" dataDxfId="79"/>
    <tableColumn id="7" xr3:uid="{00000000-0010-0000-0900-000007000000}" name="Masa convenc. mN–(mpe–U95) &lt;mc&lt; mN+(mpe–U95)" dataDxfId="78">
      <calculatedColumnFormula>tblBD_PatronMasa[[#This Row],[Masa nominal mN]]+tblBD_PatronMasa[[#This Row],[Error certificado calibración δmc]]</calculatedColumnFormula>
    </tableColumn>
    <tableColumn id="8" xr3:uid="{00000000-0010-0000-0900-000008000000}" name="Incertidumbre certificado calibración U95=ku(δmc)" dataDxfId="77"/>
    <tableColumn id="9" xr3:uid="{00000000-0010-0000-0900-000009000000}" name="Deriva Dmax=4/3*mpe" dataDxfId="76">
      <calculatedColumnFormula>4*tblBD_PatronMasa[[#This Row],[mpe]]/3</calculatedColumnFormula>
    </tableColumn>
    <tableColumn id="14" xr3:uid="{00000000-0010-0000-0900-00000E000000}" name="Incertidnmbre deriva u(δmD) = D/Ö3" dataDxfId="75">
      <calculatedColumnFormula>tblBD_PatronMasa[[#This Row],[Deriva Dmax=4/3*mpe]]/SQRT(3)</calculatedColumnFormula>
    </tableColumn>
    <tableColumn id="10" xr3:uid="{00000000-0010-0000-0900-00000A000000}" name="Fecha revisión deriva" dataDxfId="74"/>
    <tableColumn id="11" xr3:uid="{00000000-0010-0000-0900-00000B000000}" name="mpe" dataDxfId="73">
      <calculatedColumnFormula>INDEX(tolerancia,MATCH(tblBD_PatronMasa[[#This Row],[Masa nominal mN]],Vnominal,0),MATCH(tblBD_PatronMasa[[#This Row],[Clase]],Clases_masas,0))*0.001</calculatedColumnFormula>
    </tableColumn>
    <tableColumn id="12" xr3:uid="{00000000-0010-0000-0900-00000C000000}" name="Fecha calibración (certificado calibración)" dataDxfId="72"/>
    <tableColumn id="13" xr3:uid="{00000000-0010-0000-0900-00000D000000}" name="Laboratorio/Certificado" dataDxfId="71"/>
    <tableColumn id="15" xr3:uid="{00000000-0010-0000-0900-00000F000000}" name="Material" dataDxfId="70"/>
    <tableColumn id="16" xr3:uid="{00000000-0010-0000-0900-000010000000}" name="Densidad r (kg/m³)" dataDxfId="69">
      <calculatedColumnFormula>IFERROR(VLOOKUP(tblBD_PatronMasa[[#This Row],[Material]],tblDensidadPatron[],2,0),0)</calculatedColumnFormula>
    </tableColumn>
    <tableColumn id="17" xr3:uid="{00000000-0010-0000-0900-000011000000}" name="Incertidumbre estándar u(ρ) (kg/m³)" dataDxfId="68">
      <calculatedColumnFormula>IFERROR(VLOOKUP(tblBD_PatronMasa[[#This Row],[Material]],tblDensidadPatron[],3,0),0)</calculatedColumnFormula>
    </tableColumn>
    <tableColumn id="18" xr3:uid="{00000000-0010-0000-0900-000012000000}" name="mN+(mpe–U95)" dataDxfId="67">
      <calculatedColumnFormula>tblBD_PatronMasa[[#This Row],[Masa nominal mN]]+(tblBD_PatronMasa[[#This Row],[mpe]]-tblBD_PatronMasa[[#This Row],[Incertidumbre certificado calibración U95=ku(δmc)]])</calculatedColumnFormula>
    </tableColumn>
    <tableColumn id="19" xr3:uid="{00000000-0010-0000-0900-000013000000}" name="mN-(mpe–U95)" dataDxfId="66">
      <calculatedColumnFormula>tblBD_PatronMasa[[#This Row],[Masa nominal mN]]-(tblBD_PatronMasa[[#This Row],[mpe]]-tblBD_PatronMasa[[#This Row],[Incertidumbre certificado calibración U95=ku(δmc)]])</calculatedColumnFormula>
    </tableColumn>
  </tableColumns>
  <tableStyleInfo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42B4F865-FB7B-4919-BAF7-E2B0966B2E15}" name="tblDensidadPatron" displayName="tblDensidadPatron" ref="AG14:AI22" totalsRowShown="0" headerRowDxfId="65" headerRowBorderDxfId="64" tableBorderDxfId="63" totalsRowBorderDxfId="62">
  <tableColumns count="3">
    <tableColumn id="1" xr3:uid="{00000000-0010-0000-0A00-000001000000}" name="Aleación/material" dataDxfId="61"/>
    <tableColumn id="2" xr3:uid="{00000000-0010-0000-0A00-000002000000}" name="Densidad supuesta ρ (kg/m³)" dataDxfId="60"/>
    <tableColumn id="3" xr3:uid="{00000000-0010-0000-0A00-000003000000}" name="Incertidumbre estándar u(ρ) (kg/m³)" dataDxfId="59"/>
  </tableColumns>
  <tableStyleInfo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107BD2D9-25F3-41E0-AB3A-4D0CCCA44890}" name="tblClientes8" displayName="tblClientes8" ref="A5:C372" totalsRowShown="0">
  <sortState xmlns:xlrd2="http://schemas.microsoft.com/office/spreadsheetml/2017/richdata2" ref="A6:C190">
    <sortCondition ref="B6:B190"/>
  </sortState>
  <tableColumns count="3">
    <tableColumn id="1" xr3:uid="{00000000-0010-0000-0B00-000001000000}" name="Clave" dataDxfId="58"/>
    <tableColumn id="2" xr3:uid="{00000000-0010-0000-0B00-000002000000}" name="Cliente" dataDxfId="57"/>
    <tableColumn id="3" xr3:uid="{00000000-0010-0000-0B00-000003000000}" name="Dirección de la empresa" dataDxfId="56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6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4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://www.retecsa.com.ni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3C279E-D8AE-4890-8AB6-AF13F7E85EC1}">
  <dimension ref="B1:AE131"/>
  <sheetViews>
    <sheetView topLeftCell="D1" zoomScaleNormal="100" workbookViewId="0">
      <selection activeCell="L4" sqref="L4"/>
    </sheetView>
  </sheetViews>
  <sheetFormatPr baseColWidth="10" defaultColWidth="9.109375" defaultRowHeight="14.4" x14ac:dyDescent="0.3"/>
  <cols>
    <col min="1" max="1" width="2.33203125" customWidth="1"/>
    <col min="2" max="2" width="20.6640625" customWidth="1"/>
    <col min="3" max="3" width="24.33203125" customWidth="1"/>
    <col min="4" max="4" width="2.33203125" customWidth="1"/>
    <col min="5" max="5" width="26.88671875" customWidth="1"/>
    <col min="6" max="6" width="19.109375" customWidth="1"/>
    <col min="7" max="7" width="4.109375" customWidth="1"/>
    <col min="8" max="8" width="33.109375" bestFit="1" customWidth="1"/>
    <col min="9" max="9" width="13.5546875" customWidth="1"/>
    <col min="10" max="10" width="2.33203125" customWidth="1"/>
    <col min="11" max="11" width="23.6640625" customWidth="1"/>
    <col min="12" max="12" width="50.33203125" customWidth="1"/>
    <col min="23" max="23" width="9.109375" style="1"/>
  </cols>
  <sheetData>
    <row r="1" spans="2:12" x14ac:dyDescent="0.3">
      <c r="G1" s="15"/>
      <c r="H1" s="15"/>
    </row>
    <row r="2" spans="2:12" x14ac:dyDescent="0.3">
      <c r="B2" s="15" t="s">
        <v>107</v>
      </c>
      <c r="C2" s="15" t="s">
        <v>103</v>
      </c>
      <c r="E2" s="15" t="s">
        <v>106</v>
      </c>
      <c r="F2" s="15" t="s">
        <v>103</v>
      </c>
      <c r="H2" s="31" t="s">
        <v>105</v>
      </c>
      <c r="I2" s="31" t="s">
        <v>103</v>
      </c>
      <c r="K2" s="31" t="s">
        <v>104</v>
      </c>
      <c r="L2" s="31" t="s">
        <v>103</v>
      </c>
    </row>
    <row r="3" spans="2:12" x14ac:dyDescent="0.3">
      <c r="B3" s="15" t="s">
        <v>102</v>
      </c>
      <c r="C3" s="14" t="s">
        <v>101</v>
      </c>
      <c r="E3" s="15" t="s">
        <v>100</v>
      </c>
      <c r="F3" s="18" t="s">
        <v>99</v>
      </c>
      <c r="H3" s="8" t="s">
        <v>86</v>
      </c>
      <c r="I3" s="30" t="s">
        <v>10</v>
      </c>
      <c r="K3" s="15" t="s">
        <v>98</v>
      </c>
      <c r="L3" s="14" t="s">
        <v>97</v>
      </c>
    </row>
    <row r="4" spans="2:12" x14ac:dyDescent="0.3">
      <c r="B4" s="15" t="s">
        <v>96</v>
      </c>
      <c r="C4" s="14">
        <v>3</v>
      </c>
      <c r="E4" s="15" t="s">
        <v>95</v>
      </c>
      <c r="F4" s="18" t="s">
        <v>94</v>
      </c>
      <c r="H4" s="8" t="s">
        <v>93</v>
      </c>
      <c r="I4" s="29" t="s">
        <v>92</v>
      </c>
      <c r="K4" s="15" t="s">
        <v>91</v>
      </c>
      <c r="L4" s="28" t="str">
        <f>VLOOKUP(L3,'BD Clientes'!B6:C388,2,FALSE)</f>
        <v>km 129 Carretera a Ocotal 300m al Oeste Valle de Verapaz, Totogalpa, Madriz</v>
      </c>
    </row>
    <row r="5" spans="2:12" x14ac:dyDescent="0.3">
      <c r="B5" s="15" t="s">
        <v>90</v>
      </c>
      <c r="C5" s="27">
        <v>43780</v>
      </c>
      <c r="E5" s="15" t="s">
        <v>89</v>
      </c>
      <c r="F5" s="18" t="s">
        <v>88</v>
      </c>
      <c r="H5" s="8" t="s">
        <v>87</v>
      </c>
      <c r="I5" s="25" t="str">
        <f>VLOOKUP(I4,'BD Patron'!C6:L10,2,FALSE)</f>
        <v>Extech</v>
      </c>
      <c r="K5" s="15" t="s">
        <v>86</v>
      </c>
      <c r="L5" s="14" t="s">
        <v>85</v>
      </c>
    </row>
    <row r="6" spans="2:12" x14ac:dyDescent="0.3">
      <c r="B6" s="15" t="s">
        <v>84</v>
      </c>
      <c r="C6" s="27">
        <v>43780</v>
      </c>
      <c r="E6" s="15" t="s">
        <v>83</v>
      </c>
      <c r="F6" s="18" t="s">
        <v>82</v>
      </c>
      <c r="H6" s="8" t="s">
        <v>81</v>
      </c>
      <c r="I6" s="26">
        <v>21.1</v>
      </c>
      <c r="K6" s="15" t="s">
        <v>80</v>
      </c>
      <c r="L6" s="14" t="s">
        <v>9</v>
      </c>
    </row>
    <row r="7" spans="2:12" x14ac:dyDescent="0.3">
      <c r="B7" s="15" t="s">
        <v>79</v>
      </c>
      <c r="C7" s="27"/>
      <c r="E7" s="15" t="s">
        <v>78</v>
      </c>
      <c r="F7" s="18" t="s">
        <v>22</v>
      </c>
      <c r="H7" s="8" t="s">
        <v>77</v>
      </c>
      <c r="I7" s="26">
        <v>21.5</v>
      </c>
      <c r="K7" s="15"/>
      <c r="L7" s="15"/>
    </row>
    <row r="8" spans="2:12" x14ac:dyDescent="0.3">
      <c r="B8" s="15" t="s">
        <v>76</v>
      </c>
      <c r="C8" s="14"/>
      <c r="E8" s="15" t="s">
        <v>75</v>
      </c>
      <c r="F8" s="18" t="s">
        <v>74</v>
      </c>
      <c r="H8" s="8" t="s">
        <v>73</v>
      </c>
      <c r="I8" s="16">
        <f>IFERROR(AVERAGE(I6,I7),"")</f>
        <v>21.3</v>
      </c>
      <c r="K8" s="15"/>
      <c r="L8" s="15"/>
    </row>
    <row r="9" spans="2:12" ht="16.2" x14ac:dyDescent="0.3">
      <c r="B9" s="15" t="s">
        <v>72</v>
      </c>
      <c r="C9" s="14" t="s">
        <v>67</v>
      </c>
      <c r="E9" s="15" t="s">
        <v>71</v>
      </c>
      <c r="F9" s="18" t="s">
        <v>70</v>
      </c>
      <c r="H9" s="8" t="s">
        <v>69</v>
      </c>
      <c r="I9" s="16">
        <f>VLOOKUP(I4,'BD Patron'!C6:L10,8,FALSE)</f>
        <v>0.42</v>
      </c>
      <c r="K9" s="15"/>
      <c r="L9" s="15"/>
    </row>
    <row r="10" spans="2:12" ht="16.2" x14ac:dyDescent="0.3">
      <c r="B10" s="15" t="s">
        <v>68</v>
      </c>
      <c r="C10" s="14" t="s">
        <v>67</v>
      </c>
      <c r="E10" s="15" t="s">
        <v>66</v>
      </c>
      <c r="F10" s="18" t="s">
        <v>65</v>
      </c>
      <c r="H10" s="8" t="s">
        <v>64</v>
      </c>
      <c r="I10" s="25">
        <f>VLOOKUP(I4,'BD Patron'!C6:L10,4,FALSE)</f>
        <v>0.1</v>
      </c>
      <c r="K10" s="15"/>
      <c r="L10" s="15"/>
    </row>
    <row r="11" spans="2:12" x14ac:dyDescent="0.3">
      <c r="E11" s="15" t="s">
        <v>63</v>
      </c>
      <c r="F11" s="18"/>
      <c r="H11" s="8" t="s">
        <v>62</v>
      </c>
      <c r="I11" s="23">
        <v>49.1</v>
      </c>
      <c r="K11" s="15"/>
      <c r="L11" s="15"/>
    </row>
    <row r="12" spans="2:12" x14ac:dyDescent="0.3">
      <c r="B12" s="24"/>
      <c r="C12" t="s">
        <v>61</v>
      </c>
      <c r="E12" s="15" t="s">
        <v>60</v>
      </c>
      <c r="F12" s="18" t="s">
        <v>59</v>
      </c>
      <c r="H12" s="8" t="s">
        <v>58</v>
      </c>
      <c r="I12" s="23">
        <v>49.6</v>
      </c>
      <c r="K12" s="15"/>
      <c r="L12" s="15"/>
    </row>
    <row r="13" spans="2:12" x14ac:dyDescent="0.3">
      <c r="E13" s="15" t="s">
        <v>57</v>
      </c>
      <c r="F13" s="18" t="s">
        <v>25</v>
      </c>
      <c r="H13" s="8" t="s">
        <v>56</v>
      </c>
      <c r="I13" s="17">
        <f>IFERROR(AVERAGE(I11,I12),"")</f>
        <v>49.35</v>
      </c>
      <c r="K13" s="15"/>
      <c r="L13" s="15"/>
    </row>
    <row r="14" spans="2:12" x14ac:dyDescent="0.3">
      <c r="B14" s="1"/>
      <c r="C14" t="s">
        <v>55</v>
      </c>
      <c r="E14" s="15" t="s">
        <v>54</v>
      </c>
      <c r="F14" s="18" t="s">
        <v>53</v>
      </c>
      <c r="H14" s="8" t="s">
        <v>52</v>
      </c>
      <c r="I14" s="16">
        <f>VLOOKUP(I4,'BD Patron'!C6:L10,9,FALSE)</f>
        <v>1.3</v>
      </c>
      <c r="K14" s="15"/>
      <c r="L14" s="15"/>
    </row>
    <row r="15" spans="2:12" x14ac:dyDescent="0.3">
      <c r="E15" s="15" t="s">
        <v>51</v>
      </c>
      <c r="F15" s="18" t="s">
        <v>25</v>
      </c>
      <c r="H15" s="8" t="s">
        <v>50</v>
      </c>
      <c r="I15" s="22">
        <f>VLOOKUP(I4,'BD Patron'!C6:L10,5,FALSE)</f>
        <v>0.1</v>
      </c>
      <c r="K15" s="15"/>
      <c r="L15" s="15"/>
    </row>
    <row r="16" spans="2:12" x14ac:dyDescent="0.3">
      <c r="B16" s="21"/>
      <c r="C16" t="s">
        <v>49</v>
      </c>
      <c r="E16" s="15" t="s">
        <v>48</v>
      </c>
      <c r="F16" s="18"/>
      <c r="H16" s="8" t="s">
        <v>47</v>
      </c>
      <c r="I16" s="20">
        <v>1001</v>
      </c>
      <c r="K16" s="15"/>
      <c r="L16" s="15"/>
    </row>
    <row r="17" spans="2:10" x14ac:dyDescent="0.3">
      <c r="E17" s="15" t="s">
        <v>46</v>
      </c>
      <c r="F17" s="18"/>
      <c r="H17" s="8" t="s">
        <v>45</v>
      </c>
      <c r="I17" s="20">
        <v>1001</v>
      </c>
    </row>
    <row r="18" spans="2:10" x14ac:dyDescent="0.3">
      <c r="B18" s="19"/>
      <c r="C18" t="s">
        <v>44</v>
      </c>
      <c r="E18" s="15" t="s">
        <v>43</v>
      </c>
      <c r="F18" s="18" t="s">
        <v>14</v>
      </c>
      <c r="H18" s="8" t="s">
        <v>42</v>
      </c>
      <c r="I18" s="17">
        <f>IFERROR(AVERAGE(I16:I17),"")</f>
        <v>1001</v>
      </c>
    </row>
    <row r="19" spans="2:10" x14ac:dyDescent="0.3">
      <c r="E19" s="15"/>
      <c r="F19" s="14"/>
      <c r="H19" s="8" t="s">
        <v>41</v>
      </c>
      <c r="I19" s="16">
        <v>10</v>
      </c>
    </row>
    <row r="20" spans="2:10" x14ac:dyDescent="0.3">
      <c r="E20" s="15"/>
      <c r="F20" s="14"/>
    </row>
    <row r="22" spans="2:10" x14ac:dyDescent="0.3">
      <c r="G22" s="13" t="s">
        <v>40</v>
      </c>
      <c r="H22" s="13"/>
      <c r="I22" s="4"/>
      <c r="J22" s="4"/>
    </row>
    <row r="23" spans="2:10" ht="15.6" x14ac:dyDescent="0.3">
      <c r="B23" s="7" t="s">
        <v>35</v>
      </c>
      <c r="C23" s="6" t="s">
        <v>39</v>
      </c>
      <c r="H23" s="12" t="s">
        <v>38</v>
      </c>
      <c r="I23" s="12" t="s">
        <v>37</v>
      </c>
    </row>
    <row r="24" spans="2:10" x14ac:dyDescent="0.3">
      <c r="B24" s="3" t="s">
        <v>33</v>
      </c>
      <c r="C24" s="3">
        <v>0.3</v>
      </c>
      <c r="G24" s="11" t="s">
        <v>29</v>
      </c>
      <c r="H24" s="3" t="str">
        <f>IFERROR(IF(MATCH(G24,Calibración!$CQ$5:$CQ$54,0)&gt;0,ABS($I$6-$I$7),),"")</f>
        <v/>
      </c>
      <c r="I24" s="3" t="str">
        <f>IF(H24&lt;&gt;"",ABS($I$11-$I$12),"")</f>
        <v/>
      </c>
    </row>
    <row r="25" spans="2:10" x14ac:dyDescent="0.3">
      <c r="B25" s="3" t="s">
        <v>32</v>
      </c>
      <c r="C25" s="3">
        <v>0.7</v>
      </c>
      <c r="G25" s="11" t="s">
        <v>27</v>
      </c>
      <c r="H25" s="3" t="str">
        <f>IFERROR(IF(MATCH(G25,Calibración!$CQ$5:$CQ$54,0)&gt;0,ABS($I$6-$I$7),),"")</f>
        <v/>
      </c>
      <c r="I25" s="3" t="str">
        <f>IF(H25&lt;&gt;"",ABS($I$11-$I$12),"")</f>
        <v/>
      </c>
    </row>
    <row r="26" spans="2:10" x14ac:dyDescent="0.3">
      <c r="B26" s="3" t="s">
        <v>29</v>
      </c>
      <c r="C26" s="3">
        <v>1.5</v>
      </c>
      <c r="G26" s="11" t="s">
        <v>26</v>
      </c>
      <c r="H26" s="3" t="str">
        <f>IFERROR(IF(MATCH(G26,Calibración!$CQ$5:$CQ$54,0)&gt;0,ABS($I$6-$I$7),),"")</f>
        <v/>
      </c>
      <c r="I26" s="10"/>
    </row>
    <row r="27" spans="2:10" x14ac:dyDescent="0.3">
      <c r="B27" s="3" t="s">
        <v>27</v>
      </c>
      <c r="C27" s="3">
        <v>2</v>
      </c>
    </row>
    <row r="28" spans="2:10" x14ac:dyDescent="0.3">
      <c r="B28" s="3" t="s">
        <v>26</v>
      </c>
      <c r="C28" s="3">
        <v>3</v>
      </c>
      <c r="G28" s="9"/>
      <c r="H28" s="8" t="s">
        <v>36</v>
      </c>
    </row>
    <row r="29" spans="2:10" x14ac:dyDescent="0.3">
      <c r="B29" s="7" t="s">
        <v>35</v>
      </c>
      <c r="C29" s="6" t="s">
        <v>34</v>
      </c>
    </row>
    <row r="30" spans="2:10" x14ac:dyDescent="0.3">
      <c r="B30" s="3" t="s">
        <v>33</v>
      </c>
      <c r="C30" s="3">
        <v>5</v>
      </c>
    </row>
    <row r="31" spans="2:10" x14ac:dyDescent="0.3">
      <c r="B31" s="3" t="s">
        <v>32</v>
      </c>
      <c r="C31" s="3">
        <v>10</v>
      </c>
      <c r="D31" s="5" t="s">
        <v>31</v>
      </c>
      <c r="E31" s="4" t="s">
        <v>30</v>
      </c>
      <c r="F31" s="4"/>
      <c r="G31" s="4"/>
      <c r="H31" s="4"/>
    </row>
    <row r="32" spans="2:10" x14ac:dyDescent="0.3">
      <c r="B32" s="3" t="s">
        <v>29</v>
      </c>
      <c r="C32" s="3">
        <v>15</v>
      </c>
      <c r="E32" s="4" t="s">
        <v>28</v>
      </c>
      <c r="F32" s="4"/>
      <c r="G32" s="4"/>
      <c r="H32" s="4"/>
    </row>
    <row r="33" spans="2:3" x14ac:dyDescent="0.3">
      <c r="B33" s="3" t="s">
        <v>27</v>
      </c>
      <c r="C33" s="3">
        <v>15</v>
      </c>
    </row>
    <row r="34" spans="2:3" x14ac:dyDescent="0.3">
      <c r="B34" s="3" t="s">
        <v>26</v>
      </c>
      <c r="C34" s="3" t="s">
        <v>25</v>
      </c>
    </row>
    <row r="100" spans="23:23" x14ac:dyDescent="0.3">
      <c r="W100" s="1" t="s">
        <v>24</v>
      </c>
    </row>
    <row r="101" spans="23:23" x14ac:dyDescent="0.3">
      <c r="W101" s="1" t="s">
        <v>23</v>
      </c>
    </row>
    <row r="102" spans="23:23" x14ac:dyDescent="0.3">
      <c r="W102" s="1" t="s">
        <v>22</v>
      </c>
    </row>
    <row r="103" spans="23:23" x14ac:dyDescent="0.3">
      <c r="W103" s="1" t="s">
        <v>21</v>
      </c>
    </row>
    <row r="104" spans="23:23" x14ac:dyDescent="0.3">
      <c r="W104" s="1" t="s">
        <v>20</v>
      </c>
    </row>
    <row r="105" spans="23:23" x14ac:dyDescent="0.3">
      <c r="W105" s="1" t="s">
        <v>19</v>
      </c>
    </row>
    <row r="106" spans="23:23" x14ac:dyDescent="0.3">
      <c r="W106" s="1" t="s">
        <v>18</v>
      </c>
    </row>
    <row r="108" spans="23:23" x14ac:dyDescent="0.3">
      <c r="W108" s="1" t="s">
        <v>17</v>
      </c>
    </row>
    <row r="109" spans="23:23" x14ac:dyDescent="0.3">
      <c r="W109" s="1" t="s">
        <v>16</v>
      </c>
    </row>
    <row r="111" spans="23:23" x14ac:dyDescent="0.3">
      <c r="W111" s="1" t="s">
        <v>15</v>
      </c>
    </row>
    <row r="112" spans="23:23" x14ac:dyDescent="0.3">
      <c r="W112" s="1" t="s">
        <v>14</v>
      </c>
    </row>
    <row r="113" spans="23:23" x14ac:dyDescent="0.3">
      <c r="W113" s="1" t="s">
        <v>13</v>
      </c>
    </row>
    <row r="114" spans="23:23" x14ac:dyDescent="0.3">
      <c r="W114" s="1" t="s">
        <v>12</v>
      </c>
    </row>
    <row r="115" spans="23:23" x14ac:dyDescent="0.3">
      <c r="W115" s="1" t="s">
        <v>4</v>
      </c>
    </row>
    <row r="117" spans="23:23" x14ac:dyDescent="0.3">
      <c r="W117" s="1" t="s">
        <v>11</v>
      </c>
    </row>
    <row r="118" spans="23:23" x14ac:dyDescent="0.3">
      <c r="W118" s="1" t="s">
        <v>10</v>
      </c>
    </row>
    <row r="120" spans="23:23" x14ac:dyDescent="0.3">
      <c r="W120" s="1" t="s">
        <v>9</v>
      </c>
    </row>
    <row r="121" spans="23:23" x14ac:dyDescent="0.3">
      <c r="W121" s="1" t="s">
        <v>8</v>
      </c>
    </row>
    <row r="122" spans="23:23" x14ac:dyDescent="0.3">
      <c r="W122" s="1" t="s">
        <v>7</v>
      </c>
    </row>
    <row r="124" spans="23:23" x14ac:dyDescent="0.3">
      <c r="W124" s="1" t="s">
        <v>6</v>
      </c>
    </row>
    <row r="125" spans="23:23" x14ac:dyDescent="0.3">
      <c r="W125" s="1" t="s">
        <v>5</v>
      </c>
    </row>
    <row r="126" spans="23:23" x14ac:dyDescent="0.3">
      <c r="W126" s="1" t="s">
        <v>4</v>
      </c>
    </row>
    <row r="128" spans="23:23" x14ac:dyDescent="0.3">
      <c r="W128" s="1" t="s">
        <v>3</v>
      </c>
    </row>
    <row r="129" spans="23:31" x14ac:dyDescent="0.3">
      <c r="W129" s="1" t="s">
        <v>2</v>
      </c>
      <c r="AE129" s="2"/>
    </row>
    <row r="130" spans="23:31" x14ac:dyDescent="0.3">
      <c r="W130" s="1" t="s">
        <v>1</v>
      </c>
    </row>
    <row r="131" spans="23:31" x14ac:dyDescent="0.3">
      <c r="W131" s="1" t="s">
        <v>0</v>
      </c>
    </row>
  </sheetData>
  <sheetProtection algorithmName="SHA-512" hashValue="ua70bRl6GnHcaPH61/uSgMeRauG7ccZ9IC3elq4FIFQD+Eh2UTGuvlZAmTyf6szTBfbfXzTFf8xvPKZbjgg4cA==" saltValue="Up6WqZmEUcTaWULgfwsAyA==" spinCount="100000" sheet="1" formatCells="0" formatColumns="0" formatRows="0"/>
  <dataValidations count="5">
    <dataValidation type="list" allowBlank="1" showInputMessage="1" showErrorMessage="1" sqref="L6" xr:uid="{00000000-0002-0000-0000-000004000000}">
      <formula1>$W$120:$W$122</formula1>
    </dataValidation>
    <dataValidation type="list" allowBlank="1" showInputMessage="1" showErrorMessage="1" sqref="I3" xr:uid="{00000000-0002-0000-0000-000003000000}">
      <formula1>$W$117:$W$118</formula1>
    </dataValidation>
    <dataValidation type="list" allowBlank="1" showInputMessage="1" showErrorMessage="1" sqref="F18:F20" xr:uid="{00000000-0002-0000-0000-000002000000}">
      <formula1>$W$111:$W$115</formula1>
    </dataValidation>
    <dataValidation type="list" allowBlank="1" showInputMessage="1" showErrorMessage="1" sqref="F11" xr:uid="{00000000-0002-0000-0000-000001000000}">
      <formula1>$W$108:$W$109</formula1>
    </dataValidation>
    <dataValidation type="list" allowBlank="1" showInputMessage="1" showErrorMessage="1" sqref="F7" xr:uid="{00000000-0002-0000-0000-000000000000}">
      <formula1>$W$100:$W$106</formula1>
    </dataValidation>
  </dataValidations>
  <pageMargins left="0.7" right="0.7" top="0.75" bottom="0.75" header="0.3" footer="0.3"/>
  <pageSetup orientation="portrait" horizontalDpi="1200" verticalDpi="1200" r:id="rId1"/>
  <tableParts count="4">
    <tablePart r:id="rId2"/>
    <tablePart r:id="rId3"/>
    <tablePart r:id="rId4"/>
    <tablePart r:id="rId5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839FB-7996-4CD6-8DC7-D80FEF1EB3B1}">
  <dimension ref="B1:DG506"/>
  <sheetViews>
    <sheetView zoomScaleNormal="100" workbookViewId="0">
      <selection activeCell="J23" sqref="J23"/>
    </sheetView>
  </sheetViews>
  <sheetFormatPr baseColWidth="10" defaultColWidth="9.109375" defaultRowHeight="14.4" x14ac:dyDescent="0.3"/>
  <cols>
    <col min="1" max="1" width="3.44140625" customWidth="1"/>
    <col min="2" max="2" width="19.33203125" customWidth="1"/>
    <col min="3" max="3" width="12.6640625" customWidth="1"/>
    <col min="4" max="4" width="12.88671875" customWidth="1"/>
    <col min="5" max="5" width="12.33203125" bestFit="1" customWidth="1"/>
    <col min="6" max="6" width="15.6640625" customWidth="1"/>
    <col min="7" max="7" width="12.33203125" bestFit="1" customWidth="1"/>
    <col min="8" max="8" width="13.33203125" bestFit="1" customWidth="1"/>
    <col min="9" max="9" width="10.33203125" customWidth="1"/>
    <col min="10" max="10" width="9" customWidth="1"/>
    <col min="11" max="11" width="4.5546875" customWidth="1"/>
    <col min="12" max="12" width="4.33203125" customWidth="1"/>
    <col min="13" max="13" width="27.6640625" customWidth="1"/>
    <col min="14" max="16" width="8.6640625" customWidth="1"/>
    <col min="17" max="17" width="9.33203125" bestFit="1" customWidth="1"/>
    <col min="18" max="19" width="9.33203125" customWidth="1"/>
    <col min="20" max="20" width="27.6640625" customWidth="1"/>
    <col min="21" max="23" width="8.6640625" customWidth="1"/>
    <col min="24" max="24" width="9.109375" bestFit="1" customWidth="1"/>
    <col min="25" max="25" width="9.109375" customWidth="1"/>
    <col min="26" max="26" width="10.109375" bestFit="1" customWidth="1"/>
    <col min="27" max="27" width="27.6640625" customWidth="1"/>
    <col min="28" max="30" width="8.6640625" customWidth="1"/>
    <col min="31" max="31" width="9.109375" bestFit="1" customWidth="1"/>
    <col min="32" max="33" width="9.109375" customWidth="1"/>
    <col min="34" max="34" width="27.6640625" customWidth="1"/>
    <col min="35" max="37" width="8.6640625" customWidth="1"/>
    <col min="38" max="38" width="9.33203125" bestFit="1" customWidth="1"/>
    <col min="39" max="40" width="9.33203125" customWidth="1"/>
    <col min="41" max="41" width="27.6640625" customWidth="1"/>
    <col min="42" max="44" width="8.6640625" customWidth="1"/>
    <col min="45" max="45" width="9.33203125" bestFit="1" customWidth="1"/>
    <col min="46" max="47" width="9.33203125" customWidth="1"/>
    <col min="48" max="48" width="27.6640625" customWidth="1"/>
    <col min="49" max="51" width="8.6640625" customWidth="1"/>
    <col min="52" max="52" width="9.109375" bestFit="1" customWidth="1"/>
    <col min="53" max="54" width="9.109375" customWidth="1"/>
    <col min="55" max="55" width="27.6640625" customWidth="1"/>
    <col min="56" max="61" width="8.6640625" customWidth="1"/>
    <col min="62" max="62" width="27.6640625" customWidth="1"/>
    <col min="63" max="65" width="8.6640625" customWidth="1"/>
    <col min="66" max="67" width="8.5546875" bestFit="1" customWidth="1"/>
    <col min="68" max="68" width="9.6640625" bestFit="1" customWidth="1"/>
    <col min="69" max="69" width="27.6640625" customWidth="1"/>
    <col min="70" max="72" width="8.6640625" customWidth="1"/>
    <col min="73" max="74" width="8.5546875" bestFit="1" customWidth="1"/>
    <col min="75" max="75" width="9.6640625" bestFit="1" customWidth="1"/>
    <col min="76" max="76" width="27.6640625" customWidth="1"/>
    <col min="77" max="79" width="8.6640625" customWidth="1"/>
    <col min="80" max="80" width="10" bestFit="1" customWidth="1"/>
    <col min="81" max="81" width="9.109375" bestFit="1" customWidth="1"/>
    <col min="82" max="82" width="10.6640625" bestFit="1" customWidth="1"/>
    <col min="83" max="83" width="4.33203125" customWidth="1"/>
    <col min="84" max="84" width="8.88671875" customWidth="1"/>
    <col min="85" max="85" width="4" hidden="1" customWidth="1"/>
    <col min="86" max="86" width="29.109375" hidden="1" customWidth="1"/>
    <col min="87" max="87" width="14.44140625" hidden="1" customWidth="1"/>
    <col min="88" max="88" width="7.33203125" hidden="1" customWidth="1"/>
    <col min="89" max="89" width="38.44140625" hidden="1" customWidth="1"/>
    <col min="90" max="90" width="17.33203125" hidden="1" customWidth="1"/>
    <col min="91" max="91" width="6" hidden="1" customWidth="1"/>
    <col min="92" max="92" width="6" customWidth="1"/>
    <col min="93" max="93" width="4.6640625" customWidth="1"/>
    <col min="94" max="94" width="13.33203125" bestFit="1" customWidth="1"/>
    <col min="95" max="95" width="5.33203125" bestFit="1" customWidth="1"/>
    <col min="96" max="96" width="10.33203125" customWidth="1"/>
    <col min="97" max="97" width="31.33203125" customWidth="1"/>
    <col min="98" max="98" width="43.6640625" customWidth="1"/>
    <col min="99" max="99" width="17.33203125" style="32" customWidth="1"/>
    <col min="100" max="100" width="4.6640625" hidden="1" customWidth="1"/>
    <col min="101" max="101" width="22.6640625" hidden="1" customWidth="1"/>
    <col min="102" max="102" width="4.44140625" customWidth="1"/>
    <col min="103" max="103" width="7.5546875" customWidth="1"/>
    <col min="104" max="104" width="11.6640625" customWidth="1"/>
    <col min="105" max="105" width="11.33203125" customWidth="1"/>
    <col min="106" max="106" width="25.6640625" customWidth="1"/>
    <col min="107" max="107" width="11" bestFit="1" customWidth="1"/>
    <col min="110" max="110" width="21.33203125" style="1" bestFit="1" customWidth="1"/>
    <col min="111" max="111" width="9.109375" style="1"/>
    <col min="118" max="118" width="21" customWidth="1"/>
    <col min="119" max="119" width="32" customWidth="1"/>
  </cols>
  <sheetData>
    <row r="1" spans="2:111" x14ac:dyDescent="0.3">
      <c r="F1" s="4" t="s">
        <v>267</v>
      </c>
      <c r="G1" s="4"/>
      <c r="H1" s="137" t="s">
        <v>266</v>
      </c>
      <c r="M1" s="112" t="s">
        <v>265</v>
      </c>
      <c r="CS1" s="32"/>
      <c r="CU1"/>
      <c r="DC1" s="1" t="s">
        <v>264</v>
      </c>
      <c r="DD1" s="1"/>
      <c r="DF1"/>
      <c r="DG1"/>
    </row>
    <row r="2" spans="2:111" x14ac:dyDescent="0.3">
      <c r="B2" s="136" t="s">
        <v>263</v>
      </c>
      <c r="C2" s="135"/>
      <c r="D2" s="135" t="s">
        <v>262</v>
      </c>
      <c r="F2" s="111" t="s">
        <v>261</v>
      </c>
      <c r="G2" s="134" t="s">
        <v>260</v>
      </c>
      <c r="H2" s="134" t="s">
        <v>259</v>
      </c>
      <c r="I2" s="134" t="s">
        <v>258</v>
      </c>
      <c r="J2" s="134" t="s">
        <v>257</v>
      </c>
      <c r="K2" s="46"/>
      <c r="CP2" s="4" t="s">
        <v>256</v>
      </c>
      <c r="CQ2" s="4"/>
      <c r="CR2" s="4"/>
      <c r="CS2" s="133"/>
      <c r="CT2" s="132">
        <f>49-COUNTBLANK(CS6:CS54)</f>
        <v>0</v>
      </c>
      <c r="CU2"/>
      <c r="DC2" s="1" t="s">
        <v>255</v>
      </c>
      <c r="DD2" s="1"/>
      <c r="DF2"/>
      <c r="DG2"/>
    </row>
    <row r="3" spans="2:111" x14ac:dyDescent="0.3">
      <c r="B3" s="94"/>
      <c r="F3" s="111" t="s">
        <v>254</v>
      </c>
      <c r="G3" s="131">
        <v>0</v>
      </c>
      <c r="H3" s="100">
        <v>520</v>
      </c>
      <c r="I3" s="62"/>
      <c r="J3" s="130"/>
      <c r="K3" s="46"/>
      <c r="M3" s="129" t="s">
        <v>253</v>
      </c>
      <c r="N3" s="127">
        <f>SUM(tblCompPuntosCal[mN1])</f>
        <v>0</v>
      </c>
      <c r="O3" s="127">
        <f>SUM(tblCompPuntosCal[mc1])</f>
        <v>0</v>
      </c>
      <c r="P3" s="126">
        <f>SUM(tblCompPuntosCal[u(δmc1)])</f>
        <v>0</v>
      </c>
      <c r="Q3" s="126">
        <f>SUM(tblCompPuntosCal[u(δmD1)])</f>
        <v>0</v>
      </c>
      <c r="R3" s="126">
        <f>SUM(tblCompPuntosCal[u(δmB1)])</f>
        <v>0</v>
      </c>
      <c r="S3" s="126">
        <f>SUM(tblCompPuntosCal[u(δmconv1)])</f>
        <v>0</v>
      </c>
      <c r="T3" s="128" t="s">
        <v>252</v>
      </c>
      <c r="U3" s="127">
        <f>SUM(tblCompPuntosCal[mN2])</f>
        <v>0</v>
      </c>
      <c r="V3" s="127">
        <f>SUM(tblCompPuntosCal[mc2])</f>
        <v>0</v>
      </c>
      <c r="W3" s="126">
        <f>SUM(tblCompPuntosCal[u(δmc2)])</f>
        <v>0</v>
      </c>
      <c r="X3" s="126">
        <f>SUM(tblCompPuntosCal[u(δmD2)])</f>
        <v>0</v>
      </c>
      <c r="Y3" s="126">
        <f>SUM(tblCompPuntosCal[u(δmB2)])</f>
        <v>0</v>
      </c>
      <c r="Z3" s="126">
        <f>SUM(tblCompPuntosCal[u(δmconv2)])</f>
        <v>0</v>
      </c>
      <c r="AA3" s="128" t="s">
        <v>252</v>
      </c>
      <c r="AB3" s="127">
        <f>SUM(tblCompPuntosCal[mN3])</f>
        <v>0</v>
      </c>
      <c r="AC3" s="127">
        <f>SUM(tblCompPuntosCal[mc3])</f>
        <v>0</v>
      </c>
      <c r="AD3" s="126">
        <f>SUM(tblCompPuntosCal[u(δmc3)])</f>
        <v>0</v>
      </c>
      <c r="AE3" s="126">
        <f>SUM(tblCompPuntosCal[u(δmD3)])</f>
        <v>0</v>
      </c>
      <c r="AF3" s="126">
        <f>SUM(tblCompPuntosCal[u(δmB3)])</f>
        <v>0</v>
      </c>
      <c r="AG3" s="126">
        <f>SUM(tblCompPuntosCal[u(δmconv3)])</f>
        <v>0</v>
      </c>
      <c r="AH3" s="128" t="s">
        <v>252</v>
      </c>
      <c r="AI3" s="127">
        <f>SUM(tblCompPuntosCal[mN4])</f>
        <v>0</v>
      </c>
      <c r="AJ3" s="127">
        <f>SUM(tblCompPuntosCal[mc4])</f>
        <v>0</v>
      </c>
      <c r="AK3" s="126">
        <f>SUM(tblCompPuntosCal[u(δmc4)])</f>
        <v>0</v>
      </c>
      <c r="AL3" s="126">
        <f>SUM(tblCompPuntosCal[u(δmD4)])</f>
        <v>0</v>
      </c>
      <c r="AM3" s="126">
        <f>SUM(tblCompPuntosCal[u(δmB4)])</f>
        <v>0</v>
      </c>
      <c r="AN3" s="126">
        <f>SUM(tblCompPuntosCal[u(δmconv4)])</f>
        <v>0</v>
      </c>
      <c r="AO3" s="128" t="s">
        <v>252</v>
      </c>
      <c r="AP3" s="127">
        <f>SUM(tblCompPuntosCal[mN5])</f>
        <v>0</v>
      </c>
      <c r="AQ3" s="127">
        <f>SUM(tblCompPuntosCal[mc5])</f>
        <v>0</v>
      </c>
      <c r="AR3" s="126">
        <f>SUM(tblCompPuntosCal[u(δmc5)])</f>
        <v>0</v>
      </c>
      <c r="AS3" s="126">
        <f>SUM(tblCompPuntosCal[u(δmD5)])</f>
        <v>0</v>
      </c>
      <c r="AT3" s="126">
        <f>SUM(tblCompPuntosCal[u(δmB5)])</f>
        <v>0</v>
      </c>
      <c r="AU3" s="126">
        <f>SUM(tblCompPuntosCal[u(δmconv5)])</f>
        <v>0</v>
      </c>
      <c r="AV3" s="128" t="s">
        <v>252</v>
      </c>
      <c r="AW3" s="127">
        <f>SUM(tblCompPuntosCal[mN6])</f>
        <v>0</v>
      </c>
      <c r="AX3" s="127">
        <f>SUM(tblCompPuntosCal[mc6])</f>
        <v>0</v>
      </c>
      <c r="AY3" s="127">
        <f>SUM(tblCompPuntosCal[u(δmc6)])</f>
        <v>0</v>
      </c>
      <c r="AZ3" s="127">
        <f>SUM(tblCompPuntosCal[u(δmD6)])</f>
        <v>0</v>
      </c>
      <c r="BA3" s="127">
        <f>SUM(tblCompPuntosCal[u(δmB6)])</f>
        <v>0</v>
      </c>
      <c r="BB3" s="127">
        <f>SUM(tblCompPuntosCal[u(δmconv6)])</f>
        <v>0</v>
      </c>
      <c r="BC3" s="128" t="s">
        <v>252</v>
      </c>
      <c r="BD3" s="127">
        <f>SUM(tblCompPuntosCal[mN7])</f>
        <v>0</v>
      </c>
      <c r="BE3" s="127">
        <f>SUM(tblCompPuntosCal[mc7])</f>
        <v>0</v>
      </c>
      <c r="BF3" s="126">
        <f>SUM(tblCompPuntosCal[u(δmc7)])</f>
        <v>0</v>
      </c>
      <c r="BG3" s="126">
        <f>SUM(tblCompPuntosCal[u(δmD7)])</f>
        <v>0</v>
      </c>
      <c r="BH3" s="126">
        <f>SUM(tblCompPuntosCal[u(δmB7)])</f>
        <v>0</v>
      </c>
      <c r="BI3" s="126">
        <f>SUM(tblCompPuntosCal[u(δmconv7)])</f>
        <v>0</v>
      </c>
      <c r="BJ3" s="128" t="s">
        <v>252</v>
      </c>
      <c r="BK3" s="127">
        <f>SUM(tblCompPuntosCal[mN8])</f>
        <v>0</v>
      </c>
      <c r="BL3" s="127">
        <f>SUM(tblCompPuntosCal[mc8])</f>
        <v>0</v>
      </c>
      <c r="BM3" s="126">
        <f>SUM(tblCompPuntosCal[u(δmc8)])</f>
        <v>0</v>
      </c>
      <c r="BN3" s="126">
        <f>SUM(tblCompPuntosCal[u(δmD8)])</f>
        <v>0</v>
      </c>
      <c r="BO3" s="126">
        <f>SUM(tblCompPuntosCal[u(δmB8)])</f>
        <v>0</v>
      </c>
      <c r="BP3" s="126">
        <f>SUM(tblCompPuntosCal[u(δmconv8)])</f>
        <v>0</v>
      </c>
      <c r="BQ3" s="128" t="s">
        <v>252</v>
      </c>
      <c r="BR3" s="127">
        <f>SUM(tblCompPuntosCal[mN9])</f>
        <v>0</v>
      </c>
      <c r="BS3" s="127">
        <f>SUM(tblCompPuntosCal[mc9])</f>
        <v>0</v>
      </c>
      <c r="BT3" s="126">
        <f>SUM(tblCompPuntosCal[u(δmc9)])</f>
        <v>0</v>
      </c>
      <c r="BU3" s="126">
        <f>SUM(tblCompPuntosCal[u(δmD9)])</f>
        <v>0</v>
      </c>
      <c r="BV3" s="126">
        <f>SUM(tblCompPuntosCal[u(δmB9)])</f>
        <v>0</v>
      </c>
      <c r="BW3" s="126">
        <f>SUM(tblCompPuntosCal[u(δmconv9)])</f>
        <v>0</v>
      </c>
      <c r="BX3" s="128" t="s">
        <v>252</v>
      </c>
      <c r="BY3" s="127">
        <f>SUM(tblCompPuntosCal[mN10])</f>
        <v>0</v>
      </c>
      <c r="BZ3" s="127">
        <f>SUM(tblCompPuntosCal[mc10])</f>
        <v>0</v>
      </c>
      <c r="CA3" s="126">
        <f>SUM(tblCompPuntosCal[u(δmc10)])</f>
        <v>0</v>
      </c>
      <c r="CB3" s="126">
        <f>SUM(tblCompPuntosCal[u(δmD10)])</f>
        <v>0</v>
      </c>
      <c r="CC3" s="126">
        <f>SUM(tblCompPuntosCal[u(δmB10)])</f>
        <v>0</v>
      </c>
      <c r="CD3" s="126">
        <f>SUM(tblCompPuntosCal[u(δmconv10)])</f>
        <v>0</v>
      </c>
      <c r="CS3" s="32"/>
      <c r="CU3"/>
      <c r="DC3" s="1"/>
      <c r="DD3" s="1"/>
      <c r="DF3"/>
      <c r="DG3"/>
    </row>
    <row r="4" spans="2:111" ht="15.6" x14ac:dyDescent="0.3">
      <c r="B4" s="125" t="s">
        <v>251</v>
      </c>
      <c r="C4" s="125"/>
      <c r="D4" s="125"/>
      <c r="L4" s="8">
        <v>1</v>
      </c>
      <c r="M4" s="123" t="s">
        <v>172</v>
      </c>
      <c r="N4" s="122" t="s">
        <v>250</v>
      </c>
      <c r="O4" s="122" t="s">
        <v>249</v>
      </c>
      <c r="P4" s="122" t="s">
        <v>248</v>
      </c>
      <c r="Q4" s="122" t="s">
        <v>247</v>
      </c>
      <c r="R4" s="122" t="s">
        <v>246</v>
      </c>
      <c r="S4" s="122" t="s">
        <v>245</v>
      </c>
      <c r="T4" s="123" t="s">
        <v>169</v>
      </c>
      <c r="U4" s="122" t="s">
        <v>244</v>
      </c>
      <c r="V4" s="122" t="s">
        <v>243</v>
      </c>
      <c r="W4" s="122" t="s">
        <v>242</v>
      </c>
      <c r="X4" s="122" t="s">
        <v>241</v>
      </c>
      <c r="Y4" s="122" t="s">
        <v>240</v>
      </c>
      <c r="Z4" s="122" t="s">
        <v>239</v>
      </c>
      <c r="AA4" s="123" t="s">
        <v>167</v>
      </c>
      <c r="AB4" s="122" t="s">
        <v>238</v>
      </c>
      <c r="AC4" s="122" t="s">
        <v>237</v>
      </c>
      <c r="AD4" s="122" t="s">
        <v>236</v>
      </c>
      <c r="AE4" s="122" t="s">
        <v>235</v>
      </c>
      <c r="AF4" s="122" t="s">
        <v>234</v>
      </c>
      <c r="AG4" s="122" t="s">
        <v>233</v>
      </c>
      <c r="AH4" s="123" t="s">
        <v>165</v>
      </c>
      <c r="AI4" s="122" t="s">
        <v>232</v>
      </c>
      <c r="AJ4" s="122" t="s">
        <v>231</v>
      </c>
      <c r="AK4" s="122" t="s">
        <v>230</v>
      </c>
      <c r="AL4" s="122" t="s">
        <v>229</v>
      </c>
      <c r="AM4" s="122" t="s">
        <v>228</v>
      </c>
      <c r="AN4" s="122" t="s">
        <v>227</v>
      </c>
      <c r="AO4" s="123" t="s">
        <v>164</v>
      </c>
      <c r="AP4" s="122" t="s">
        <v>226</v>
      </c>
      <c r="AQ4" s="121" t="s">
        <v>225</v>
      </c>
      <c r="AR4" s="122" t="s">
        <v>224</v>
      </c>
      <c r="AS4" s="122" t="s">
        <v>223</v>
      </c>
      <c r="AT4" s="122" t="s">
        <v>222</v>
      </c>
      <c r="AU4" s="122" t="s">
        <v>221</v>
      </c>
      <c r="AV4" s="123" t="s">
        <v>163</v>
      </c>
      <c r="AW4" s="122" t="s">
        <v>220</v>
      </c>
      <c r="AX4" s="122" t="s">
        <v>219</v>
      </c>
      <c r="AY4" s="124" t="s">
        <v>218</v>
      </c>
      <c r="AZ4" s="124" t="s">
        <v>217</v>
      </c>
      <c r="BA4" s="124" t="s">
        <v>216</v>
      </c>
      <c r="BB4" s="124" t="s">
        <v>215</v>
      </c>
      <c r="BC4" s="123" t="s">
        <v>161</v>
      </c>
      <c r="BD4" s="122" t="s">
        <v>214</v>
      </c>
      <c r="BE4" s="122" t="s">
        <v>213</v>
      </c>
      <c r="BF4" s="122" t="s">
        <v>212</v>
      </c>
      <c r="BG4" s="122" t="s">
        <v>211</v>
      </c>
      <c r="BH4" s="122" t="s">
        <v>210</v>
      </c>
      <c r="BI4" s="122" t="s">
        <v>209</v>
      </c>
      <c r="BJ4" s="123" t="s">
        <v>159</v>
      </c>
      <c r="BK4" s="122" t="s">
        <v>208</v>
      </c>
      <c r="BL4" s="122" t="s">
        <v>207</v>
      </c>
      <c r="BM4" s="122" t="s">
        <v>206</v>
      </c>
      <c r="BN4" s="122" t="s">
        <v>205</v>
      </c>
      <c r="BO4" s="122" t="s">
        <v>204</v>
      </c>
      <c r="BP4" s="122" t="s">
        <v>203</v>
      </c>
      <c r="BQ4" s="123" t="s">
        <v>158</v>
      </c>
      <c r="BR4" s="122" t="s">
        <v>202</v>
      </c>
      <c r="BS4" s="122" t="s">
        <v>201</v>
      </c>
      <c r="BT4" s="122" t="s">
        <v>200</v>
      </c>
      <c r="BU4" s="122" t="s">
        <v>199</v>
      </c>
      <c r="BV4" s="122" t="s">
        <v>198</v>
      </c>
      <c r="BW4" s="122" t="s">
        <v>197</v>
      </c>
      <c r="BX4" s="123" t="s">
        <v>157</v>
      </c>
      <c r="BY4" s="122" t="s">
        <v>196</v>
      </c>
      <c r="BZ4" s="122" t="s">
        <v>195</v>
      </c>
      <c r="CA4" s="121" t="s">
        <v>194</v>
      </c>
      <c r="CB4" s="121" t="s">
        <v>193</v>
      </c>
      <c r="CC4" s="122" t="s">
        <v>192</v>
      </c>
      <c r="CD4" s="121" t="s">
        <v>191</v>
      </c>
      <c r="CG4" s="120" t="s">
        <v>185</v>
      </c>
      <c r="CH4" s="119" t="s">
        <v>102</v>
      </c>
      <c r="CI4" s="118" t="s">
        <v>189</v>
      </c>
      <c r="CJ4" s="118" t="s">
        <v>188</v>
      </c>
      <c r="CK4" s="117" t="s">
        <v>187</v>
      </c>
      <c r="CL4" s="114" t="s">
        <v>190</v>
      </c>
      <c r="CM4" s="114" t="s">
        <v>35</v>
      </c>
      <c r="CP4" s="114" t="s">
        <v>189</v>
      </c>
      <c r="CQ4" s="114" t="s">
        <v>35</v>
      </c>
      <c r="CR4" s="114" t="s">
        <v>188</v>
      </c>
      <c r="CS4" s="116" t="s">
        <v>102</v>
      </c>
      <c r="CT4" s="115" t="s">
        <v>187</v>
      </c>
      <c r="CU4" s="114" t="s">
        <v>186</v>
      </c>
      <c r="CV4" s="114" t="s">
        <v>185</v>
      </c>
      <c r="CW4" s="114" t="s">
        <v>184</v>
      </c>
      <c r="DC4" s="1"/>
      <c r="DD4" s="1"/>
      <c r="DF4"/>
      <c r="DG4"/>
    </row>
    <row r="5" spans="2:111" ht="15.6" x14ac:dyDescent="0.3">
      <c r="B5" s="113" t="s">
        <v>183</v>
      </c>
      <c r="C5" s="8"/>
      <c r="D5" s="8"/>
      <c r="F5" s="112" t="s">
        <v>182</v>
      </c>
      <c r="G5" s="4"/>
      <c r="K5" s="46"/>
      <c r="L5" s="8">
        <v>2</v>
      </c>
      <c r="M5" s="62"/>
      <c r="N5" s="59" t="str">
        <f>IFERROR(VLOOKUP(tblCompPuntosCal[[#This Row],[Punto 1]],tblBD_PatronMasa[[Código Patrón]:[mpe]],4,FALSE),"")</f>
        <v/>
      </c>
      <c r="O5" s="59" t="str">
        <f>IFERROR(VLOOKUP(tblCompPuntosCal[[#This Row],[Punto 1]],tblBD_PatronMasa[[Código Patrón]:[mpe]],6,FALSE),"")</f>
        <v/>
      </c>
      <c r="P5" s="59" t="str">
        <f>IFERROR(VLOOKUP(tblCompPuntosCal[[#This Row],[Punto 1]],tblBD_PatronMasa[[Código Patrón]:[mpe]],7,FALSE),"")</f>
        <v/>
      </c>
      <c r="Q5" s="59" t="str">
        <f>IFERROR(VLOOKUP(tblCompPuntosCal[[#This Row],[Punto 1]],tblBD_PatronMasa[[Código Patrón]:[mpe]],9,FALSE),"")</f>
        <v/>
      </c>
      <c r="R5" s="63" t="str">
        <f>IF(switch="Sí",IFERROR(VLOOKUP(tblCompPuntosCal[[#This Row],[Punto 1]],'kU(E)'!$AB$7:$AK$56,10,FALSE)*1000,""),IFERROR(VLOOKUP(tblCompPuntosCal[[#This Row],[Punto 1]],'kU(E)'!$AB$7:$AK$56*1000,8,FALSE),""))</f>
        <v/>
      </c>
      <c r="S5" s="59" t="str">
        <f>IFERROR(IF('kU(E)'!$E$6&lt;&gt;0,INDEX(deltaMconv,MATCH(tblCompPuntosCal[[#This Row],[mN1]],MnomDeltaT),MATCH('kU(E)'!$E$6,deltaT,-1))/SQRT(3),""),"")</f>
        <v/>
      </c>
      <c r="T5" s="62"/>
      <c r="U5" s="59" t="str">
        <f>IFERROR(VLOOKUP(tblCompPuntosCal[[#This Row],[Punto 2]],tblBD_PatronMasa[[Código Patrón]:[mpe]],4,FALSE),"")</f>
        <v/>
      </c>
      <c r="V5" s="59" t="str">
        <f>IFERROR(VLOOKUP(tblCompPuntosCal[[#This Row],[Punto 2]],tblBD_PatronMasa[[Código Patrón]:[mpe]],6,FALSE),"")</f>
        <v/>
      </c>
      <c r="W5" s="59" t="str">
        <f>IFERROR(VLOOKUP(tblCompPuntosCal[[#This Row],[Punto 2]],tblBD_PatronMasa[[Código Patrón]:[mpe]],7,FALSE),"")</f>
        <v/>
      </c>
      <c r="X5" s="59" t="str">
        <f>IFERROR(VLOOKUP(tblCompPuntosCal[[#This Row],[Punto 2]],tblBD_PatronMasa[[Código Patrón]:[mpe]],9,FALSE),"")</f>
        <v/>
      </c>
      <c r="Y5" s="63" t="str">
        <f>IF(switch="Sí",IFERROR(VLOOKUP(tblCompPuntosCal[[#This Row],[Punto 2]],'kU(E)'!$AB$7:$AK$56,10,FALSE)*1000,""),IFERROR(VLOOKUP(tblCompPuntosCal[[#This Row],[Punto 2]],'kU(E)'!$AB$7:$AK$56*1000,8,FALSE),""))</f>
        <v/>
      </c>
      <c r="Z5" s="59" t="str">
        <f>IFERROR(IF('kU(E)'!$E$6&lt;&gt;0,INDEX(deltaMconv,MATCH(tblCompPuntosCal[[#This Row],[mN2]],MnomDeltaT),MATCH('kU(E)'!$E$6,deltaT,-1))/SQRT(3),""),"")</f>
        <v/>
      </c>
      <c r="AA5" s="62"/>
      <c r="AB5" s="59" t="str">
        <f>IFERROR(VLOOKUP(tblCompPuntosCal[[#This Row],[Punto 3]],tblBD_PatronMasa[[Código Patrón]:[mpe]],4,FALSE),"")</f>
        <v/>
      </c>
      <c r="AC5" s="59" t="str">
        <f>IFERROR(VLOOKUP(tblCompPuntosCal[[#This Row],[Punto 3]],tblBD_PatronMasa[[Código Patrón]:[mpe]],6,FALSE),"")</f>
        <v/>
      </c>
      <c r="AD5" s="59" t="str">
        <f>IFERROR(VLOOKUP(tblCompPuntosCal[[#This Row],[Punto 3]],tblBD_PatronMasa[[Código Patrón]:[mpe]],7,FALSE),"")</f>
        <v/>
      </c>
      <c r="AE5" s="59" t="str">
        <f>IFERROR(VLOOKUP(tblCompPuntosCal[[#This Row],[Punto 3]],tblBD_PatronMasa[[Código Patrón]:[mpe]],9,FALSE),"")</f>
        <v/>
      </c>
      <c r="AF5" s="63" t="str">
        <f>IF(switch="Sí",IFERROR(VLOOKUP(tblCompPuntosCal[[#This Row],[Punto 3]],'kU(E)'!$AB$7:$AK$56,10,FALSE)*1000,""),IFERROR(VLOOKUP(tblCompPuntosCal[[#This Row],[Punto 3]],'kU(E)'!$AB$7:$AK$56*1000,8,FALSE),""))</f>
        <v/>
      </c>
      <c r="AG5" s="59" t="str">
        <f>IFERROR(IF('kU(E)'!$E$6&lt;&gt;0,INDEX(deltaMconv,MATCH(tblCompPuntosCal[[#This Row],[mN3]],MnomDeltaT),MATCH('kU(E)'!$E$6,deltaT,-1))/SQRT(3),""),"")</f>
        <v/>
      </c>
      <c r="AH5" s="62"/>
      <c r="AI5" s="59" t="str">
        <f>IFERROR(VLOOKUP(tblCompPuntosCal[[#This Row],[Punto 4]],tblBD_PatronMasa[[Código Patrón]:[mpe]],4,FALSE),"")</f>
        <v/>
      </c>
      <c r="AJ5" s="59" t="str">
        <f>IFERROR(VLOOKUP(tblCompPuntosCal[[#This Row],[Punto 4]],tblBD_PatronMasa[[Código Patrón]:[mpe]],6,FALSE),"")</f>
        <v/>
      </c>
      <c r="AK5" s="59" t="str">
        <f>IFERROR(VLOOKUP(tblCompPuntosCal[[#This Row],[Punto 4]],tblBD_PatronMasa[[Código Patrón]:[mpe]],7,FALSE),"")</f>
        <v/>
      </c>
      <c r="AL5" s="59" t="str">
        <f>IFERROR(VLOOKUP(tblCompPuntosCal[[#This Row],[Punto 4]],tblBD_PatronMasa[[Código Patrón]:[mpe]],9,FALSE),"")</f>
        <v/>
      </c>
      <c r="AM5" s="63" t="str">
        <f>IF(switch="Sí",IFERROR(VLOOKUP(tblCompPuntosCal[[#This Row],[Punto 4]],'kU(E)'!$AB$7:$AK$56,10,FALSE)*1000,""),IFERROR(VLOOKUP(tblCompPuntosCal[[#This Row],[Punto 4]],'kU(E)'!$AB$7:$AK$56,8,FALSE)*1000,""))</f>
        <v/>
      </c>
      <c r="AN5" s="59" t="str">
        <f>IFERROR(IF('kU(E)'!$E$6&lt;&gt;0,INDEX(deltaMconv,MATCH(tblCompPuntosCal[[#This Row],[mN4]],MnomDeltaT),MATCH('kU(E)'!$E$6,deltaT,-1))/SQRT(3),""),"")</f>
        <v/>
      </c>
      <c r="AO5" s="62"/>
      <c r="AP5" s="59" t="str">
        <f>IFERROR(VLOOKUP(tblCompPuntosCal[[#This Row],[Punto 5]],tblBD_PatronMasa[[Código Patrón]:[mpe]],4,FALSE),"")</f>
        <v/>
      </c>
      <c r="AQ5" s="59" t="str">
        <f>IFERROR(VLOOKUP(tblCompPuntosCal[[#This Row],[Punto 5]],tblBD_PatronMasa[[Código Patrón]:[mpe]],6,FALSE),"")</f>
        <v/>
      </c>
      <c r="AR5" s="59" t="str">
        <f>IFERROR(VLOOKUP(tblCompPuntosCal[[#This Row],[Punto 5]],tblBD_PatronMasa[[Código Patrón]:[mpe]],7,FALSE),"")</f>
        <v/>
      </c>
      <c r="AS5" s="59" t="str">
        <f>IFERROR(VLOOKUP(tblCompPuntosCal[[#This Row],[Punto 5]],tblBD_PatronMasa[[Código Patrón]:[mpe]],9,FALSE),"")</f>
        <v/>
      </c>
      <c r="AT5" s="63" t="str">
        <f>IF(switch="Sí",IFERROR(VLOOKUP(tblCompPuntosCal[[#This Row],[Punto 5]],'kU(E)'!$AB$7:$AK$56,10,FALSE)*1000,""),IFERROR(VLOOKUP(tblCompPuntosCal[[#This Row],[Punto 5]],'kU(E)'!$AB$7:$AK$56,8,FALSE)*1000,""))</f>
        <v/>
      </c>
      <c r="AU5" s="59" t="str">
        <f>IFERROR(IF('kU(E)'!$E$6&lt;&gt;0,INDEX(deltaMconv,MATCH(tblCompPuntosCal[[#This Row],[mN5]],MnomDeltaT),MATCH('kU(E)'!$E$6,deltaT,-1))/SQRT(3),""),"")</f>
        <v/>
      </c>
      <c r="AV5" s="62"/>
      <c r="AW5" s="59" t="str">
        <f>IFERROR(VLOOKUP(tblCompPuntosCal[[#This Row],[Punto 6]],tblBD_PatronMasa[[Código Patrón]:[mpe]],4,FALSE),"")</f>
        <v/>
      </c>
      <c r="AX5" s="59" t="str">
        <f>IFERROR(VLOOKUP(tblCompPuntosCal[[#This Row],[Punto 6]],tblBD_PatronMasa[[Código Patrón]:[mpe]],6,FALSE),"")</f>
        <v/>
      </c>
      <c r="AY5" s="59" t="str">
        <f>IFERROR(VLOOKUP(tblCompPuntosCal[[#This Row],[Punto 6]],tblBD_PatronMasa[[Código Patrón]:[mpe]],7,FALSE),"")</f>
        <v/>
      </c>
      <c r="AZ5" s="59" t="str">
        <f>IFERROR(VLOOKUP(tblCompPuntosCal[[#This Row],[Punto 6]],tblBD_PatronMasa[[Código Patrón]:[mpe]],9,FALSE),"")</f>
        <v/>
      </c>
      <c r="BA5" s="63" t="str">
        <f>IF(switch="Sí",IFERROR(VLOOKUP(tblCompPuntosCal[[#This Row],[Punto 6]],'kU(E)'!$AB$7:$AK$56,10,FALSE)*1000,""),IFERROR(VLOOKUP(tblCompPuntosCal[[#This Row],[Punto 6]],'kU(E)'!$AB$7:$AK$56,8,FALSE)*1000,""))</f>
        <v/>
      </c>
      <c r="BB5" s="59" t="str">
        <f>IFERROR(IF('kU(E)'!$E$6&lt;&gt;0,INDEX(deltaMconv,MATCH(tblCompPuntosCal[[#This Row],[mN6]],MnomDeltaT),MATCH('kU(E)'!$E$6,deltaT,-1))/SQRT(3),""),"")</f>
        <v/>
      </c>
      <c r="BC5" s="62"/>
      <c r="BD5" s="59" t="str">
        <f>IFERROR(VLOOKUP(tblCompPuntosCal[[#This Row],[Punto 7]],tblBD_PatronMasa[[Código Patrón]:[mpe]],4,FALSE),"")</f>
        <v/>
      </c>
      <c r="BE5" s="59" t="str">
        <f>IFERROR(VLOOKUP(tblCompPuntosCal[[#This Row],[Punto 7]],tblBD_PatronMasa[[Código Patrón]:[mpe]],6,FALSE),"")</f>
        <v/>
      </c>
      <c r="BF5" s="59" t="str">
        <f>IFERROR(VLOOKUP(tblCompPuntosCal[[#This Row],[Punto 7]],tblBD_PatronMasa[[Código Patrón]:[mpe]],7,FALSE),"")</f>
        <v/>
      </c>
      <c r="BG5" s="59" t="str">
        <f>IFERROR(VLOOKUP(tblCompPuntosCal[[#This Row],[Punto 7]],tblBD_PatronMasa[[Código Patrón]:[mpe]],9,FALSE),"")</f>
        <v/>
      </c>
      <c r="BH5" s="63" t="str">
        <f>IF(switch="Sí",IFERROR(VLOOKUP(tblCompPuntosCal[[#This Row],[Punto 7]],'kU(E)'!$AB$7:$AK$56,10,FALSE)*1000,""),IFERROR(VLOOKUP(tblCompPuntosCal[[#This Row],[Punto 7]],'kU(E)'!$AB$7:$AK$56,8,FALSE)*1000,""))</f>
        <v/>
      </c>
      <c r="BI5" s="59" t="str">
        <f>IFERROR(IF('kU(E)'!$E$6&lt;&gt;0,INDEX(deltaMconv,MATCH(tblCompPuntosCal[[#This Row],[mN7]],MnomDeltaT),MATCH('kU(E)'!$E$6,deltaT,-1))/SQRT(3),""),"")</f>
        <v/>
      </c>
      <c r="BJ5" s="62"/>
      <c r="BK5" s="59" t="str">
        <f>IFERROR(VLOOKUP(tblCompPuntosCal[[#This Row],[Punto 8]],tblBD_PatronMasa[[Código Patrón]:[mpe]],4,FALSE),"")</f>
        <v/>
      </c>
      <c r="BL5" s="59" t="str">
        <f>IFERROR(VLOOKUP(tblCompPuntosCal[[#This Row],[Punto 8]],tblBD_PatronMasa[[Código Patrón]:[mpe]],6,FALSE),"")</f>
        <v/>
      </c>
      <c r="BM5" s="59" t="str">
        <f>IFERROR(VLOOKUP(tblCompPuntosCal[[#This Row],[Punto 8]],tblBD_PatronMasa[[Código Patrón]:[mpe]],7,FALSE),"")</f>
        <v/>
      </c>
      <c r="BN5" s="59" t="str">
        <f>IFERROR(VLOOKUP(tblCompPuntosCal[[#This Row],[Punto 8]],tblBD_PatronMasa[[Código Patrón]:[mpe]],9,FALSE),"")</f>
        <v/>
      </c>
      <c r="BO5" s="63" t="str">
        <f>IF(switch="Sí",IFERROR(VLOOKUP(tblCompPuntosCal[[#This Row],[Punto 8]],'kU(E)'!$AB$7:$AK$56,10,FALSE)*1000,""),IFERROR(VLOOKUP(tblCompPuntosCal[[#This Row],[Punto 8]],'kU(E)'!$AB$7:$AK$56,8,FALSE)*1000,""))</f>
        <v/>
      </c>
      <c r="BP5" s="59" t="str">
        <f>IFERROR(IF('kU(E)'!$E$6&lt;&gt;0,INDEX(deltaMconv,MATCH(tblCompPuntosCal[[#This Row],[mN8]],MnomDeltaT),MATCH('kU(E)'!$E$6,deltaT,-1))/SQRT(3),""),"")</f>
        <v/>
      </c>
      <c r="BQ5" s="62"/>
      <c r="BR5" s="59" t="str">
        <f>IFERROR(VLOOKUP(tblCompPuntosCal[[#This Row],[Punto 9]],tblBD_PatronMasa[[Código Patrón]:[mpe]],4,FALSE),"")</f>
        <v/>
      </c>
      <c r="BS5" s="59" t="str">
        <f>IFERROR(VLOOKUP(tblCompPuntosCal[[#This Row],[Punto 9]],tblBD_PatronMasa[[Código Patrón]:[mpe]],6,FALSE),"")</f>
        <v/>
      </c>
      <c r="BT5" s="59" t="str">
        <f>IFERROR(VLOOKUP(tblCompPuntosCal[[#This Row],[Punto 9]],tblBD_PatronMasa[[Código Patrón]:[mpe]],7,FALSE),"")</f>
        <v/>
      </c>
      <c r="BU5" s="59" t="str">
        <f>IFERROR(VLOOKUP(tblCompPuntosCal[[#This Row],[Punto 9]],tblBD_PatronMasa[[Código Patrón]:[mpe]],9,FALSE),"")</f>
        <v/>
      </c>
      <c r="BV5" s="63" t="str">
        <f>IF(switch="Sí",IFERROR(VLOOKUP(tblCompPuntosCal[[#This Row],[Punto 9]],'kU(E)'!$AB$7:$AK$56,10,FALSE)*1000,""),IFERROR(VLOOKUP(tblCompPuntosCal[[#This Row],[Punto 9]],'kU(E)'!$AB$7:$AK$56,8,FALSE)*1000,""))</f>
        <v/>
      </c>
      <c r="BW5" s="59" t="str">
        <f>IFERROR(IF('kU(E)'!$E$6&lt;&gt;0,INDEX(deltaMconv,MATCH(tblCompPuntosCal[[#This Row],[mN9]],MnomDeltaT),MATCH('kU(E)'!$E$6,deltaT,-1))/SQRT(3),""),"")</f>
        <v/>
      </c>
      <c r="BX5" s="62"/>
      <c r="BY5" s="59" t="str">
        <f>IFERROR(VLOOKUP(tblCompPuntosCal[[#This Row],[Punto 10]],tblBD_PatronMasa[[Código Patrón]:[mpe]],4,FALSE),"")</f>
        <v/>
      </c>
      <c r="BZ5" s="59" t="str">
        <f>IFERROR(VLOOKUP(tblCompPuntosCal[[#This Row],[Punto 10]],tblBD_PatronMasa[[Código Patrón]:[mpe]],6,FALSE),"")</f>
        <v/>
      </c>
      <c r="CA5" s="59" t="str">
        <f>IFERROR(VLOOKUP(tblCompPuntosCal[[#This Row],[Punto 10]],tblBD_PatronMasa[[Código Patrón]:[mpe]],7,FALSE),"")</f>
        <v/>
      </c>
      <c r="CB5" s="59" t="str">
        <f>IFERROR(VLOOKUP(tblCompPuntosCal[[#This Row],[Punto 10]],tblBD_PatronMasa[[Código Patrón]:[mpe]],9,FALSE),"")</f>
        <v/>
      </c>
      <c r="CC5" s="63" t="str">
        <f>IF(switch="Sí",IFERROR(VLOOKUP(tblCompPuntosCal[[#This Row],[Punto 10]],'kU(E)'!$AB$7:$AK$56,10,FALSE)*1000,""),IFERROR(VLOOKUP(tblCompPuntosCal[[#This Row],[Punto 10]],'kU(E)'!$AB$7:$AK$56,8,FALSE)*1000,""))</f>
        <v/>
      </c>
      <c r="CD5" s="59" t="str">
        <f>IFERROR(IF('kU(E)'!$E$6&lt;&gt;0,INDEX(deltaMconv,MATCH(tblCompPuntosCal[[#This Row],[mN10]],MnomDeltaT),MATCH('kU(E)'!$E$6,deltaT,-1))/SQRT(3),""),"")</f>
        <v/>
      </c>
      <c r="CG5" s="38">
        <v>1</v>
      </c>
      <c r="CH5" s="35">
        <f>tblCompPuntosCal[[#This Row],[Punto 1]]</f>
        <v>0</v>
      </c>
      <c r="CI5" s="35" t="str">
        <f>IF(tblTrazabilidad[[#This Row],[Código]]=0,"",IFERROR(IF(SEARCH("JM",tblTrazabilidad[[#This Row],[Código]])&gt;0,"Juego de pesas",),"Pesa"))</f>
        <v/>
      </c>
      <c r="CJ5" s="35" t="str">
        <f>IFERROR(VLOOKUP($CH5,tblBD_PatronMasa[[Código Patrón]:[mN-(mpe–U95)]],2,FALSE),"")</f>
        <v/>
      </c>
      <c r="CK5" s="35" t="str">
        <f>IFERROR(VLOOKUP($CH5,tblBD_PatronMasa[[Código Patrón]:[mN-(mpe–U95)]],13,FALSE),"")</f>
        <v/>
      </c>
      <c r="CL5" s="34" t="str">
        <f>IF(tblTrazabilidad[[#This Row],[Clase]]="F2",IFERROR(IF(VLOOKUP($CH5,tblBD_PatronMasa[[Código Patrón]:[mN-(mpe–U95)]],12,FALSE)=0,"",VLOOKUP($CH5,tblBD_PatronMasa[[Código Patrón]:[mN-(mpe–U95)]],12,FALSE)+731),""),IF(tblTrazabilidad[[#This Row],[Clase]]="F1",IFERROR(IF(VLOOKUP($CH5,tblBD_PatronMasa[[Código Patrón]:[mN-(mpe–U95)]],12,FALSE)=0,"",VLOOKUP($CH5,tblBD_PatronMasa[[Código Patrón]:[mN-(mpe–U95)]],12,FALSE)+731),""),IFERROR(IF(VLOOKUP($CH5,tblBD_PatronMasa[[Código Patrón]:[mN-(mpe–U95)]],12,FALSE)=0,"",VLOOKUP($CH5,tblBD_PatronMasa[[Código Patrón]:[mN-(mpe–U95)]],12,FALSE)+366),"")))</f>
        <v/>
      </c>
      <c r="CM5" s="33" t="str">
        <f>IFERROR(VLOOKUP($CH5,tblBD_PatronMasa[[Código Patrón]:[mN-(mpe–U95)]],3,FALSE),"")</f>
        <v/>
      </c>
      <c r="CO5" s="94"/>
      <c r="CP5" s="57" t="str">
        <f>IFERROR(VLOOKUP(CS5,tblTrazabilidad[[Código]:[Próxima calibración]],2,0),"")</f>
        <v/>
      </c>
      <c r="CQ5" s="58" t="str">
        <f>IFERROR(VLOOKUP(CS5,tblTrazabilidad[[Código]:[Clase]],6,0),"")</f>
        <v/>
      </c>
      <c r="CR5" s="57" t="str">
        <f>IFERROR(VLOOKUP(CS5,tblTrazabilidad[[Código]:[Próxima calibración]],3,0),"")</f>
        <v/>
      </c>
      <c r="CS5" s="56"/>
      <c r="CT5" s="55" t="str">
        <f>IFERROR(IF(VLOOKUP(CS5,tblTrazabilidad[[Código]:[Próxima calibración]],4,0)=0,"",VLOOKUP(CS5,tblTrazabilidad[[Código]:[Próxima calibración]],4,0)),"")</f>
        <v/>
      </c>
      <c r="CU5" s="54" t="str">
        <f>IFERROR(VLOOKUP(CS5,tblTrazabilidad[[Código]:[Próxima calibración]],5,0),"")</f>
        <v/>
      </c>
      <c r="CV5" s="53">
        <f t="shared" ref="CV5:CV36" si="0">COUNTIF($CW$5:$CW$54,"&gt;="&amp;CW5)</f>
        <v>1</v>
      </c>
      <c r="CW5" s="52">
        <f>IFERROR(LOOKUP(2,1/(COUNTIF($CW$4:CW4,tblTrazabilidad[Código])=0),tblTrazabilidad[Código]),"")</f>
        <v>0</v>
      </c>
      <c r="DC5" s="1"/>
      <c r="DD5" s="1"/>
      <c r="DF5"/>
      <c r="DG5"/>
    </row>
    <row r="6" spans="2:111" x14ac:dyDescent="0.3">
      <c r="B6" s="8"/>
      <c r="C6" s="106" t="s">
        <v>181</v>
      </c>
      <c r="D6" s="105">
        <f>$H$3*0.55</f>
        <v>286</v>
      </c>
      <c r="F6" s="111"/>
      <c r="G6" s="352" t="s">
        <v>180</v>
      </c>
      <c r="H6" s="352"/>
      <c r="I6" s="352"/>
      <c r="J6" s="352"/>
      <c r="K6" s="46"/>
      <c r="L6" s="8">
        <v>3</v>
      </c>
      <c r="M6" s="62"/>
      <c r="N6" s="59" t="str">
        <f>IFERROR(VLOOKUP(tblCompPuntosCal[[#This Row],[Punto 1]],tblBD_PatronMasa[[Código Patrón]:[mpe]],4,FALSE),"")</f>
        <v/>
      </c>
      <c r="O6" s="59" t="str">
        <f>IFERROR(VLOOKUP(tblCompPuntosCal[[#This Row],[Punto 1]],tblBD_PatronMasa[[Código Patrón]:[mpe]],6,FALSE),"")</f>
        <v/>
      </c>
      <c r="P6" s="55" t="str">
        <f>IFERROR(VLOOKUP(tblCompPuntosCal[[#This Row],[Punto 1]],tblBD_PatronMasa[[Código Patrón]:[mpe]],7,FALSE),"")</f>
        <v/>
      </c>
      <c r="Q6" s="55" t="str">
        <f>IFERROR(VLOOKUP(tblCompPuntosCal[[#This Row],[Punto 1]],tblBD_PatronMasa[[Código Patrón]:[mpe]],9,FALSE),"")</f>
        <v/>
      </c>
      <c r="R6" s="66" t="str">
        <f>IF(switch="Sí",IFERROR(VLOOKUP(tblCompPuntosCal[[#This Row],[Punto 1]],'kU(E)'!$AB$7:$AK$56,10,FALSE)*1000,""),IFERROR(VLOOKUP(tblCompPuntosCal[[#This Row],[Punto 1]],'kU(E)'!$AB$7:$AK$56*1000,8,FALSE),""))</f>
        <v/>
      </c>
      <c r="S6" s="55" t="str">
        <f>IFERROR(IF('kU(E)'!$E$6&lt;&gt;0,INDEX(deltaMconv,MATCH(tblCompPuntosCal[[#This Row],[mN1]],MnomDeltaT),MATCH('kU(E)'!$E$6,deltaT,-1))/SQRT(3),""),"")</f>
        <v/>
      </c>
      <c r="T6" s="62"/>
      <c r="U6" s="55" t="str">
        <f>IFERROR(VLOOKUP(tblCompPuntosCal[[#This Row],[Punto 2]],tblBD_PatronMasa[[Código Patrón]:[mpe]],4,FALSE),"")</f>
        <v/>
      </c>
      <c r="V6" s="55" t="str">
        <f>IFERROR(VLOOKUP(tblCompPuntosCal[[#This Row],[Punto 2]],tblBD_PatronMasa[[Código Patrón]:[mpe]],6,FALSE),"")</f>
        <v/>
      </c>
      <c r="W6" s="55" t="str">
        <f>IFERROR(VLOOKUP(tblCompPuntosCal[[#This Row],[Punto 2]],tblBD_PatronMasa[[Código Patrón]:[mpe]],7,FALSE),"")</f>
        <v/>
      </c>
      <c r="X6" s="55" t="str">
        <f>IFERROR(VLOOKUP(tblCompPuntosCal[[#This Row],[Punto 2]],tblBD_PatronMasa[[Código Patrón]:[mpe]],9,FALSE),"")</f>
        <v/>
      </c>
      <c r="Y6" s="66" t="str">
        <f>IF(switch="Sí",IFERROR(VLOOKUP(tblCompPuntosCal[[#This Row],[Punto 2]],'kU(E)'!$AB$7:$AK$56,10,FALSE)*1000,""),IFERROR(VLOOKUP(tblCompPuntosCal[[#This Row],[Punto 2]],'kU(E)'!$AB$7:$AK$56*1000,8,FALSE),""))</f>
        <v/>
      </c>
      <c r="Z6" s="55" t="str">
        <f>IFERROR(IF('kU(E)'!$E$6&lt;&gt;0,INDEX(deltaMconv,MATCH(tblCompPuntosCal[[#This Row],[mN2]],MnomDeltaT),MATCH('kU(E)'!$E$6,deltaT,-1))/SQRT(3),""),"")</f>
        <v/>
      </c>
      <c r="AA6" s="62"/>
      <c r="AB6" s="55" t="str">
        <f>IFERROR(VLOOKUP(tblCompPuntosCal[[#This Row],[Punto 3]],tblBD_PatronMasa[[Código Patrón]:[mpe]],4,FALSE),"")</f>
        <v/>
      </c>
      <c r="AC6" s="55" t="str">
        <f>IFERROR(VLOOKUP(tblCompPuntosCal[[#This Row],[Punto 3]],tblBD_PatronMasa[[Código Patrón]:[mpe]],6,FALSE),"")</f>
        <v/>
      </c>
      <c r="AD6" s="55" t="str">
        <f>IFERROR(VLOOKUP(tblCompPuntosCal[[#This Row],[Punto 3]],tblBD_PatronMasa[[Código Patrón]:[mpe]],7,FALSE),"")</f>
        <v/>
      </c>
      <c r="AE6" s="55" t="str">
        <f>IFERROR(VLOOKUP(tblCompPuntosCal[[#This Row],[Punto 3]],tblBD_PatronMasa[[Código Patrón]:[mpe]],9,FALSE),"")</f>
        <v/>
      </c>
      <c r="AF6" s="63" t="str">
        <f>IF(switch="Sí",IFERROR(VLOOKUP(tblCompPuntosCal[[#This Row],[Punto 3]],'kU(E)'!$AB$7:$AK$56,10,FALSE)*1000,""),IFERROR(VLOOKUP(tblCompPuntosCal[[#This Row],[Punto 3]],'kU(E)'!$AB$7:$AK$56*1000,8,FALSE),""))</f>
        <v/>
      </c>
      <c r="AG6" s="55" t="str">
        <f>IFERROR(IF('kU(E)'!$E$6&lt;&gt;0,INDEX(deltaMconv,MATCH(tblCompPuntosCal[[#This Row],[mN3]],MnomDeltaT),MATCH('kU(E)'!$E$6,deltaT,-1))/SQRT(3),""),"")</f>
        <v/>
      </c>
      <c r="AH6" s="62"/>
      <c r="AI6" s="55" t="str">
        <f>IFERROR(VLOOKUP(tblCompPuntosCal[[#This Row],[Punto 4]],tblBD_PatronMasa[[Código Patrón]:[mpe]],4,FALSE),"")</f>
        <v/>
      </c>
      <c r="AJ6" s="55" t="str">
        <f>IFERROR(VLOOKUP(tblCompPuntosCal[[#This Row],[Punto 4]],tblBD_PatronMasa[[Código Patrón]:[mpe]],6,FALSE),"")</f>
        <v/>
      </c>
      <c r="AK6" s="55" t="str">
        <f>IFERROR(VLOOKUP(tblCompPuntosCal[[#This Row],[Punto 4]],tblBD_PatronMasa[[Código Patrón]:[mpe]],7,FALSE),"")</f>
        <v/>
      </c>
      <c r="AL6" s="55" t="str">
        <f>IFERROR(VLOOKUP(tblCompPuntosCal[[#This Row],[Punto 4]],tblBD_PatronMasa[[Código Patrón]:[mpe]],9,FALSE),"")</f>
        <v/>
      </c>
      <c r="AM6" s="66" t="str">
        <f>IF(switch="Sí",IFERROR(VLOOKUP(tblCompPuntosCal[[#This Row],[Punto 4]],'kU(E)'!$AB$7:$AK$56,10,FALSE)*1000,""),IFERROR(VLOOKUP(tblCompPuntosCal[[#This Row],[Punto 4]],'kU(E)'!$AB$7:$AK$56,8,FALSE)*1000,""))</f>
        <v/>
      </c>
      <c r="AN6" s="55" t="str">
        <f>IFERROR(IF('kU(E)'!$E$6&lt;&gt;0,INDEX(deltaMconv,MATCH(tblCompPuntosCal[[#This Row],[mN4]],MnomDeltaT),MATCH('kU(E)'!$E$6,deltaT,-1))/SQRT(3),""),"")</f>
        <v/>
      </c>
      <c r="AO6" s="62"/>
      <c r="AP6" s="55" t="str">
        <f>IFERROR(VLOOKUP(tblCompPuntosCal[[#This Row],[Punto 5]],tblBD_PatronMasa[[Código Patrón]:[mpe]],4,FALSE),"")</f>
        <v/>
      </c>
      <c r="AQ6" s="55" t="str">
        <f>IFERROR(VLOOKUP(tblCompPuntosCal[[#This Row],[Punto 5]],tblBD_PatronMasa[[Código Patrón]:[mpe]],6,FALSE),"")</f>
        <v/>
      </c>
      <c r="AR6" s="55" t="str">
        <f>IFERROR(VLOOKUP(tblCompPuntosCal[[#This Row],[Punto 5]],tblBD_PatronMasa[[Código Patrón]:[mpe]],7,FALSE),"")</f>
        <v/>
      </c>
      <c r="AS6" s="55" t="str">
        <f>IFERROR(VLOOKUP(tblCompPuntosCal[[#This Row],[Punto 5]],tblBD_PatronMasa[[Código Patrón]:[mpe]],9,FALSE),"")</f>
        <v/>
      </c>
      <c r="AT6" s="66" t="str">
        <f>IF(switch="Sí",IFERROR(VLOOKUP(tblCompPuntosCal[[#This Row],[Punto 5]],'kU(E)'!$AB$7:$AK$56,10,FALSE)*1000,""),IFERROR(VLOOKUP(tblCompPuntosCal[[#This Row],[Punto 5]],'kU(E)'!$AB$7:$AK$56,8,FALSE)*1000,""))</f>
        <v/>
      </c>
      <c r="AU6" s="55" t="str">
        <f>IFERROR(IF('kU(E)'!$E$6&lt;&gt;0,INDEX(deltaMconv,MATCH(tblCompPuntosCal[[#This Row],[mN5]],MnomDeltaT),MATCH('kU(E)'!$E$6,deltaT,-1))/SQRT(3),""),"")</f>
        <v/>
      </c>
      <c r="AV6" s="62"/>
      <c r="AW6" s="59" t="str">
        <f>IFERROR(VLOOKUP(tblCompPuntosCal[[#This Row],[Punto 6]],tblBD_PatronMasa[[Código Patrón]:[mpe]],4,FALSE),"")</f>
        <v/>
      </c>
      <c r="AX6" s="59" t="str">
        <f>IFERROR(VLOOKUP(tblCompPuntosCal[[#This Row],[Punto 6]],tblBD_PatronMasa[[Código Patrón]:[mpe]],6,FALSE),"")</f>
        <v/>
      </c>
      <c r="AY6" s="59" t="str">
        <f>IFERROR(VLOOKUP(tblCompPuntosCal[[#This Row],[Punto 6]],tblBD_PatronMasa[[Código Patrón]:[mpe]],7,FALSE),"")</f>
        <v/>
      </c>
      <c r="AZ6" s="59" t="str">
        <f>IFERROR(VLOOKUP(tblCompPuntosCal[[#This Row],[Punto 6]],tblBD_PatronMasa[[Código Patrón]:[mpe]],9,FALSE),"")</f>
        <v/>
      </c>
      <c r="BA6" s="66" t="str">
        <f>IF(switch="Sí",IFERROR(VLOOKUP(tblCompPuntosCal[[#This Row],[Punto 6]],'kU(E)'!$AB$7:$AK$56,10,FALSE)*1000,""),IFERROR(VLOOKUP(tblCompPuntosCal[[#This Row],[Punto 6]],'kU(E)'!$AB$7:$AK$56,8,FALSE)*1000,""))</f>
        <v/>
      </c>
      <c r="BB6" s="59" t="str">
        <f>IFERROR(IF('kU(E)'!$E$6&lt;&gt;0,INDEX(deltaMconv,MATCH(tblCompPuntosCal[[#This Row],[mN6]],MnomDeltaT),MATCH('kU(E)'!$E$6,deltaT,-1))/SQRT(3),""),"")</f>
        <v/>
      </c>
      <c r="BC6" s="62"/>
      <c r="BD6" s="55" t="str">
        <f>IFERROR(VLOOKUP(tblCompPuntosCal[[#This Row],[Punto 7]],tblBD_PatronMasa[[Código Patrón]:[mpe]],4,FALSE),"")</f>
        <v/>
      </c>
      <c r="BE6" s="55" t="str">
        <f>IFERROR(VLOOKUP(tblCompPuntosCal[[#This Row],[Punto 7]],tblBD_PatronMasa[[Código Patrón]:[mpe]],6,FALSE),"")</f>
        <v/>
      </c>
      <c r="BF6" s="55" t="str">
        <f>IFERROR(VLOOKUP(tblCompPuntosCal[[#This Row],[Punto 7]],tblBD_PatronMasa[[Código Patrón]:[mpe]],7,FALSE),"")</f>
        <v/>
      </c>
      <c r="BG6" s="55" t="str">
        <f>IFERROR(VLOOKUP(tblCompPuntosCal[[#This Row],[Punto 7]],tblBD_PatronMasa[[Código Patrón]:[mpe]],9,FALSE),"")</f>
        <v/>
      </c>
      <c r="BH6" s="66" t="str">
        <f>IF(switch="Sí",IFERROR(VLOOKUP(tblCompPuntosCal[[#This Row],[Punto 7]],'kU(E)'!$AB$7:$AK$56,10,FALSE)*1000,""),IFERROR(VLOOKUP(tblCompPuntosCal[[#This Row],[Punto 7]],'kU(E)'!$AB$7:$AK$56,8,FALSE)*1000,""))</f>
        <v/>
      </c>
      <c r="BI6" s="55" t="str">
        <f>IFERROR(IF('kU(E)'!$E$6&lt;&gt;0,INDEX(deltaMconv,MATCH(tblCompPuntosCal[[#This Row],[mN7]],MnomDeltaT),MATCH('kU(E)'!$E$6,deltaT,-1))/SQRT(3),""),"")</f>
        <v/>
      </c>
      <c r="BJ6" s="62"/>
      <c r="BK6" s="55" t="str">
        <f>IFERROR(VLOOKUP(tblCompPuntosCal[[#This Row],[Punto 8]],tblBD_PatronMasa[[Código Patrón]:[mpe]],4,FALSE),"")</f>
        <v/>
      </c>
      <c r="BL6" s="55" t="str">
        <f>IFERROR(VLOOKUP(tblCompPuntosCal[[#This Row],[Punto 8]],tblBD_PatronMasa[[Código Patrón]:[mpe]],6,FALSE),"")</f>
        <v/>
      </c>
      <c r="BM6" s="55" t="str">
        <f>IFERROR(VLOOKUP(tblCompPuntosCal[[#This Row],[Punto 8]],tblBD_PatronMasa[[Código Patrón]:[mpe]],7,FALSE),"")</f>
        <v/>
      </c>
      <c r="BN6" s="55" t="str">
        <f>IFERROR(VLOOKUP(tblCompPuntosCal[[#This Row],[Punto 8]],tblBD_PatronMasa[[Código Patrón]:[mpe]],9,FALSE),"")</f>
        <v/>
      </c>
      <c r="BO6" s="66" t="str">
        <f>IF(switch="Sí",IFERROR(VLOOKUP(tblCompPuntosCal[[#This Row],[Punto 8]],'kU(E)'!$AB$7:$AK$56,10,FALSE)*1000,""),IFERROR(VLOOKUP(tblCompPuntosCal[[#This Row],[Punto 8]],'kU(E)'!$AB$7:$AK$56,8,FALSE)*1000,""))</f>
        <v/>
      </c>
      <c r="BP6" s="55" t="str">
        <f>IFERROR(IF('kU(E)'!$E$6&lt;&gt;0,INDEX(deltaMconv,MATCH(tblCompPuntosCal[[#This Row],[mN8]],MnomDeltaT),MATCH('kU(E)'!$E$6,deltaT,-1))/SQRT(3),""),"")</f>
        <v/>
      </c>
      <c r="BQ6" s="62"/>
      <c r="BR6" s="55" t="str">
        <f>IFERROR(VLOOKUP(tblCompPuntosCal[[#This Row],[Punto 9]],tblBD_PatronMasa[[Código Patrón]:[mpe]],4,FALSE),"")</f>
        <v/>
      </c>
      <c r="BS6" s="55" t="str">
        <f>IFERROR(VLOOKUP(tblCompPuntosCal[[#This Row],[Punto 9]],tblBD_PatronMasa[[Código Patrón]:[mpe]],6,FALSE),"")</f>
        <v/>
      </c>
      <c r="BT6" s="55" t="str">
        <f>IFERROR(VLOOKUP(tblCompPuntosCal[[#This Row],[Punto 9]],tblBD_PatronMasa[[Código Patrón]:[mpe]],7,FALSE),"")</f>
        <v/>
      </c>
      <c r="BU6" s="55" t="str">
        <f>IFERROR(VLOOKUP(tblCompPuntosCal[[#This Row],[Punto 9]],tblBD_PatronMasa[[Código Patrón]:[mpe]],9,FALSE),"")</f>
        <v/>
      </c>
      <c r="BV6" s="66" t="str">
        <f>IF(switch="Sí",IFERROR(VLOOKUP(tblCompPuntosCal[[#This Row],[Punto 9]],'kU(E)'!$AB$7:$AK$56,10,FALSE)*1000,""),IFERROR(VLOOKUP(tblCompPuntosCal[[#This Row],[Punto 9]],'kU(E)'!$AB$7:$AK$56,8,FALSE)*1000,""))</f>
        <v/>
      </c>
      <c r="BW6" s="55" t="str">
        <f>IFERROR(IF('kU(E)'!$E$6&lt;&gt;0,INDEX(deltaMconv,MATCH(tblCompPuntosCal[[#This Row],[mN9]],MnomDeltaT),MATCH('kU(E)'!$E$6,deltaT,-1))/SQRT(3),""),"")</f>
        <v/>
      </c>
      <c r="BX6" s="62"/>
      <c r="BY6" s="55" t="str">
        <f>IFERROR(VLOOKUP(tblCompPuntosCal[[#This Row],[Punto 10]],tblBD_PatronMasa[[Código Patrón]:[mpe]],4,FALSE),"")</f>
        <v/>
      </c>
      <c r="BZ6" s="55" t="str">
        <f>IFERROR(VLOOKUP(tblCompPuntosCal[[#This Row],[Punto 10]],tblBD_PatronMasa[[Código Patrón]:[mpe]],6,FALSE),"")</f>
        <v/>
      </c>
      <c r="CA6" s="59" t="str">
        <f>IFERROR(VLOOKUP(tblCompPuntosCal[[#This Row],[Punto 10]],tblBD_PatronMasa[[Código Patrón]:[mpe]],7,FALSE),"")</f>
        <v/>
      </c>
      <c r="CB6" s="59" t="str">
        <f>IFERROR(VLOOKUP(tblCompPuntosCal[[#This Row],[Punto 10]],tblBD_PatronMasa[[Código Patrón]:[mpe]],9,FALSE),"")</f>
        <v/>
      </c>
      <c r="CC6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6" s="59" t="str">
        <f>IFERROR(IF('kU(E)'!$E$6&lt;&gt;0,INDEX(deltaMconv,MATCH(tblCompPuntosCal[[#This Row],[mN10]],MnomDeltaT),MATCH('kU(E)'!$E$6,deltaT,-1))/SQRT(3),""),"")</f>
        <v/>
      </c>
      <c r="CG6" s="38">
        <v>2</v>
      </c>
      <c r="CH6" s="35">
        <f>tblCompPuntosCal[[#This Row],[Punto 1]]</f>
        <v>0</v>
      </c>
      <c r="CI6" s="35" t="str">
        <f>IF(tblTrazabilidad[[#This Row],[Código]]=0,"",IFERROR(IF(SEARCH("JM",tblTrazabilidad[[#This Row],[Código]])&gt;0,"Juego de pesas",),"Pesa"))</f>
        <v/>
      </c>
      <c r="CJ6" s="35" t="str">
        <f>IFERROR(VLOOKUP($CH6,tblBD_PatronMasa[[Código Patrón]:[mN-(mpe–U95)]],2,FALSE),"")</f>
        <v/>
      </c>
      <c r="CK6" s="35" t="str">
        <f>IFERROR(VLOOKUP($CH6,tblBD_PatronMasa[[Código Patrón]:[mN-(mpe–U95)]],13,FALSE),"")</f>
        <v/>
      </c>
      <c r="CL6" s="34" t="str">
        <f>IF(tblTrazabilidad[[#This Row],[Clase]]="F2",IFERROR(IF(VLOOKUP($CH6,tblBD_PatronMasa[[Código Patrón]:[mN-(mpe–U95)]],12,FALSE)=0,"",VLOOKUP($CH6,tblBD_PatronMasa[[Código Patrón]:[mN-(mpe–U95)]],12,FALSE)+731),""),IF(tblTrazabilidad[[#This Row],[Clase]]="F1",IFERROR(IF(VLOOKUP($CH6,tblBD_PatronMasa[[Código Patrón]:[mN-(mpe–U95)]],12,FALSE)=0,"",VLOOKUP($CH6,tblBD_PatronMasa[[Código Patrón]:[mN-(mpe–U95)]],12,FALSE)+731),""),IFERROR(IF(VLOOKUP($CH6,tblBD_PatronMasa[[Código Patrón]:[mN-(mpe–U95)]],12,FALSE)=0,"",VLOOKUP($CH6,tblBD_PatronMasa[[Código Patrón]:[mN-(mpe–U95)]],12,FALSE)+366),"")))</f>
        <v/>
      </c>
      <c r="CM6" s="33" t="str">
        <f>IFERROR(VLOOKUP($CH6,tblBD_PatronMasa[[Código Patrón]:[mN-(mpe–U95)]],3,FALSE),"")</f>
        <v/>
      </c>
      <c r="CO6" s="96"/>
      <c r="CP6" s="57" t="str">
        <f>IFERROR(VLOOKUP(CS6,tblTrazabilidad[[Código]:[Próxima calibración]],2,0),"")</f>
        <v/>
      </c>
      <c r="CQ6" s="58" t="str">
        <f>IFERROR(VLOOKUP(CS6,tblTrazabilidad[[Código]:[Clase]],6,0),"")</f>
        <v/>
      </c>
      <c r="CR6" s="57" t="str">
        <f>IFERROR(VLOOKUP(CS6,tblTrazabilidad[[Código]:[Próxima calibración]],3,0),"")</f>
        <v/>
      </c>
      <c r="CS6" s="56" t="str">
        <f t="shared" ref="CS6:CS37" si="1">IFERROR(VLOOKUP(ROW()-ROW($CS$5),$CV$6:$CW$54,2,FALSE),"")</f>
        <v/>
      </c>
      <c r="CT6" s="55" t="str">
        <f>IFERROR(IF(VLOOKUP(CS6,tblTrazabilidad[[Código]:[Próxima calibración]],4,0)=0,"",VLOOKUP(CS6,tblTrazabilidad[[Código]:[Próxima calibración]],4,0)),"")</f>
        <v/>
      </c>
      <c r="CU6" s="54" t="str">
        <f>IFERROR(VLOOKUP(CS6,tblTrazabilidad[[Código]:[Próxima calibración]],5,0),"")</f>
        <v/>
      </c>
      <c r="CV6" s="53">
        <f t="shared" si="0"/>
        <v>0</v>
      </c>
      <c r="CW6" s="52" t="str">
        <f>IFERROR(LOOKUP(2,1/(COUNTIF($CW$4:CW5,tblTrazabilidad[Código])=0),tblTrazabilidad[Código]),"")</f>
        <v/>
      </c>
      <c r="DC6" s="1"/>
      <c r="DD6" s="1"/>
      <c r="DF6"/>
      <c r="DG6"/>
    </row>
    <row r="7" spans="2:111" x14ac:dyDescent="0.3">
      <c r="B7" s="8"/>
      <c r="C7" s="106" t="s">
        <v>179</v>
      </c>
      <c r="D7" s="105">
        <f>0.55*($I$3+($J$3-$I$3))</f>
        <v>0</v>
      </c>
      <c r="F7" s="349" t="s">
        <v>146</v>
      </c>
      <c r="G7" s="134" t="s">
        <v>178</v>
      </c>
      <c r="H7" s="134" t="s">
        <v>177</v>
      </c>
      <c r="I7" s="134" t="s">
        <v>176</v>
      </c>
      <c r="J7" s="134" t="s">
        <v>175</v>
      </c>
      <c r="L7" s="8">
        <v>4</v>
      </c>
      <c r="M7" s="62"/>
      <c r="N7" s="59" t="str">
        <f>IFERROR(VLOOKUP(tblCompPuntosCal[[#This Row],[Punto 1]],tblBD_PatronMasa[[Código Patrón]:[mpe]],4,FALSE),"")</f>
        <v/>
      </c>
      <c r="O7" s="59" t="str">
        <f>IFERROR(VLOOKUP(tblCompPuntosCal[[#This Row],[Punto 1]],tblBD_PatronMasa[[Código Patrón]:[mpe]],6,FALSE),"")</f>
        <v/>
      </c>
      <c r="P7" s="55" t="str">
        <f>IFERROR(VLOOKUP(tblCompPuntosCal[[#This Row],[Punto 1]],tblBD_PatronMasa[[Código Patrón]:[mpe]],7,FALSE),"")</f>
        <v/>
      </c>
      <c r="Q7" s="55" t="str">
        <f>IFERROR(VLOOKUP(tblCompPuntosCal[[#This Row],[Punto 1]],tblBD_PatronMasa[[Código Patrón]:[mpe]],9,FALSE),"")</f>
        <v/>
      </c>
      <c r="R7" s="66" t="str">
        <f>IF(switch="Sí",IFERROR(VLOOKUP(tblCompPuntosCal[[#This Row],[Punto 1]],'kU(E)'!$AB$7:$AK$56,10,FALSE)*1000,""),IFERROR(VLOOKUP(tblCompPuntosCal[[#This Row],[Punto 1]],'kU(E)'!$AB$7:$AK$56*1000,8,FALSE),""))</f>
        <v/>
      </c>
      <c r="S7" s="55" t="str">
        <f>IFERROR(IF('kU(E)'!$E$6&lt;&gt;0,INDEX(deltaMconv,MATCH(tblCompPuntosCal[[#This Row],[mN1]],MnomDeltaT),MATCH('kU(E)'!$E$6,deltaT,-1))/SQRT(3),""),"")</f>
        <v/>
      </c>
      <c r="T7" s="62"/>
      <c r="U7" s="55" t="str">
        <f>IFERROR(VLOOKUP(tblCompPuntosCal[[#This Row],[Punto 2]],tblBD_PatronMasa[[Código Patrón]:[mpe]],4,FALSE),"")</f>
        <v/>
      </c>
      <c r="V7" s="55" t="str">
        <f>IFERROR(VLOOKUP(tblCompPuntosCal[[#This Row],[Punto 2]],tblBD_PatronMasa[[Código Patrón]:[mpe]],6,FALSE),"")</f>
        <v/>
      </c>
      <c r="W7" s="55" t="str">
        <f>IFERROR(VLOOKUP(tblCompPuntosCal[[#This Row],[Punto 2]],tblBD_PatronMasa[[Código Patrón]:[mpe]],7,FALSE),"")</f>
        <v/>
      </c>
      <c r="X7" s="55" t="str">
        <f>IFERROR(VLOOKUP(tblCompPuntosCal[[#This Row],[Punto 2]],tblBD_PatronMasa[[Código Patrón]:[mpe]],9,FALSE),"")</f>
        <v/>
      </c>
      <c r="Y7" s="66" t="str">
        <f>IF(switch="Sí",IFERROR(VLOOKUP(tblCompPuntosCal[[#This Row],[Punto 2]],'kU(E)'!$AB$7:$AK$56,10,FALSE)*1000,""),IFERROR(VLOOKUP(tblCompPuntosCal[[#This Row],[Punto 2]],'kU(E)'!$AB$7:$AK$56*1000,8,FALSE),""))</f>
        <v/>
      </c>
      <c r="Z7" s="55" t="str">
        <f>IFERROR(IF('kU(E)'!$E$6&lt;&gt;0,INDEX(deltaMconv,MATCH(tblCompPuntosCal[[#This Row],[mN2]],MnomDeltaT),MATCH('kU(E)'!$E$6,deltaT,-1))/SQRT(3),""),"")</f>
        <v/>
      </c>
      <c r="AA7" s="62"/>
      <c r="AB7" s="55" t="str">
        <f>IFERROR(VLOOKUP(tblCompPuntosCal[[#This Row],[Punto 3]],tblBD_PatronMasa[[Código Patrón]:[mpe]],4,FALSE),"")</f>
        <v/>
      </c>
      <c r="AC7" s="55" t="str">
        <f>IFERROR(VLOOKUP(tblCompPuntosCal[[#This Row],[Punto 3]],tblBD_PatronMasa[[Código Patrón]:[mpe]],6,FALSE),"")</f>
        <v/>
      </c>
      <c r="AD7" s="55" t="str">
        <f>IFERROR(VLOOKUP(tblCompPuntosCal[[#This Row],[Punto 3]],tblBD_PatronMasa[[Código Patrón]:[mpe]],7,FALSE),"")</f>
        <v/>
      </c>
      <c r="AE7" s="55" t="str">
        <f>IFERROR(VLOOKUP(tblCompPuntosCal[[#This Row],[Punto 3]],tblBD_PatronMasa[[Código Patrón]:[mpe]],9,FALSE),"")</f>
        <v/>
      </c>
      <c r="AF7" s="63" t="str">
        <f>IF(switch="Sí",IFERROR(VLOOKUP(tblCompPuntosCal[[#This Row],[Punto 3]],'kU(E)'!$AB$7:$AK$56,10,FALSE)*1000,""),IFERROR(VLOOKUP(tblCompPuntosCal[[#This Row],[Punto 3]],'kU(E)'!$AB$7:$AK$56*1000,8,FALSE),""))</f>
        <v/>
      </c>
      <c r="AG7" s="55" t="str">
        <f>IFERROR(IF('kU(E)'!$E$6&lt;&gt;0,INDEX(deltaMconv,MATCH(tblCompPuntosCal[[#This Row],[mN3]],MnomDeltaT),MATCH('kU(E)'!$E$6,deltaT,-1))/SQRT(3),""),"")</f>
        <v/>
      </c>
      <c r="AH7" s="62"/>
      <c r="AI7" s="55" t="str">
        <f>IFERROR(VLOOKUP(tblCompPuntosCal[[#This Row],[Punto 4]],tblBD_PatronMasa[[Código Patrón]:[mpe]],4,FALSE),"")</f>
        <v/>
      </c>
      <c r="AJ7" s="55" t="str">
        <f>IFERROR(VLOOKUP(tblCompPuntosCal[[#This Row],[Punto 4]],tblBD_PatronMasa[[Código Patrón]:[mpe]],6,FALSE),"")</f>
        <v/>
      </c>
      <c r="AK7" s="55" t="str">
        <f>IFERROR(VLOOKUP(tblCompPuntosCal[[#This Row],[Punto 4]],tblBD_PatronMasa[[Código Patrón]:[mpe]],7,FALSE),"")</f>
        <v/>
      </c>
      <c r="AL7" s="55" t="str">
        <f>IFERROR(VLOOKUP(tblCompPuntosCal[[#This Row],[Punto 4]],tblBD_PatronMasa[[Código Patrón]:[mpe]],9,FALSE),"")</f>
        <v/>
      </c>
      <c r="AM7" s="66" t="str">
        <f>IF(switch="Sí",IFERROR(VLOOKUP(tblCompPuntosCal[[#This Row],[Punto 4]],'kU(E)'!$AB$7:$AK$56,10,FALSE)*1000,""),IFERROR(VLOOKUP(tblCompPuntosCal[[#This Row],[Punto 4]],'kU(E)'!$AB$7:$AK$56,8,FALSE)*1000,""))</f>
        <v/>
      </c>
      <c r="AN7" s="55" t="str">
        <f>IFERROR(IF('kU(E)'!$E$6&lt;&gt;0,INDEX(deltaMconv,MATCH(tblCompPuntosCal[[#This Row],[mN4]],MnomDeltaT),MATCH('kU(E)'!$E$6,deltaT,-1))/SQRT(3),""),"")</f>
        <v/>
      </c>
      <c r="AO7" s="62"/>
      <c r="AP7" s="55" t="str">
        <f>IFERROR(VLOOKUP(tblCompPuntosCal[[#This Row],[Punto 5]],tblBD_PatronMasa[[Código Patrón]:[mpe]],4,FALSE),"")</f>
        <v/>
      </c>
      <c r="AQ7" s="55" t="str">
        <f>IFERROR(VLOOKUP(tblCompPuntosCal[[#This Row],[Punto 5]],tblBD_PatronMasa[[Código Patrón]:[mpe]],6,FALSE),"")</f>
        <v/>
      </c>
      <c r="AR7" s="55" t="str">
        <f>IFERROR(VLOOKUP(tblCompPuntosCal[[#This Row],[Punto 5]],tblBD_PatronMasa[[Código Patrón]:[mpe]],7,FALSE),"")</f>
        <v/>
      </c>
      <c r="AS7" s="55" t="str">
        <f>IFERROR(VLOOKUP(tblCompPuntosCal[[#This Row],[Punto 5]],tblBD_PatronMasa[[Código Patrón]:[mpe]],9,FALSE),"")</f>
        <v/>
      </c>
      <c r="AT7" s="66" t="str">
        <f>IF(switch="Sí",IFERROR(VLOOKUP(tblCompPuntosCal[[#This Row],[Punto 5]],'kU(E)'!$AB$7:$AK$56,10,FALSE)*1000,""),IFERROR(VLOOKUP(tblCompPuntosCal[[#This Row],[Punto 5]],'kU(E)'!$AB$7:$AK$56,8,FALSE)*1000,""))</f>
        <v/>
      </c>
      <c r="AU7" s="55" t="str">
        <f>IFERROR(IF('kU(E)'!$E$6&lt;&gt;0,INDEX(deltaMconv,MATCH(tblCompPuntosCal[[#This Row],[mN5]],MnomDeltaT),MATCH('kU(E)'!$E$6,deltaT,-1))/SQRT(3),""),"")</f>
        <v/>
      </c>
      <c r="AV7" s="62"/>
      <c r="AW7" s="55" t="str">
        <f>IFERROR(VLOOKUP(tblCompPuntosCal[[#This Row],[Punto 6]],tblBD_PatronMasa[[Código Patrón]:[mpe]],4,FALSE),"")</f>
        <v/>
      </c>
      <c r="AX7" s="55" t="str">
        <f>IFERROR(VLOOKUP(tblCompPuntosCal[[#This Row],[Punto 6]],tblBD_PatronMasa[[Código Patrón]:[mpe]],6,FALSE),"")</f>
        <v/>
      </c>
      <c r="AY7" s="55" t="str">
        <f>IFERROR(VLOOKUP(tblCompPuntosCal[[#This Row],[Punto 6]],tblBD_PatronMasa[[Código Patrón]:[mpe]],7,FALSE),"")</f>
        <v/>
      </c>
      <c r="AZ7" s="55" t="str">
        <f>IFERROR(VLOOKUP(tblCompPuntosCal[[#This Row],[Punto 6]],tblBD_PatronMasa[[Código Patrón]:[mpe]],9,FALSE),"")</f>
        <v/>
      </c>
      <c r="BA7" s="66" t="str">
        <f>IF(switch="Sí",IFERROR(VLOOKUP(tblCompPuntosCal[[#This Row],[Punto 6]],'kU(E)'!$AB$7:$AK$56,10,FALSE)*1000,""),IFERROR(VLOOKUP(tblCompPuntosCal[[#This Row],[Punto 6]],'kU(E)'!$AB$7:$AK$56,8,FALSE)*1000,""))</f>
        <v/>
      </c>
      <c r="BB7" s="55" t="str">
        <f>IFERROR(IF('kU(E)'!$E$6&lt;&gt;0,INDEX(deltaMconv,MATCH(tblCompPuntosCal[[#This Row],[mN6]],MnomDeltaT),MATCH('kU(E)'!$E$6,deltaT,-1))/SQRT(3),""),"")</f>
        <v/>
      </c>
      <c r="BC7" s="62"/>
      <c r="BD7" s="55" t="str">
        <f>IFERROR(VLOOKUP(tblCompPuntosCal[[#This Row],[Punto 7]],tblBD_PatronMasa[[Código Patrón]:[mpe]],4,FALSE),"")</f>
        <v/>
      </c>
      <c r="BE7" s="55" t="str">
        <f>IFERROR(VLOOKUP(tblCompPuntosCal[[#This Row],[Punto 7]],tblBD_PatronMasa[[Código Patrón]:[mpe]],6,FALSE),"")</f>
        <v/>
      </c>
      <c r="BF7" s="55" t="str">
        <f>IFERROR(VLOOKUP(tblCompPuntosCal[[#This Row],[Punto 7]],tblBD_PatronMasa[[Código Patrón]:[mpe]],7,FALSE),"")</f>
        <v/>
      </c>
      <c r="BG7" s="55" t="str">
        <f>IFERROR(VLOOKUP(tblCompPuntosCal[[#This Row],[Punto 7]],tblBD_PatronMasa[[Código Patrón]:[mpe]],9,FALSE),"")</f>
        <v/>
      </c>
      <c r="BH7" s="66" t="str">
        <f>IF(switch="Sí",IFERROR(VLOOKUP(tblCompPuntosCal[[#This Row],[Punto 7]],'kU(E)'!$AB$7:$AK$56,10,FALSE)*1000,""),IFERROR(VLOOKUP(tblCompPuntosCal[[#This Row],[Punto 7]],'kU(E)'!$AB$7:$AK$56,8,FALSE)*1000,""))</f>
        <v/>
      </c>
      <c r="BI7" s="55" t="str">
        <f>IFERROR(IF('kU(E)'!$E$6&lt;&gt;0,INDEX(deltaMconv,MATCH(tblCompPuntosCal[[#This Row],[mN7]],MnomDeltaT),MATCH('kU(E)'!$E$6,deltaT,-1))/SQRT(3),""),"")</f>
        <v/>
      </c>
      <c r="BJ7" s="62"/>
      <c r="BK7" s="55" t="str">
        <f>IFERROR(VLOOKUP(tblCompPuntosCal[[#This Row],[Punto 8]],tblBD_PatronMasa[[Código Patrón]:[mpe]],4,FALSE),"")</f>
        <v/>
      </c>
      <c r="BL7" s="55" t="str">
        <f>IFERROR(VLOOKUP(tblCompPuntosCal[[#This Row],[Punto 8]],tblBD_PatronMasa[[Código Patrón]:[mpe]],6,FALSE),"")</f>
        <v/>
      </c>
      <c r="BM7" s="55" t="str">
        <f>IFERROR(VLOOKUP(tblCompPuntosCal[[#This Row],[Punto 8]],tblBD_PatronMasa[[Código Patrón]:[mpe]],7,FALSE),"")</f>
        <v/>
      </c>
      <c r="BN7" s="55" t="str">
        <f>IFERROR(VLOOKUP(tblCompPuntosCal[[#This Row],[Punto 8]],tblBD_PatronMasa[[Código Patrón]:[mpe]],9,FALSE),"")</f>
        <v/>
      </c>
      <c r="BO7" s="66" t="str">
        <f>IF(switch="Sí",IFERROR(VLOOKUP(tblCompPuntosCal[[#This Row],[Punto 8]],'kU(E)'!$AB$7:$AK$56,10,FALSE)*1000,""),IFERROR(VLOOKUP(tblCompPuntosCal[[#This Row],[Punto 8]],'kU(E)'!$AB$7:$AK$56,8,FALSE)*1000,""))</f>
        <v/>
      </c>
      <c r="BP7" s="55" t="str">
        <f>IFERROR(IF('kU(E)'!$E$6&lt;&gt;0,INDEX(deltaMconv,MATCH(tblCompPuntosCal[[#This Row],[mN8]],MnomDeltaT),MATCH('kU(E)'!$E$6,deltaT,-1))/SQRT(3),""),"")</f>
        <v/>
      </c>
      <c r="BQ7" s="62"/>
      <c r="BR7" s="55" t="str">
        <f>IFERROR(VLOOKUP(tblCompPuntosCal[[#This Row],[Punto 9]],tblBD_PatronMasa[[Código Patrón]:[mpe]],4,FALSE),"")</f>
        <v/>
      </c>
      <c r="BS7" s="55" t="str">
        <f>IFERROR(VLOOKUP(tblCompPuntosCal[[#This Row],[Punto 9]],tblBD_PatronMasa[[Código Patrón]:[mpe]],6,FALSE),"")</f>
        <v/>
      </c>
      <c r="BT7" s="55" t="str">
        <f>IFERROR(VLOOKUP(tblCompPuntosCal[[#This Row],[Punto 9]],tblBD_PatronMasa[[Código Patrón]:[mpe]],7,FALSE),"")</f>
        <v/>
      </c>
      <c r="BU7" s="55" t="str">
        <f>IFERROR(VLOOKUP(tblCompPuntosCal[[#This Row],[Punto 9]],tblBD_PatronMasa[[Código Patrón]:[mpe]],9,FALSE),"")</f>
        <v/>
      </c>
      <c r="BV7" s="66" t="str">
        <f>IF(switch="Sí",IFERROR(VLOOKUP(tblCompPuntosCal[[#This Row],[Punto 9]],'kU(E)'!$AB$7:$AK$56,10,FALSE)*1000,""),IFERROR(VLOOKUP(tblCompPuntosCal[[#This Row],[Punto 9]],'kU(E)'!$AB$7:$AK$56,8,FALSE)*1000,""))</f>
        <v/>
      </c>
      <c r="BW7" s="55" t="str">
        <f>IFERROR(IF('kU(E)'!$E$6&lt;&gt;0,INDEX(deltaMconv,MATCH(tblCompPuntosCal[[#This Row],[mN9]],MnomDeltaT),MATCH('kU(E)'!$E$6,deltaT,-1))/SQRT(3),""),"")</f>
        <v/>
      </c>
      <c r="BX7" s="62"/>
      <c r="BY7" s="55" t="str">
        <f>IFERROR(VLOOKUP(tblCompPuntosCal[[#This Row],[Punto 10]],tblBD_PatronMasa[[Código Patrón]:[mpe]],4,FALSE),"")</f>
        <v/>
      </c>
      <c r="BZ7" s="55" t="str">
        <f>IFERROR(VLOOKUP(tblCompPuntosCal[[#This Row],[Punto 10]],tblBD_PatronMasa[[Código Patrón]:[mpe]],6,FALSE),"")</f>
        <v/>
      </c>
      <c r="CA7" s="59" t="str">
        <f>IFERROR(VLOOKUP(tblCompPuntosCal[[#This Row],[Punto 10]],tblBD_PatronMasa[[Código Patrón]:[mpe]],7,FALSE),"")</f>
        <v/>
      </c>
      <c r="CB7" s="59" t="str">
        <f>IFERROR(VLOOKUP(tblCompPuntosCal[[#This Row],[Punto 10]],tblBD_PatronMasa[[Código Patrón]:[mpe]],9,FALSE),"")</f>
        <v/>
      </c>
      <c r="CC7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7" s="59" t="str">
        <f>IFERROR(IF('kU(E)'!$E$6&lt;&gt;0,INDEX(deltaMconv,MATCH(tblCompPuntosCal[[#This Row],[mN10]],MnomDeltaT),MATCH('kU(E)'!$E$6,deltaT,-1))/SQRT(3),""),"")</f>
        <v/>
      </c>
      <c r="CG7" s="38">
        <v>3</v>
      </c>
      <c r="CH7" s="35">
        <f>tblCompPuntosCal[[#This Row],[Punto 1]]</f>
        <v>0</v>
      </c>
      <c r="CI7" s="35" t="str">
        <f>IF(tblTrazabilidad[[#This Row],[Código]]=0,"",IFERROR(IF(SEARCH("JM",tblTrazabilidad[[#This Row],[Código]])&gt;0,"Juego de pesas",),"Pesa"))</f>
        <v/>
      </c>
      <c r="CJ7" s="35" t="str">
        <f>IFERROR(VLOOKUP($CH7,tblBD_PatronMasa[[Código Patrón]:[mN-(mpe–U95)]],2,FALSE),"")</f>
        <v/>
      </c>
      <c r="CK7" s="35" t="str">
        <f>IFERROR(VLOOKUP($CH7,tblBD_PatronMasa[[Código Patrón]:[mN-(mpe–U95)]],13,FALSE),"")</f>
        <v/>
      </c>
      <c r="CL7" s="34" t="str">
        <f>IF(tblTrazabilidad[[#This Row],[Clase]]="F2",IFERROR(IF(VLOOKUP($CH7,tblBD_PatronMasa[[Código Patrón]:[mN-(mpe–U95)]],12,FALSE)=0,"",VLOOKUP($CH7,tblBD_PatronMasa[[Código Patrón]:[mN-(mpe–U95)]],12,FALSE)+731),""),IF(tblTrazabilidad[[#This Row],[Clase]]="F1",IFERROR(IF(VLOOKUP($CH7,tblBD_PatronMasa[[Código Patrón]:[mN-(mpe–U95)]],12,FALSE)=0,"",VLOOKUP($CH7,tblBD_PatronMasa[[Código Patrón]:[mN-(mpe–U95)]],12,FALSE)+731),""),IFERROR(IF(VLOOKUP($CH7,tblBD_PatronMasa[[Código Patrón]:[mN-(mpe–U95)]],12,FALSE)=0,"",VLOOKUP($CH7,tblBD_PatronMasa[[Código Patrón]:[mN-(mpe–U95)]],12,FALSE)+366),"")))</f>
        <v/>
      </c>
      <c r="CM7" s="33" t="str">
        <f>IFERROR(VLOOKUP($CH7,tblBD_PatronMasa[[Código Patrón]:[mN-(mpe–U95)]],3,FALSE),"")</f>
        <v/>
      </c>
      <c r="CO7" s="95"/>
      <c r="CP7" s="57" t="str">
        <f>IFERROR(VLOOKUP(CS7,tblTrazabilidad[[Código]:[Próxima calibración]],2,0),"")</f>
        <v/>
      </c>
      <c r="CQ7" s="58" t="str">
        <f>IFERROR(VLOOKUP(CS7,tblTrazabilidad[[Código]:[Clase]],6,0),"")</f>
        <v/>
      </c>
      <c r="CR7" s="57" t="str">
        <f>IFERROR(VLOOKUP(CS7,tblTrazabilidad[[Código]:[Próxima calibración]],3,0),"")</f>
        <v/>
      </c>
      <c r="CS7" s="56" t="str">
        <f t="shared" si="1"/>
        <v/>
      </c>
      <c r="CT7" s="55" t="str">
        <f>IFERROR(IF(VLOOKUP(CS7,tblTrazabilidad[[Código]:[Próxima calibración]],4,0)=0,"",VLOOKUP(CS7,tblTrazabilidad[[Código]:[Próxima calibración]],4,0)),"")</f>
        <v/>
      </c>
      <c r="CU7" s="54" t="str">
        <f>IFERROR(VLOOKUP(CS7,tblTrazabilidad[[Código]:[Próxima calibración]],5,0),"")</f>
        <v/>
      </c>
      <c r="CV7" s="53">
        <f t="shared" si="0"/>
        <v>0</v>
      </c>
      <c r="CW7" s="52" t="str">
        <f>IFERROR(LOOKUP(2,1/(COUNTIF($CW$4:CW6,tblTrazabilidad[Código])=0),tblTrazabilidad[Código]),"")</f>
        <v/>
      </c>
      <c r="DC7" s="1"/>
      <c r="DD7" s="1"/>
      <c r="DF7"/>
      <c r="DG7"/>
    </row>
    <row r="8" spans="2:111" x14ac:dyDescent="0.3">
      <c r="B8" s="8"/>
      <c r="C8" s="8"/>
      <c r="D8" s="8"/>
      <c r="F8" s="311" t="s">
        <v>174</v>
      </c>
      <c r="G8" s="110">
        <v>0</v>
      </c>
      <c r="H8" s="110">
        <v>0</v>
      </c>
      <c r="I8" s="110">
        <v>0</v>
      </c>
      <c r="J8" s="348"/>
      <c r="K8" s="46"/>
      <c r="L8" s="8">
        <v>5</v>
      </c>
      <c r="M8" s="62"/>
      <c r="N8" s="59" t="str">
        <f>IFERROR(VLOOKUP(tblCompPuntosCal[[#This Row],[Punto 1]],tblBD_PatronMasa[[Código Patrón]:[mpe]],4,FALSE),"")</f>
        <v/>
      </c>
      <c r="O8" s="59" t="str">
        <f>IFERROR(VLOOKUP(tblCompPuntosCal[[#This Row],[Punto 1]],tblBD_PatronMasa[[Código Patrón]:[mpe]],6,FALSE),"")</f>
        <v/>
      </c>
      <c r="P8" s="55" t="str">
        <f>IFERROR(VLOOKUP(tblCompPuntosCal[[#This Row],[Punto 1]],tblBD_PatronMasa[[Código Patrón]:[mpe]],7,FALSE),"")</f>
        <v/>
      </c>
      <c r="Q8" s="55" t="str">
        <f>IFERROR(VLOOKUP(tblCompPuntosCal[[#This Row],[Punto 1]],tblBD_PatronMasa[[Código Patrón]:[mpe]],9,FALSE),"")</f>
        <v/>
      </c>
      <c r="R8" s="66" t="str">
        <f>IF(switch="Sí",IFERROR(VLOOKUP(tblCompPuntosCal[[#This Row],[Punto 1]],'kU(E)'!$AB$7:$AK$56,10,FALSE)*1000,""),IFERROR(VLOOKUP(tblCompPuntosCal[[#This Row],[Punto 1]],'kU(E)'!$AB$7:$AK$56*1000,8,FALSE),""))</f>
        <v/>
      </c>
      <c r="S8" s="55" t="str">
        <f>IFERROR(IF('kU(E)'!$E$6&lt;&gt;0,INDEX(deltaMconv,MATCH(tblCompPuntosCal[[#This Row],[mN1]],MnomDeltaT),MATCH('kU(E)'!$E$6,deltaT,-1))/SQRT(3),""),"")</f>
        <v/>
      </c>
      <c r="T8" s="62"/>
      <c r="U8" s="55" t="str">
        <f>IFERROR(VLOOKUP(tblCompPuntosCal[[#This Row],[Punto 2]],tblBD_PatronMasa[[Código Patrón]:[mpe]],4,FALSE),"")</f>
        <v/>
      </c>
      <c r="V8" s="55" t="str">
        <f>IFERROR(VLOOKUP(tblCompPuntosCal[[#This Row],[Punto 2]],tblBD_PatronMasa[[Código Patrón]:[mpe]],6,FALSE),"")</f>
        <v/>
      </c>
      <c r="W8" s="55" t="str">
        <f>IFERROR(VLOOKUP(tblCompPuntosCal[[#This Row],[Punto 2]],tblBD_PatronMasa[[Código Patrón]:[mpe]],7,FALSE),"")</f>
        <v/>
      </c>
      <c r="X8" s="55" t="str">
        <f>IFERROR(VLOOKUP(tblCompPuntosCal[[#This Row],[Punto 2]],tblBD_PatronMasa[[Código Patrón]:[mpe]],9,FALSE),"")</f>
        <v/>
      </c>
      <c r="Y8" s="66" t="str">
        <f>IF(switch="Sí",IFERROR(VLOOKUP(tblCompPuntosCal[[#This Row],[Punto 2]],'kU(E)'!$AB$7:$AK$56,10,FALSE)*1000,""),IFERROR(VLOOKUP(tblCompPuntosCal[[#This Row],[Punto 2]],'kU(E)'!$AB$7:$AK$56*1000,8,FALSE),""))</f>
        <v/>
      </c>
      <c r="Z8" s="55" t="str">
        <f>IFERROR(IF('kU(E)'!$E$6&lt;&gt;0,INDEX(deltaMconv,MATCH(tblCompPuntosCal[[#This Row],[mN2]],MnomDeltaT),MATCH('kU(E)'!$E$6,deltaT,-1))/SQRT(3),""),"")</f>
        <v/>
      </c>
      <c r="AA8" s="62"/>
      <c r="AB8" s="55" t="str">
        <f>IFERROR(VLOOKUP(tblCompPuntosCal[[#This Row],[Punto 3]],tblBD_PatronMasa[[Código Patrón]:[mpe]],4,FALSE),"")</f>
        <v/>
      </c>
      <c r="AC8" s="55" t="str">
        <f>IFERROR(VLOOKUP(tblCompPuntosCal[[#This Row],[Punto 3]],tblBD_PatronMasa[[Código Patrón]:[mpe]],6,FALSE),"")</f>
        <v/>
      </c>
      <c r="AD8" s="67" t="str">
        <f>IFERROR(VLOOKUP(tblCompPuntosCal[[#This Row],[Punto 3]],tblBD_PatronMasa[[Código Patrón]:[mpe]],7,FALSE),"")</f>
        <v/>
      </c>
      <c r="AE8" s="67" t="str">
        <f>IFERROR(VLOOKUP(tblCompPuntosCal[[#This Row],[Punto 3]],tblBD_PatronMasa[[Código Patrón]:[mpe]],9,FALSE),"")</f>
        <v/>
      </c>
      <c r="AF8" s="63" t="str">
        <f>IF(switch="Sí",IFERROR(VLOOKUP(tblCompPuntosCal[[#This Row],[Punto 3]],'kU(E)'!$AB$7:$AK$56,10,FALSE)*1000,""),IFERROR(VLOOKUP(tblCompPuntosCal[[#This Row],[Punto 3]],'kU(E)'!$AB$7:$AK$56*1000,8,FALSE),""))</f>
        <v/>
      </c>
      <c r="AG8" s="67" t="str">
        <f>IFERROR(IF('kU(E)'!$E$6&lt;&gt;0,INDEX(deltaMconv,MATCH(tblCompPuntosCal[[#This Row],[mN3]],MnomDeltaT),MATCH('kU(E)'!$E$6,deltaT,-1))/SQRT(3),""),"")</f>
        <v/>
      </c>
      <c r="AH8" s="62"/>
      <c r="AI8" s="67" t="str">
        <f>IFERROR(VLOOKUP(tblCompPuntosCal[[#This Row],[Punto 4]],tblBD_PatronMasa[[Código Patrón]:[mpe]],4,FALSE),"")</f>
        <v/>
      </c>
      <c r="AJ8" s="55" t="str">
        <f>IFERROR(VLOOKUP(tblCompPuntosCal[[#This Row],[Punto 4]],tblBD_PatronMasa[[Código Patrón]:[mpe]],6,FALSE),"")</f>
        <v/>
      </c>
      <c r="AK8" s="55" t="str">
        <f>IFERROR(VLOOKUP(tblCompPuntosCal[[#This Row],[Punto 4]],tblBD_PatronMasa[[Código Patrón]:[mpe]],7,FALSE),"")</f>
        <v/>
      </c>
      <c r="AL8" s="55" t="str">
        <f>IFERROR(VLOOKUP(tblCompPuntosCal[[#This Row],[Punto 4]],tblBD_PatronMasa[[Código Patrón]:[mpe]],9,FALSE),"")</f>
        <v/>
      </c>
      <c r="AM8" s="66" t="str">
        <f>IF(switch="Sí",IFERROR(VLOOKUP(tblCompPuntosCal[[#This Row],[Punto 4]],'kU(E)'!$AB$7:$AK$56,10,FALSE)*1000,""),IFERROR(VLOOKUP(tblCompPuntosCal[[#This Row],[Punto 4]],'kU(E)'!$AB$7:$AK$56,8,FALSE)*1000,""))</f>
        <v/>
      </c>
      <c r="AN8" s="55" t="str">
        <f>IFERROR(IF('kU(E)'!$E$6&lt;&gt;0,INDEX(deltaMconv,MATCH(tblCompPuntosCal[[#This Row],[mN4]],MnomDeltaT),MATCH('kU(E)'!$E$6,deltaT,-1))/SQRT(3),""),"")</f>
        <v/>
      </c>
      <c r="AO8" s="62"/>
      <c r="AP8" s="55" t="str">
        <f>IFERROR(VLOOKUP(tblCompPuntosCal[[#This Row],[Punto 5]],tblBD_PatronMasa[[Código Patrón]:[mpe]],4,FALSE),"")</f>
        <v/>
      </c>
      <c r="AQ8" s="55" t="str">
        <f>IFERROR(VLOOKUP(tblCompPuntosCal[[#This Row],[Punto 5]],tblBD_PatronMasa[[Código Patrón]:[mpe]],6,FALSE),"")</f>
        <v/>
      </c>
      <c r="AR8" s="55" t="str">
        <f>IFERROR(VLOOKUP(tblCompPuntosCal[[#This Row],[Punto 5]],tblBD_PatronMasa[[Código Patrón]:[mpe]],7,FALSE),"")</f>
        <v/>
      </c>
      <c r="AS8" s="55" t="str">
        <f>IFERROR(VLOOKUP(tblCompPuntosCal[[#This Row],[Punto 5]],tblBD_PatronMasa[[Código Patrón]:[mpe]],9,FALSE),"")</f>
        <v/>
      </c>
      <c r="AT8" s="66" t="str">
        <f>IF(switch="Sí",IFERROR(VLOOKUP(tblCompPuntosCal[[#This Row],[Punto 5]],'kU(E)'!$AB$7:$AK$56,10,FALSE)*1000,""),IFERROR(VLOOKUP(tblCompPuntosCal[[#This Row],[Punto 5]],'kU(E)'!$AB$7:$AK$56,8,FALSE)*1000,""))</f>
        <v/>
      </c>
      <c r="AU8" s="55" t="str">
        <f>IFERROR(IF('kU(E)'!$E$6&lt;&gt;0,INDEX(deltaMconv,MATCH(tblCompPuntosCal[[#This Row],[mN5]],MnomDeltaT),MATCH('kU(E)'!$E$6,deltaT,-1))/SQRT(3),""),"")</f>
        <v/>
      </c>
      <c r="AV8" s="62"/>
      <c r="AW8" s="55" t="str">
        <f>IFERROR(VLOOKUP(tblCompPuntosCal[[#This Row],[Punto 6]],tblBD_PatronMasa[[Código Patrón]:[mpe]],4,FALSE),"")</f>
        <v/>
      </c>
      <c r="AX8" s="55" t="str">
        <f>IFERROR(VLOOKUP(tblCompPuntosCal[[#This Row],[Punto 6]],tblBD_PatronMasa[[Código Patrón]:[mpe]],6,FALSE),"")</f>
        <v/>
      </c>
      <c r="AY8" s="55" t="str">
        <f>IFERROR(VLOOKUP(tblCompPuntosCal[[#This Row],[Punto 6]],tblBD_PatronMasa[[Código Patrón]:[mpe]],7,FALSE),"")</f>
        <v/>
      </c>
      <c r="AZ8" s="55" t="str">
        <f>IFERROR(VLOOKUP(tblCompPuntosCal[[#This Row],[Punto 6]],tblBD_PatronMasa[[Código Patrón]:[mpe]],9,FALSE),"")</f>
        <v/>
      </c>
      <c r="BA8" s="66" t="str">
        <f>IF(switch="Sí",IFERROR(VLOOKUP(tblCompPuntosCal[[#This Row],[Punto 6]],'kU(E)'!$AB$7:$AK$56,10,FALSE)*1000,""),IFERROR(VLOOKUP(tblCompPuntosCal[[#This Row],[Punto 6]],'kU(E)'!$AB$7:$AK$56,8,FALSE)*1000,""))</f>
        <v/>
      </c>
      <c r="BB8" s="55" t="str">
        <f>IFERROR(IF('kU(E)'!$E$6&lt;&gt;0,INDEX(deltaMconv,MATCH(tblCompPuntosCal[[#This Row],[mN6]],MnomDeltaT),MATCH('kU(E)'!$E$6,deltaT,-1))/SQRT(3),""),"")</f>
        <v/>
      </c>
      <c r="BC8" s="62"/>
      <c r="BD8" s="55" t="str">
        <f>IFERROR(VLOOKUP(tblCompPuntosCal[[#This Row],[Punto 7]],tblBD_PatronMasa[[Código Patrón]:[mpe]],4,FALSE),"")</f>
        <v/>
      </c>
      <c r="BE8" s="55" t="str">
        <f>IFERROR(VLOOKUP(tblCompPuntosCal[[#This Row],[Punto 7]],tblBD_PatronMasa[[Código Patrón]:[mpe]],6,FALSE),"")</f>
        <v/>
      </c>
      <c r="BF8" s="55" t="str">
        <f>IFERROR(VLOOKUP(tblCompPuntosCal[[#This Row],[Punto 7]],tblBD_PatronMasa[[Código Patrón]:[mpe]],7,FALSE),"")</f>
        <v/>
      </c>
      <c r="BG8" s="55" t="str">
        <f>IFERROR(VLOOKUP(tblCompPuntosCal[[#This Row],[Punto 7]],tblBD_PatronMasa[[Código Patrón]:[mpe]],9,FALSE),"")</f>
        <v/>
      </c>
      <c r="BH8" s="66" t="str">
        <f>IF(switch="Sí",IFERROR(VLOOKUP(tblCompPuntosCal[[#This Row],[Punto 7]],'kU(E)'!$AB$7:$AK$56,10,FALSE)*1000,""),IFERROR(VLOOKUP(tblCompPuntosCal[[#This Row],[Punto 7]],'kU(E)'!$AB$7:$AK$56,8,FALSE)*1000,""))</f>
        <v/>
      </c>
      <c r="BI8" s="55" t="str">
        <f>IFERROR(IF('kU(E)'!$E$6&lt;&gt;0,INDEX(deltaMconv,MATCH(tblCompPuntosCal[[#This Row],[mN7]],MnomDeltaT),MATCH('kU(E)'!$E$6,deltaT,-1))/SQRT(3),""),"")</f>
        <v/>
      </c>
      <c r="BJ8" s="62"/>
      <c r="BK8" s="55" t="str">
        <f>IFERROR(VLOOKUP(tblCompPuntosCal[[#This Row],[Punto 8]],tblBD_PatronMasa[[Código Patrón]:[mpe]],4,FALSE),"")</f>
        <v/>
      </c>
      <c r="BL8" s="55" t="str">
        <f>IFERROR(VLOOKUP(tblCompPuntosCal[[#This Row],[Punto 8]],tblBD_PatronMasa[[Código Patrón]:[mpe]],6,FALSE),"")</f>
        <v/>
      </c>
      <c r="BM8" s="55" t="str">
        <f>IFERROR(VLOOKUP(tblCompPuntosCal[[#This Row],[Punto 8]],tblBD_PatronMasa[[Código Patrón]:[mpe]],7,FALSE),"")</f>
        <v/>
      </c>
      <c r="BN8" s="55" t="str">
        <f>IFERROR(VLOOKUP(tblCompPuntosCal[[#This Row],[Punto 8]],tblBD_PatronMasa[[Código Patrón]:[mpe]],9,FALSE),"")</f>
        <v/>
      </c>
      <c r="BO8" s="66" t="str">
        <f>IF(switch="Sí",IFERROR(VLOOKUP(tblCompPuntosCal[[#This Row],[Punto 8]],'kU(E)'!$AB$7:$AK$56,10,FALSE)*1000,""),IFERROR(VLOOKUP(tblCompPuntosCal[[#This Row],[Punto 8]],'kU(E)'!$AB$7:$AK$56,8,FALSE)*1000,""))</f>
        <v/>
      </c>
      <c r="BP8" s="55" t="str">
        <f>IFERROR(IF('kU(E)'!$E$6&lt;&gt;0,INDEX(deltaMconv,MATCH(tblCompPuntosCal[[#This Row],[mN8]],MnomDeltaT),MATCH('kU(E)'!$E$6,deltaT,-1))/SQRT(3),""),"")</f>
        <v/>
      </c>
      <c r="BQ8" s="62"/>
      <c r="BR8" s="55" t="str">
        <f>IFERROR(VLOOKUP(tblCompPuntosCal[[#This Row],[Punto 9]],tblBD_PatronMasa[[Código Patrón]:[mpe]],4,FALSE),"")</f>
        <v/>
      </c>
      <c r="BS8" s="55" t="str">
        <f>IFERROR(VLOOKUP(tblCompPuntosCal[[#This Row],[Punto 9]],tblBD_PatronMasa[[Código Patrón]:[mpe]],6,FALSE),"")</f>
        <v/>
      </c>
      <c r="BT8" s="55" t="str">
        <f>IFERROR(VLOOKUP(tblCompPuntosCal[[#This Row],[Punto 9]],tblBD_PatronMasa[[Código Patrón]:[mpe]],7,FALSE),"")</f>
        <v/>
      </c>
      <c r="BU8" s="55" t="str">
        <f>IFERROR(VLOOKUP(tblCompPuntosCal[[#This Row],[Punto 9]],tblBD_PatronMasa[[Código Patrón]:[mpe]],9,FALSE),"")</f>
        <v/>
      </c>
      <c r="BV8" s="66" t="str">
        <f>IF(switch="Sí",IFERROR(VLOOKUP(tblCompPuntosCal[[#This Row],[Punto 9]],'kU(E)'!$AB$7:$AK$56,10,FALSE)*1000,""),IFERROR(VLOOKUP(tblCompPuntosCal[[#This Row],[Punto 9]],'kU(E)'!$AB$7:$AK$56,8,FALSE)*1000,""))</f>
        <v/>
      </c>
      <c r="BW8" s="55" t="str">
        <f>IFERROR(IF('kU(E)'!$E$6&lt;&gt;0,INDEX(deltaMconv,MATCH(tblCompPuntosCal[[#This Row],[mN9]],MnomDeltaT),MATCH('kU(E)'!$E$6,deltaT,-1))/SQRT(3),""),"")</f>
        <v/>
      </c>
      <c r="BX8" s="62"/>
      <c r="BY8" s="55" t="str">
        <f>IFERROR(VLOOKUP(tblCompPuntosCal[[#This Row],[Punto 10]],tblBD_PatronMasa[[Código Patrón]:[mpe]],4,FALSE),"")</f>
        <v/>
      </c>
      <c r="BZ8" s="55" t="str">
        <f>IFERROR(VLOOKUP(tblCompPuntosCal[[#This Row],[Punto 10]],tblBD_PatronMasa[[Código Patrón]:[mpe]],6,FALSE),"")</f>
        <v/>
      </c>
      <c r="CA8" s="59" t="str">
        <f>IFERROR(VLOOKUP(tblCompPuntosCal[[#This Row],[Punto 10]],tblBD_PatronMasa[[Código Patrón]:[mpe]],7,FALSE),"")</f>
        <v/>
      </c>
      <c r="CB8" s="59" t="str">
        <f>IFERROR(VLOOKUP(tblCompPuntosCal[[#This Row],[Punto 10]],tblBD_PatronMasa[[Código Patrón]:[mpe]],9,FALSE),"")</f>
        <v/>
      </c>
      <c r="CC8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8" s="59" t="str">
        <f>IFERROR(IF('kU(E)'!$E$6&lt;&gt;0,INDEX(deltaMconv,MATCH(tblCompPuntosCal[[#This Row],[mN10]],MnomDeltaT),MATCH('kU(E)'!$E$6,deltaT,-1))/SQRT(3),""),"")</f>
        <v/>
      </c>
      <c r="CG8" s="38">
        <v>4</v>
      </c>
      <c r="CH8" s="35">
        <f>tblCompPuntosCal[[#This Row],[Punto 1]]</f>
        <v>0</v>
      </c>
      <c r="CI8" s="35" t="str">
        <f>IF(tblTrazabilidad[[#This Row],[Código]]=0,"",IFERROR(IF(SEARCH("JM",tblTrazabilidad[[#This Row],[Código]])&gt;0,"Juego de pesas",),"Pesa"))</f>
        <v/>
      </c>
      <c r="CJ8" s="35" t="str">
        <f>IFERROR(VLOOKUP($CH8,tblBD_PatronMasa[[Código Patrón]:[mN-(mpe–U95)]],2,FALSE),"")</f>
        <v/>
      </c>
      <c r="CK8" s="35" t="str">
        <f>IFERROR(VLOOKUP($CH8,tblBD_PatronMasa[[Código Patrón]:[mN-(mpe–U95)]],13,FALSE),"")</f>
        <v/>
      </c>
      <c r="CL8" s="34" t="str">
        <f>IF(tblTrazabilidad[[#This Row],[Clase]]="F2",IFERROR(IF(VLOOKUP($CH8,tblBD_PatronMasa[[Código Patrón]:[mN-(mpe–U95)]],12,FALSE)=0,"",VLOOKUP($CH8,tblBD_PatronMasa[[Código Patrón]:[mN-(mpe–U95)]],12,FALSE)+731),""),IF(tblTrazabilidad[[#This Row],[Clase]]="F1",IFERROR(IF(VLOOKUP($CH8,tblBD_PatronMasa[[Código Patrón]:[mN-(mpe–U95)]],12,FALSE)=0,"",VLOOKUP($CH8,tblBD_PatronMasa[[Código Patrón]:[mN-(mpe–U95)]],12,FALSE)+731),""),IFERROR(IF(VLOOKUP($CH8,tblBD_PatronMasa[[Código Patrón]:[mN-(mpe–U95)]],12,FALSE)=0,"",VLOOKUP($CH8,tblBD_PatronMasa[[Código Patrón]:[mN-(mpe–U95)]],12,FALSE)+366),"")))</f>
        <v/>
      </c>
      <c r="CM8" s="33" t="str">
        <f>IFERROR(VLOOKUP($CH8,tblBD_PatronMasa[[Código Patrón]:[mN-(mpe–U95)]],3,FALSE),"")</f>
        <v/>
      </c>
      <c r="CO8" s="94"/>
      <c r="CP8" s="57" t="str">
        <f>IFERROR(VLOOKUP(CS8,tblTrazabilidad[[Código]:[Próxima calibración]],2,0),"")</f>
        <v/>
      </c>
      <c r="CQ8" s="58" t="str">
        <f>IFERROR(VLOOKUP(CS8,tblTrazabilidad[[Código]:[Clase]],6,0),"")</f>
        <v/>
      </c>
      <c r="CR8" s="57" t="str">
        <f>IFERROR(VLOOKUP(CS8,tblTrazabilidad[[Código]:[Próxima calibración]],3,0),"")</f>
        <v/>
      </c>
      <c r="CS8" s="56" t="str">
        <f t="shared" si="1"/>
        <v/>
      </c>
      <c r="CT8" s="55" t="str">
        <f>IFERROR(IF(VLOOKUP(CS8,tblTrazabilidad[[Código]:[Próxima calibración]],4,0)=0,"",VLOOKUP(CS8,tblTrazabilidad[[Código]:[Próxima calibración]],4,0)),"")</f>
        <v/>
      </c>
      <c r="CU8" s="54" t="str">
        <f>IFERROR(VLOOKUP(CS8,tblTrazabilidad[[Código]:[Próxima calibración]],5,0),"")</f>
        <v/>
      </c>
      <c r="CV8" s="53">
        <f t="shared" si="0"/>
        <v>0</v>
      </c>
      <c r="CW8" s="52" t="str">
        <f>IFERROR(LOOKUP(2,1/(COUNTIF($CW$4:CW7,tblTrazabilidad[Código])=0),tblTrazabilidad[Código]),"")</f>
        <v/>
      </c>
      <c r="DC8" s="1"/>
      <c r="DD8" s="1"/>
      <c r="DF8"/>
      <c r="DG8"/>
    </row>
    <row r="9" spans="2:111" x14ac:dyDescent="0.3">
      <c r="B9" s="109" t="s">
        <v>173</v>
      </c>
      <c r="C9" s="109"/>
      <c r="D9" s="109"/>
      <c r="F9" s="311" t="s">
        <v>172</v>
      </c>
      <c r="G9" s="108">
        <f>IF(AND($J$3&lt;&gt;0,$J$3-$I$3&lt;0.15*$H$3),$I$3,0)</f>
        <v>0</v>
      </c>
      <c r="H9" s="108">
        <f>IF($J$3=0,$H$3*0.2,$I$3)</f>
        <v>104</v>
      </c>
      <c r="I9" s="108">
        <f>IF($J$3=0,$H$3*0.15,$I$3)</f>
        <v>78</v>
      </c>
      <c r="J9" s="348"/>
      <c r="K9" s="46"/>
      <c r="L9" s="8">
        <v>6</v>
      </c>
      <c r="M9" s="62"/>
      <c r="N9" s="59" t="str">
        <f>IFERROR(VLOOKUP(tblCompPuntosCal[[#This Row],[Punto 1]],tblBD_PatronMasa[[Código Patrón]:[mpe]],4,FALSE),"")</f>
        <v/>
      </c>
      <c r="O9" s="59" t="str">
        <f>IFERROR(VLOOKUP(tblCompPuntosCal[[#This Row],[Punto 1]],tblBD_PatronMasa[[Código Patrón]:[mpe]],6,FALSE),"")</f>
        <v/>
      </c>
      <c r="P9" s="55" t="str">
        <f>IFERROR(VLOOKUP(tblCompPuntosCal[[#This Row],[Punto 1]],tblBD_PatronMasa[[Código Patrón]:[mpe]],7,FALSE),"")</f>
        <v/>
      </c>
      <c r="Q9" s="55" t="str">
        <f>IFERROR(VLOOKUP(tblCompPuntosCal[[#This Row],[Punto 1]],tblBD_PatronMasa[[Código Patrón]:[mpe]],9,FALSE),"")</f>
        <v/>
      </c>
      <c r="R9" s="66" t="str">
        <f>IF(switch="Sí",IFERROR(VLOOKUP(tblCompPuntosCal[[#This Row],[Punto 1]],'kU(E)'!$AB$7:$AK$56,10,FALSE)*1000,""),IFERROR(VLOOKUP(tblCompPuntosCal[[#This Row],[Punto 1]],'kU(E)'!$AB$7:$AK$56*1000,8,FALSE),""))</f>
        <v/>
      </c>
      <c r="S9" s="55" t="str">
        <f>IFERROR(IF('kU(E)'!$E$6&lt;&gt;0,INDEX(deltaMconv,MATCH(tblCompPuntosCal[[#This Row],[mN1]],MnomDeltaT),MATCH('kU(E)'!$E$6,deltaT,-1))/SQRT(3),""),"")</f>
        <v/>
      </c>
      <c r="T9" s="62"/>
      <c r="U9" s="55" t="str">
        <f>IFERROR(VLOOKUP(tblCompPuntosCal[[#This Row],[Punto 2]],tblBD_PatronMasa[[Código Patrón]:[mpe]],4,FALSE),"")</f>
        <v/>
      </c>
      <c r="V9" s="55" t="str">
        <f>IFERROR(VLOOKUP(tblCompPuntosCal[[#This Row],[Punto 2]],tblBD_PatronMasa[[Código Patrón]:[mpe]],6,FALSE),"")</f>
        <v/>
      </c>
      <c r="W9" s="55" t="str">
        <f>IFERROR(VLOOKUP(tblCompPuntosCal[[#This Row],[Punto 2]],tblBD_PatronMasa[[Código Patrón]:[mpe]],7,FALSE),"")</f>
        <v/>
      </c>
      <c r="X9" s="55" t="str">
        <f>IFERROR(VLOOKUP(tblCompPuntosCal[[#This Row],[Punto 2]],tblBD_PatronMasa[[Código Patrón]:[mpe]],9,FALSE),"")</f>
        <v/>
      </c>
      <c r="Y9" s="66" t="str">
        <f>IF(switch="Sí",IFERROR(VLOOKUP(tblCompPuntosCal[[#This Row],[Punto 2]],'kU(E)'!$AB$7:$AK$56,10,FALSE)*1000,""),IFERROR(VLOOKUP(tblCompPuntosCal[[#This Row],[Punto 2]],'kU(E)'!$AB$7:$AK$56*1000,8,FALSE),""))</f>
        <v/>
      </c>
      <c r="Z9" s="55" t="str">
        <f>IFERROR(IF('kU(E)'!$E$6&lt;&gt;0,INDEX(deltaMconv,MATCH(tblCompPuntosCal[[#This Row],[mN2]],MnomDeltaT),MATCH('kU(E)'!$E$6,deltaT,-1))/SQRT(3),""),"")</f>
        <v/>
      </c>
      <c r="AA9" s="62"/>
      <c r="AB9" s="55" t="str">
        <f>IFERROR(VLOOKUP(tblCompPuntosCal[[#This Row],[Punto 3]],tblBD_PatronMasa[[Código Patrón]:[mpe]],4,FALSE),"")</f>
        <v/>
      </c>
      <c r="AC9" s="55" t="str">
        <f>IFERROR(VLOOKUP(tblCompPuntosCal[[#This Row],[Punto 3]],tblBD_PatronMasa[[Código Patrón]:[mpe]],6,FALSE),"")</f>
        <v/>
      </c>
      <c r="AD9" s="67" t="str">
        <f>IFERROR(VLOOKUP(tblCompPuntosCal[[#This Row],[Punto 3]],tblBD_PatronMasa[[Código Patrón]:[mpe]],7,FALSE),"")</f>
        <v/>
      </c>
      <c r="AE9" s="67" t="str">
        <f>IFERROR(VLOOKUP(tblCompPuntosCal[[#This Row],[Punto 3]],tblBD_PatronMasa[[Código Patrón]:[mpe]],9,FALSE),"")</f>
        <v/>
      </c>
      <c r="AF9" s="63" t="str">
        <f>IF(switch="Sí",IFERROR(VLOOKUP(tblCompPuntosCal[[#This Row],[Punto 3]],'kU(E)'!$AB$7:$AK$56,10,FALSE)*1000,""),IFERROR(VLOOKUP(tblCompPuntosCal[[#This Row],[Punto 3]],'kU(E)'!$AB$7:$AK$56*1000,8,FALSE),""))</f>
        <v/>
      </c>
      <c r="AG9" s="67" t="str">
        <f>IFERROR(IF('kU(E)'!$E$6&lt;&gt;0,INDEX(deltaMconv,MATCH(tblCompPuntosCal[[#This Row],[mN3]],MnomDeltaT),MATCH('kU(E)'!$E$6,deltaT,-1))/SQRT(3),""),"")</f>
        <v/>
      </c>
      <c r="AH9" s="62"/>
      <c r="AI9" s="67" t="str">
        <f>IFERROR(VLOOKUP(tblCompPuntosCal[[#This Row],[Punto 4]],tblBD_PatronMasa[[Código Patrón]:[mpe]],4,FALSE),"")</f>
        <v/>
      </c>
      <c r="AJ9" s="55" t="str">
        <f>IFERROR(VLOOKUP(tblCompPuntosCal[[#This Row],[Punto 4]],tblBD_PatronMasa[[Código Patrón]:[mpe]],6,FALSE),"")</f>
        <v/>
      </c>
      <c r="AK9" s="55" t="str">
        <f>IFERROR(VLOOKUP(tblCompPuntosCal[[#This Row],[Punto 4]],tblBD_PatronMasa[[Código Patrón]:[mpe]],7,FALSE),"")</f>
        <v/>
      </c>
      <c r="AL9" s="55" t="str">
        <f>IFERROR(VLOOKUP(tblCompPuntosCal[[#This Row],[Punto 4]],tblBD_PatronMasa[[Código Patrón]:[mpe]],9,FALSE),"")</f>
        <v/>
      </c>
      <c r="AM9" s="66" t="str">
        <f>IF(switch="Sí",IFERROR(VLOOKUP(tblCompPuntosCal[[#This Row],[Punto 4]],'kU(E)'!$AB$7:$AK$56,10,FALSE)*1000,""),IFERROR(VLOOKUP(tblCompPuntosCal[[#This Row],[Punto 4]],'kU(E)'!$AB$7:$AK$56,8,FALSE)*1000,""))</f>
        <v/>
      </c>
      <c r="AN9" s="55" t="str">
        <f>IFERROR(IF('kU(E)'!$E$6&lt;&gt;0,INDEX(deltaMconv,MATCH(tblCompPuntosCal[[#This Row],[mN4]],MnomDeltaT),MATCH('kU(E)'!$E$6,deltaT,-1))/SQRT(3),""),"")</f>
        <v/>
      </c>
      <c r="AO9" s="62"/>
      <c r="AP9" s="55" t="str">
        <f>IFERROR(VLOOKUP(tblCompPuntosCal[[#This Row],[Punto 5]],tblBD_PatronMasa[[Código Patrón]:[mpe]],4,FALSE),"")</f>
        <v/>
      </c>
      <c r="AQ9" s="55" t="str">
        <f>IFERROR(VLOOKUP(tblCompPuntosCal[[#This Row],[Punto 5]],tblBD_PatronMasa[[Código Patrón]:[mpe]],6,FALSE),"")</f>
        <v/>
      </c>
      <c r="AR9" s="55" t="str">
        <f>IFERROR(VLOOKUP(tblCompPuntosCal[[#This Row],[Punto 5]],tblBD_PatronMasa[[Código Patrón]:[mpe]],7,FALSE),"")</f>
        <v/>
      </c>
      <c r="AS9" s="55" t="str">
        <f>IFERROR(VLOOKUP(tblCompPuntosCal[[#This Row],[Punto 5]],tblBD_PatronMasa[[Código Patrón]:[mpe]],9,FALSE),"")</f>
        <v/>
      </c>
      <c r="AT9" s="66" t="str">
        <f>IF(switch="Sí",IFERROR(VLOOKUP(tblCompPuntosCal[[#This Row],[Punto 5]],'kU(E)'!$AB$7:$AK$56,10,FALSE)*1000,""),IFERROR(VLOOKUP(tblCompPuntosCal[[#This Row],[Punto 5]],'kU(E)'!$AB$7:$AK$56,8,FALSE)*1000,""))</f>
        <v/>
      </c>
      <c r="AU9" s="55" t="str">
        <f>IFERROR(IF('kU(E)'!$E$6&lt;&gt;0,INDEX(deltaMconv,MATCH(tblCompPuntosCal[[#This Row],[mN5]],MnomDeltaT),MATCH('kU(E)'!$E$6,deltaT,-1))/SQRT(3),""),"")</f>
        <v/>
      </c>
      <c r="AV9" s="62"/>
      <c r="AW9" s="55" t="str">
        <f>IFERROR(VLOOKUP(tblCompPuntosCal[[#This Row],[Punto 6]],tblBD_PatronMasa[[Código Patrón]:[mpe]],4,FALSE),"")</f>
        <v/>
      </c>
      <c r="AX9" s="55" t="str">
        <f>IFERROR(VLOOKUP(tblCompPuntosCal[[#This Row],[Punto 6]],tblBD_PatronMasa[[Código Patrón]:[mpe]],6,FALSE),"")</f>
        <v/>
      </c>
      <c r="AY9" s="55" t="str">
        <f>IFERROR(VLOOKUP(tblCompPuntosCal[[#This Row],[Punto 6]],tblBD_PatronMasa[[Código Patrón]:[mpe]],7,FALSE),"")</f>
        <v/>
      </c>
      <c r="AZ9" s="55" t="str">
        <f>IFERROR(VLOOKUP(tblCompPuntosCal[[#This Row],[Punto 6]],tblBD_PatronMasa[[Código Patrón]:[mpe]],9,FALSE),"")</f>
        <v/>
      </c>
      <c r="BA9" s="66" t="str">
        <f>IF(switch="Sí",IFERROR(VLOOKUP(tblCompPuntosCal[[#This Row],[Punto 6]],'kU(E)'!$AB$7:$AK$56,10,FALSE)*1000,""),IFERROR(VLOOKUP(tblCompPuntosCal[[#This Row],[Punto 6]],'kU(E)'!$AB$7:$AK$56,8,FALSE)*1000,""))</f>
        <v/>
      </c>
      <c r="BB9" s="55" t="str">
        <f>IFERROR(IF('kU(E)'!$E$6&lt;&gt;0,INDEX(deltaMconv,MATCH(tblCompPuntosCal[[#This Row],[mN6]],MnomDeltaT),MATCH('kU(E)'!$E$6,deltaT,-1))/SQRT(3),""),"")</f>
        <v/>
      </c>
      <c r="BC9" s="62"/>
      <c r="BD9" s="55" t="str">
        <f>IFERROR(VLOOKUP(tblCompPuntosCal[[#This Row],[Punto 7]],tblBD_PatronMasa[[Código Patrón]:[mpe]],4,FALSE),"")</f>
        <v/>
      </c>
      <c r="BE9" s="55" t="str">
        <f>IFERROR(VLOOKUP(tblCompPuntosCal[[#This Row],[Punto 7]],tblBD_PatronMasa[[Código Patrón]:[mpe]],6,FALSE),"")</f>
        <v/>
      </c>
      <c r="BF9" s="55" t="str">
        <f>IFERROR(VLOOKUP(tblCompPuntosCal[[#This Row],[Punto 7]],tblBD_PatronMasa[[Código Patrón]:[mpe]],7,FALSE),"")</f>
        <v/>
      </c>
      <c r="BG9" s="55" t="str">
        <f>IFERROR(VLOOKUP(tblCompPuntosCal[[#This Row],[Punto 7]],tblBD_PatronMasa[[Código Patrón]:[mpe]],9,FALSE),"")</f>
        <v/>
      </c>
      <c r="BH9" s="66" t="str">
        <f>IF(switch="Sí",IFERROR(VLOOKUP(tblCompPuntosCal[[#This Row],[Punto 7]],'kU(E)'!$AB$7:$AK$56,10,FALSE)*1000,""),IFERROR(VLOOKUP(tblCompPuntosCal[[#This Row],[Punto 7]],'kU(E)'!$AB$7:$AK$56,8,FALSE)*1000,""))</f>
        <v/>
      </c>
      <c r="BI9" s="55" t="str">
        <f>IFERROR(IF('kU(E)'!$E$6&lt;&gt;0,INDEX(deltaMconv,MATCH(tblCompPuntosCal[[#This Row],[mN7]],MnomDeltaT),MATCH('kU(E)'!$E$6,deltaT,-1))/SQRT(3),""),"")</f>
        <v/>
      </c>
      <c r="BJ9" s="62"/>
      <c r="BK9" s="55" t="str">
        <f>IFERROR(VLOOKUP(tblCompPuntosCal[[#This Row],[Punto 8]],tblBD_PatronMasa[[Código Patrón]:[mpe]],4,FALSE),"")</f>
        <v/>
      </c>
      <c r="BL9" s="55" t="str">
        <f>IFERROR(VLOOKUP(tblCompPuntosCal[[#This Row],[Punto 8]],tblBD_PatronMasa[[Código Patrón]:[mpe]],6,FALSE),"")</f>
        <v/>
      </c>
      <c r="BM9" s="55" t="str">
        <f>IFERROR(VLOOKUP(tblCompPuntosCal[[#This Row],[Punto 8]],tblBD_PatronMasa[[Código Patrón]:[mpe]],7,FALSE),"")</f>
        <v/>
      </c>
      <c r="BN9" s="55" t="str">
        <f>IFERROR(VLOOKUP(tblCompPuntosCal[[#This Row],[Punto 8]],tblBD_PatronMasa[[Código Patrón]:[mpe]],9,FALSE),"")</f>
        <v/>
      </c>
      <c r="BO9" s="66" t="str">
        <f>IF(switch="Sí",IFERROR(VLOOKUP(tblCompPuntosCal[[#This Row],[Punto 8]],'kU(E)'!$AB$7:$AK$56,10,FALSE)*1000,""),IFERROR(VLOOKUP(tblCompPuntosCal[[#This Row],[Punto 8]],'kU(E)'!$AB$7:$AK$56,8,FALSE)*1000,""))</f>
        <v/>
      </c>
      <c r="BP9" s="55" t="str">
        <f>IFERROR(IF('kU(E)'!$E$6&lt;&gt;0,INDEX(deltaMconv,MATCH(tblCompPuntosCal[[#This Row],[mN8]],MnomDeltaT),MATCH('kU(E)'!$E$6,deltaT,-1))/SQRT(3),""),"")</f>
        <v/>
      </c>
      <c r="BQ9" s="62"/>
      <c r="BR9" s="55" t="str">
        <f>IFERROR(VLOOKUP(tblCompPuntosCal[[#This Row],[Punto 9]],tblBD_PatronMasa[[Código Patrón]:[mpe]],4,FALSE),"")</f>
        <v/>
      </c>
      <c r="BS9" s="55" t="str">
        <f>IFERROR(VLOOKUP(tblCompPuntosCal[[#This Row],[Punto 9]],tblBD_PatronMasa[[Código Patrón]:[mpe]],6,FALSE),"")</f>
        <v/>
      </c>
      <c r="BT9" s="55" t="str">
        <f>IFERROR(VLOOKUP(tblCompPuntosCal[[#This Row],[Punto 9]],tblBD_PatronMasa[[Código Patrón]:[mpe]],7,FALSE),"")</f>
        <v/>
      </c>
      <c r="BU9" s="55" t="str">
        <f>IFERROR(VLOOKUP(tblCompPuntosCal[[#This Row],[Punto 9]],tblBD_PatronMasa[[Código Patrón]:[mpe]],9,FALSE),"")</f>
        <v/>
      </c>
      <c r="BV9" s="66" t="str">
        <f>IF(switch="Sí",IFERROR(VLOOKUP(tblCompPuntosCal[[#This Row],[Punto 9]],'kU(E)'!$AB$7:$AK$56,10,FALSE)*1000,""),IFERROR(VLOOKUP(tblCompPuntosCal[[#This Row],[Punto 9]],'kU(E)'!$AB$7:$AK$56,8,FALSE)*1000,""))</f>
        <v/>
      </c>
      <c r="BW9" s="55" t="str">
        <f>IFERROR(IF('kU(E)'!$E$6&lt;&gt;0,INDEX(deltaMconv,MATCH(tblCompPuntosCal[[#This Row],[mN9]],MnomDeltaT),MATCH('kU(E)'!$E$6,deltaT,-1))/SQRT(3),""),"")</f>
        <v/>
      </c>
      <c r="BX9" s="62"/>
      <c r="BY9" s="55" t="str">
        <f>IFERROR(VLOOKUP(tblCompPuntosCal[[#This Row],[Punto 10]],tblBD_PatronMasa[[Código Patrón]:[mpe]],4,FALSE),"")</f>
        <v/>
      </c>
      <c r="BZ9" s="55" t="str">
        <f>IFERROR(VLOOKUP(tblCompPuntosCal[[#This Row],[Punto 10]],tblBD_PatronMasa[[Código Patrón]:[mpe]],6,FALSE),"")</f>
        <v/>
      </c>
      <c r="CA9" s="59" t="str">
        <f>IFERROR(VLOOKUP(tblCompPuntosCal[[#This Row],[Punto 10]],tblBD_PatronMasa[[Código Patrón]:[mpe]],7,FALSE),"")</f>
        <v/>
      </c>
      <c r="CB9" s="59" t="str">
        <f>IFERROR(VLOOKUP(tblCompPuntosCal[[#This Row],[Punto 10]],tblBD_PatronMasa[[Código Patrón]:[mpe]],9,FALSE),"")</f>
        <v/>
      </c>
      <c r="CC9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9" s="59" t="str">
        <f>IFERROR(IF('kU(E)'!$E$6&lt;&gt;0,INDEX(deltaMconv,MATCH(tblCompPuntosCal[[#This Row],[mN10]],MnomDeltaT),MATCH('kU(E)'!$E$6,deltaT,-1))/SQRT(3),""),"")</f>
        <v/>
      </c>
      <c r="CG9" s="38">
        <v>5</v>
      </c>
      <c r="CH9" s="35">
        <f>tblCompPuntosCal[[#This Row],[Punto 1]]</f>
        <v>0</v>
      </c>
      <c r="CI9" s="35" t="str">
        <f>IF(tblTrazabilidad[[#This Row],[Código]]=0,"",IFERROR(IF(SEARCH("JM",tblTrazabilidad[[#This Row],[Código]])&gt;0,"Juego de pesas",),"Pesa"))</f>
        <v/>
      </c>
      <c r="CJ9" s="35" t="str">
        <f>IFERROR(VLOOKUP($CH9,tblBD_PatronMasa[[Código Patrón]:[mN-(mpe–U95)]],2,FALSE),"")</f>
        <v/>
      </c>
      <c r="CK9" s="35" t="str">
        <f>IFERROR(VLOOKUP($CH9,tblBD_PatronMasa[[Código Patrón]:[mN-(mpe–U95)]],13,FALSE),"")</f>
        <v/>
      </c>
      <c r="CL9" s="34" t="str">
        <f>IF(tblTrazabilidad[[#This Row],[Clase]]="F2",IFERROR(IF(VLOOKUP($CH9,tblBD_PatronMasa[[Código Patrón]:[mN-(mpe–U95)]],12,FALSE)=0,"",VLOOKUP($CH9,tblBD_PatronMasa[[Código Patrón]:[mN-(mpe–U95)]],12,FALSE)+731),""),IF(tblTrazabilidad[[#This Row],[Clase]]="F1",IFERROR(IF(VLOOKUP($CH9,tblBD_PatronMasa[[Código Patrón]:[mN-(mpe–U95)]],12,FALSE)=0,"",VLOOKUP($CH9,tblBD_PatronMasa[[Código Patrón]:[mN-(mpe–U95)]],12,FALSE)+731),""),IFERROR(IF(VLOOKUP($CH9,tblBD_PatronMasa[[Código Patrón]:[mN-(mpe–U95)]],12,FALSE)=0,"",VLOOKUP($CH9,tblBD_PatronMasa[[Código Patrón]:[mN-(mpe–U95)]],12,FALSE)+366),"")))</f>
        <v/>
      </c>
      <c r="CM9" s="33" t="str">
        <f>IFERROR(VLOOKUP($CH9,tblBD_PatronMasa[[Código Patrón]:[mN-(mpe–U95)]],3,FALSE),"")</f>
        <v/>
      </c>
      <c r="CO9" s="96"/>
      <c r="CP9" s="57" t="str">
        <f>IFERROR(VLOOKUP(CS9,tblTrazabilidad[[Código]:[Próxima calibración]],2,0),"")</f>
        <v/>
      </c>
      <c r="CQ9" s="58" t="str">
        <f>IFERROR(VLOOKUP(CS9,tblTrazabilidad[[Código]:[Clase]],6,0),"")</f>
        <v/>
      </c>
      <c r="CR9" s="57" t="str">
        <f>IFERROR(VLOOKUP(CS9,tblTrazabilidad[[Código]:[Próxima calibración]],3,0),"")</f>
        <v/>
      </c>
      <c r="CS9" s="56" t="str">
        <f t="shared" si="1"/>
        <v/>
      </c>
      <c r="CT9" s="55" t="str">
        <f>IFERROR(IF(VLOOKUP(CS9,tblTrazabilidad[[Código]:[Próxima calibración]],4,0)=0,"",VLOOKUP(CS9,tblTrazabilidad[[Código]:[Próxima calibración]],4,0)),"")</f>
        <v/>
      </c>
      <c r="CU9" s="54" t="str">
        <f>IFERROR(VLOOKUP(CS9,tblTrazabilidad[[Código]:[Próxima calibración]],5,0),"")</f>
        <v/>
      </c>
      <c r="CV9" s="53">
        <f t="shared" si="0"/>
        <v>0</v>
      </c>
      <c r="CW9" s="52" t="str">
        <f>IFERROR(LOOKUP(2,1/(COUNTIF($CW$4:CW8,tblTrazabilidad[Código])=0),tblTrazabilidad[Código]),"")</f>
        <v/>
      </c>
      <c r="DC9" s="1"/>
      <c r="DD9" s="1"/>
      <c r="DF9"/>
      <c r="DG9"/>
    </row>
    <row r="10" spans="2:111" ht="15.6" x14ac:dyDescent="0.3">
      <c r="B10" s="107" t="s">
        <v>171</v>
      </c>
      <c r="C10" s="107" t="s">
        <v>170</v>
      </c>
      <c r="D10" s="8"/>
      <c r="F10" s="311" t="s">
        <v>169</v>
      </c>
      <c r="G10" s="104">
        <f>IF(AND($J$3&lt;&gt;0,$J$3-$I$3&lt;0.15*$H$3),($J$3+$I$3)/2,0)</f>
        <v>0</v>
      </c>
      <c r="H10" s="104">
        <f>IF($J$3=0,$H$3*0.4,$I$3+($J$3-$I$3)*0.25)</f>
        <v>208</v>
      </c>
      <c r="I10" s="104">
        <f>IF($J$3=0,$H$3*0.3,$I$3+($J$3-$I$3)*0.25)</f>
        <v>156</v>
      </c>
      <c r="J10" s="348"/>
      <c r="K10" s="46"/>
      <c r="L10" s="8">
        <v>7</v>
      </c>
      <c r="M10" s="62"/>
      <c r="N10" s="59" t="str">
        <f>IFERROR(VLOOKUP(tblCompPuntosCal[[#This Row],[Punto 1]],tblBD_PatronMasa[[Código Patrón]:[mpe]],4,FALSE),"")</f>
        <v/>
      </c>
      <c r="O10" s="59" t="str">
        <f>IFERROR(VLOOKUP(tblCompPuntosCal[[#This Row],[Punto 1]],tblBD_PatronMasa[[Código Patrón]:[mpe]],6,FALSE),"")</f>
        <v/>
      </c>
      <c r="P10" s="55" t="str">
        <f>IFERROR(VLOOKUP(tblCompPuntosCal[[#This Row],[Punto 1]],tblBD_PatronMasa[[Código Patrón]:[mpe]],7,FALSE),"")</f>
        <v/>
      </c>
      <c r="Q10" s="55" t="str">
        <f>IFERROR(VLOOKUP(tblCompPuntosCal[[#This Row],[Punto 1]],tblBD_PatronMasa[[Código Patrón]:[mpe]],9,FALSE),"")</f>
        <v/>
      </c>
      <c r="R10" s="66" t="str">
        <f>IF(switch="Sí",IFERROR(VLOOKUP(tblCompPuntosCal[[#This Row],[Punto 1]],'kU(E)'!$AB$7:$AK$56,10,FALSE)*1000,""),IFERROR(VLOOKUP(tblCompPuntosCal[[#This Row],[Punto 1]],'kU(E)'!$AB$7:$AK$56*1000,8,FALSE),""))</f>
        <v/>
      </c>
      <c r="S10" s="55" t="str">
        <f>IFERROR(IF('kU(E)'!$E$6&lt;&gt;0,INDEX(deltaMconv,MATCH(tblCompPuntosCal[[#This Row],[mN1]],MnomDeltaT),MATCH('kU(E)'!$E$6,deltaT,-1))/SQRT(3),""),"")</f>
        <v/>
      </c>
      <c r="T10" s="62"/>
      <c r="U10" s="55" t="str">
        <f>IFERROR(VLOOKUP(tblCompPuntosCal[[#This Row],[Punto 2]],tblBD_PatronMasa[[Código Patrón]:[mpe]],4,FALSE),"")</f>
        <v/>
      </c>
      <c r="V10" s="55" t="str">
        <f>IFERROR(VLOOKUP(tblCompPuntosCal[[#This Row],[Punto 2]],tblBD_PatronMasa[[Código Patrón]:[mpe]],6,FALSE),"")</f>
        <v/>
      </c>
      <c r="W10" s="55" t="str">
        <f>IFERROR(VLOOKUP(tblCompPuntosCal[[#This Row],[Punto 2]],tblBD_PatronMasa[[Código Patrón]:[mpe]],7,FALSE),"")</f>
        <v/>
      </c>
      <c r="X10" s="55" t="str">
        <f>IFERROR(VLOOKUP(tblCompPuntosCal[[#This Row],[Punto 2]],tblBD_PatronMasa[[Código Patrón]:[mpe]],9,FALSE),"")</f>
        <v/>
      </c>
      <c r="Y10" s="66" t="str">
        <f>IF(switch="Sí",IFERROR(VLOOKUP(tblCompPuntosCal[[#This Row],[Punto 2]],'kU(E)'!$AB$7:$AK$56,10,FALSE)*1000,""),IFERROR(VLOOKUP(tblCompPuntosCal[[#This Row],[Punto 2]],'kU(E)'!$AB$7:$AK$56*1000,8,FALSE),""))</f>
        <v/>
      </c>
      <c r="Z10" s="55" t="str">
        <f>IFERROR(IF('kU(E)'!$E$6&lt;&gt;0,INDEX(deltaMconv,MATCH(tblCompPuntosCal[[#This Row],[mN2]],MnomDeltaT),MATCH('kU(E)'!$E$6,deltaT,-1))/SQRT(3),""),"")</f>
        <v/>
      </c>
      <c r="AA10" s="62"/>
      <c r="AB10" s="55" t="str">
        <f>IFERROR(VLOOKUP(tblCompPuntosCal[[#This Row],[Punto 3]],tblBD_PatronMasa[[Código Patrón]:[mpe]],4,FALSE),"")</f>
        <v/>
      </c>
      <c r="AC10" s="55" t="str">
        <f>IFERROR(VLOOKUP(tblCompPuntosCal[[#This Row],[Punto 3]],tblBD_PatronMasa[[Código Patrón]:[mpe]],6,FALSE),"")</f>
        <v/>
      </c>
      <c r="AD10" s="67" t="str">
        <f>IFERROR(VLOOKUP(tblCompPuntosCal[[#This Row],[Punto 3]],tblBD_PatronMasa[[Código Patrón]:[mpe]],7,FALSE),"")</f>
        <v/>
      </c>
      <c r="AE10" s="67" t="str">
        <f>IFERROR(VLOOKUP(tblCompPuntosCal[[#This Row],[Punto 3]],tblBD_PatronMasa[[Código Patrón]:[mpe]],9,FALSE),"")</f>
        <v/>
      </c>
      <c r="AF10" s="63" t="str">
        <f>IF(switch="Sí",IFERROR(VLOOKUP(tblCompPuntosCal[[#This Row],[Punto 3]],'kU(E)'!$AB$7:$AK$56,10,FALSE)*1000,""),IFERROR(VLOOKUP(tblCompPuntosCal[[#This Row],[Punto 3]],'kU(E)'!$AB$7:$AK$56*1000,8,FALSE),""))</f>
        <v/>
      </c>
      <c r="AG10" s="67" t="str">
        <f>IFERROR(IF('kU(E)'!$E$6&lt;&gt;0,INDEX(deltaMconv,MATCH(tblCompPuntosCal[[#This Row],[mN3]],MnomDeltaT),MATCH('kU(E)'!$E$6,deltaT,-1))/SQRT(3),""),"")</f>
        <v/>
      </c>
      <c r="AH10" s="62"/>
      <c r="AI10" s="67" t="str">
        <f>IFERROR(VLOOKUP(tblCompPuntosCal[[#This Row],[Punto 4]],tblBD_PatronMasa[[Código Patrón]:[mpe]],4,FALSE),"")</f>
        <v/>
      </c>
      <c r="AJ10" s="55" t="str">
        <f>IFERROR(VLOOKUP(tblCompPuntosCal[[#This Row],[Punto 4]],tblBD_PatronMasa[[Código Patrón]:[mpe]],6,FALSE),"")</f>
        <v/>
      </c>
      <c r="AK10" s="55" t="str">
        <f>IFERROR(VLOOKUP(tblCompPuntosCal[[#This Row],[Punto 4]],tblBD_PatronMasa[[Código Patrón]:[mpe]],7,FALSE),"")</f>
        <v/>
      </c>
      <c r="AL10" s="55" t="str">
        <f>IFERROR(VLOOKUP(tblCompPuntosCal[[#This Row],[Punto 4]],tblBD_PatronMasa[[Código Patrón]:[mpe]],9,FALSE),"")</f>
        <v/>
      </c>
      <c r="AM10" s="66" t="str">
        <f>IF(switch="Sí",IFERROR(VLOOKUP(tblCompPuntosCal[[#This Row],[Punto 4]],'kU(E)'!$AB$7:$AK$56,10,FALSE)*1000,""),IFERROR(VLOOKUP(tblCompPuntosCal[[#This Row],[Punto 4]],'kU(E)'!$AB$7:$AK$56,8,FALSE)*1000,""))</f>
        <v/>
      </c>
      <c r="AN10" s="55" t="str">
        <f>IFERROR(IF('kU(E)'!$E$6&lt;&gt;0,INDEX(deltaMconv,MATCH(tblCompPuntosCal[[#This Row],[mN4]],MnomDeltaT),MATCH('kU(E)'!$E$6,deltaT,-1))/SQRT(3),""),"")</f>
        <v/>
      </c>
      <c r="AO10" s="62"/>
      <c r="AP10" s="55" t="str">
        <f>IFERROR(VLOOKUP(tblCompPuntosCal[[#This Row],[Punto 5]],tblBD_PatronMasa[[Código Patrón]:[mpe]],4,FALSE),"")</f>
        <v/>
      </c>
      <c r="AQ10" s="55" t="str">
        <f>IFERROR(VLOOKUP(tblCompPuntosCal[[#This Row],[Punto 5]],tblBD_PatronMasa[[Código Patrón]:[mpe]],6,FALSE),"")</f>
        <v/>
      </c>
      <c r="AR10" s="55" t="str">
        <f>IFERROR(VLOOKUP(tblCompPuntosCal[[#This Row],[Punto 5]],tblBD_PatronMasa[[Código Patrón]:[mpe]],7,FALSE),"")</f>
        <v/>
      </c>
      <c r="AS10" s="55" t="str">
        <f>IFERROR(VLOOKUP(tblCompPuntosCal[[#This Row],[Punto 5]],tblBD_PatronMasa[[Código Patrón]:[mpe]],9,FALSE),"")</f>
        <v/>
      </c>
      <c r="AT10" s="66" t="str">
        <f>IF(switch="Sí",IFERROR(VLOOKUP(tblCompPuntosCal[[#This Row],[Punto 5]],'kU(E)'!$AB$7:$AK$56,10,FALSE)*1000,""),IFERROR(VLOOKUP(tblCompPuntosCal[[#This Row],[Punto 5]],'kU(E)'!$AB$7:$AK$56,8,FALSE)*1000,""))</f>
        <v/>
      </c>
      <c r="AU10" s="55" t="str">
        <f>IFERROR(IF('kU(E)'!$E$6&lt;&gt;0,INDEX(deltaMconv,MATCH(tblCompPuntosCal[[#This Row],[mN5]],MnomDeltaT),MATCH('kU(E)'!$E$6,deltaT,-1))/SQRT(3),""),"")</f>
        <v/>
      </c>
      <c r="AV10" s="62"/>
      <c r="AW10" s="55" t="str">
        <f>IFERROR(VLOOKUP(tblCompPuntosCal[[#This Row],[Punto 6]],tblBD_PatronMasa[[Código Patrón]:[mpe]],4,FALSE),"")</f>
        <v/>
      </c>
      <c r="AX10" s="55" t="str">
        <f>IFERROR(VLOOKUP(tblCompPuntosCal[[#This Row],[Punto 6]],tblBD_PatronMasa[[Código Patrón]:[mpe]],6,FALSE),"")</f>
        <v/>
      </c>
      <c r="AY10" s="55" t="str">
        <f>IFERROR(VLOOKUP(tblCompPuntosCal[[#This Row],[Punto 6]],tblBD_PatronMasa[[Código Patrón]:[mpe]],7,FALSE),"")</f>
        <v/>
      </c>
      <c r="AZ10" s="55" t="str">
        <f>IFERROR(VLOOKUP(tblCompPuntosCal[[#This Row],[Punto 6]],tblBD_PatronMasa[[Código Patrón]:[mpe]],9,FALSE),"")</f>
        <v/>
      </c>
      <c r="BA10" s="66" t="str">
        <f>IF(switch="Sí",IFERROR(VLOOKUP(tblCompPuntosCal[[#This Row],[Punto 6]],'kU(E)'!$AB$7:$AK$56,10,FALSE)*1000,""),IFERROR(VLOOKUP(tblCompPuntosCal[[#This Row],[Punto 6]],'kU(E)'!$AB$7:$AK$56,8,FALSE)*1000,""))</f>
        <v/>
      </c>
      <c r="BB10" s="55" t="str">
        <f>IFERROR(IF('kU(E)'!$E$6&lt;&gt;0,INDEX(deltaMconv,MATCH(tblCompPuntosCal[[#This Row],[mN6]],MnomDeltaT),MATCH('kU(E)'!$E$6,deltaT,-1))/SQRT(3),""),"")</f>
        <v/>
      </c>
      <c r="BC10" s="62"/>
      <c r="BD10" s="55" t="str">
        <f>IFERROR(VLOOKUP(tblCompPuntosCal[[#This Row],[Punto 7]],tblBD_PatronMasa[[Código Patrón]:[mpe]],4,FALSE),"")</f>
        <v/>
      </c>
      <c r="BE10" s="55" t="str">
        <f>IFERROR(VLOOKUP(tblCompPuntosCal[[#This Row],[Punto 7]],tblBD_PatronMasa[[Código Patrón]:[mpe]],6,FALSE),"")</f>
        <v/>
      </c>
      <c r="BF10" s="55" t="str">
        <f>IFERROR(VLOOKUP(tblCompPuntosCal[[#This Row],[Punto 7]],tblBD_PatronMasa[[Código Patrón]:[mpe]],7,FALSE),"")</f>
        <v/>
      </c>
      <c r="BG10" s="55" t="str">
        <f>IFERROR(VLOOKUP(tblCompPuntosCal[[#This Row],[Punto 7]],tblBD_PatronMasa[[Código Patrón]:[mpe]],9,FALSE),"")</f>
        <v/>
      </c>
      <c r="BH10" s="66" t="str">
        <f>IF(switch="Sí",IFERROR(VLOOKUP(tblCompPuntosCal[[#This Row],[Punto 7]],'kU(E)'!$AB$7:$AK$56,10,FALSE)*1000,""),IFERROR(VLOOKUP(tblCompPuntosCal[[#This Row],[Punto 7]],'kU(E)'!$AB$7:$AK$56,8,FALSE)*1000,""))</f>
        <v/>
      </c>
      <c r="BI10" s="55" t="str">
        <f>IFERROR(IF('kU(E)'!$E$6&lt;&gt;0,INDEX(deltaMconv,MATCH(tblCompPuntosCal[[#This Row],[mN7]],MnomDeltaT),MATCH('kU(E)'!$E$6,deltaT,-1))/SQRT(3),""),"")</f>
        <v/>
      </c>
      <c r="BJ10" s="62"/>
      <c r="BK10" s="55" t="str">
        <f>IFERROR(VLOOKUP(tblCompPuntosCal[[#This Row],[Punto 8]],tblBD_PatronMasa[[Código Patrón]:[mpe]],4,FALSE),"")</f>
        <v/>
      </c>
      <c r="BL10" s="55" t="str">
        <f>IFERROR(VLOOKUP(tblCompPuntosCal[[#This Row],[Punto 8]],tblBD_PatronMasa[[Código Patrón]:[mpe]],6,FALSE),"")</f>
        <v/>
      </c>
      <c r="BM10" s="55" t="str">
        <f>IFERROR(VLOOKUP(tblCompPuntosCal[[#This Row],[Punto 8]],tblBD_PatronMasa[[Código Patrón]:[mpe]],7,FALSE),"")</f>
        <v/>
      </c>
      <c r="BN10" s="55" t="str">
        <f>IFERROR(VLOOKUP(tblCompPuntosCal[[#This Row],[Punto 8]],tblBD_PatronMasa[[Código Patrón]:[mpe]],9,FALSE),"")</f>
        <v/>
      </c>
      <c r="BO10" s="66" t="str">
        <f>IF(switch="Sí",IFERROR(VLOOKUP(tblCompPuntosCal[[#This Row],[Punto 8]],'kU(E)'!$AB$7:$AK$56,10,FALSE)*1000,""),IFERROR(VLOOKUP(tblCompPuntosCal[[#This Row],[Punto 8]],'kU(E)'!$AB$7:$AK$56,8,FALSE)*1000,""))</f>
        <v/>
      </c>
      <c r="BP10" s="55" t="str">
        <f>IFERROR(IF('kU(E)'!$E$6&lt;&gt;0,INDEX(deltaMconv,MATCH(tblCompPuntosCal[[#This Row],[mN8]],MnomDeltaT),MATCH('kU(E)'!$E$6,deltaT,-1))/SQRT(3),""),"")</f>
        <v/>
      </c>
      <c r="BQ10" s="62"/>
      <c r="BR10" s="55" t="str">
        <f>IFERROR(VLOOKUP(tblCompPuntosCal[[#This Row],[Punto 9]],tblBD_PatronMasa[[Código Patrón]:[mpe]],4,FALSE),"")</f>
        <v/>
      </c>
      <c r="BS10" s="55" t="str">
        <f>IFERROR(VLOOKUP(tblCompPuntosCal[[#This Row],[Punto 9]],tblBD_PatronMasa[[Código Patrón]:[mpe]],6,FALSE),"")</f>
        <v/>
      </c>
      <c r="BT10" s="55" t="str">
        <f>IFERROR(VLOOKUP(tblCompPuntosCal[[#This Row],[Punto 9]],tblBD_PatronMasa[[Código Patrón]:[mpe]],7,FALSE),"")</f>
        <v/>
      </c>
      <c r="BU10" s="55" t="str">
        <f>IFERROR(VLOOKUP(tblCompPuntosCal[[#This Row],[Punto 9]],tblBD_PatronMasa[[Código Patrón]:[mpe]],9,FALSE),"")</f>
        <v/>
      </c>
      <c r="BV10" s="66" t="str">
        <f>IF(switch="Sí",IFERROR(VLOOKUP(tblCompPuntosCal[[#This Row],[Punto 9]],'kU(E)'!$AB$7:$AK$56,10,FALSE)*1000,""),IFERROR(VLOOKUP(tblCompPuntosCal[[#This Row],[Punto 9]],'kU(E)'!$AB$7:$AK$56,8,FALSE)*1000,""))</f>
        <v/>
      </c>
      <c r="BW10" s="55" t="str">
        <f>IFERROR(IF('kU(E)'!$E$6&lt;&gt;0,INDEX(deltaMconv,MATCH(tblCompPuntosCal[[#This Row],[mN9]],MnomDeltaT),MATCH('kU(E)'!$E$6,deltaT,-1))/SQRT(3),""),"")</f>
        <v/>
      </c>
      <c r="BX10" s="62"/>
      <c r="BY10" s="55" t="str">
        <f>IFERROR(VLOOKUP(tblCompPuntosCal[[#This Row],[Punto 10]],tblBD_PatronMasa[[Código Patrón]:[mpe]],4,FALSE),"")</f>
        <v/>
      </c>
      <c r="BZ10" s="55" t="str">
        <f>IFERROR(VLOOKUP(tblCompPuntosCal[[#This Row],[Punto 10]],tblBD_PatronMasa[[Código Patrón]:[mpe]],6,FALSE),"")</f>
        <v/>
      </c>
      <c r="CA10" s="59" t="str">
        <f>IFERROR(VLOOKUP(tblCompPuntosCal[[#This Row],[Punto 10]],tblBD_PatronMasa[[Código Patrón]:[mpe]],7,FALSE),"")</f>
        <v/>
      </c>
      <c r="CB10" s="59" t="str">
        <f>IFERROR(VLOOKUP(tblCompPuntosCal[[#This Row],[Punto 10]],tblBD_PatronMasa[[Código Patrón]:[mpe]],9,FALSE),"")</f>
        <v/>
      </c>
      <c r="CC10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10" s="59" t="str">
        <f>IFERROR(IF('kU(E)'!$E$6&lt;&gt;0,INDEX(deltaMconv,MATCH(tblCompPuntosCal[[#This Row],[mN10]],MnomDeltaT),MATCH('kU(E)'!$E$6,deltaT,-1))/SQRT(3),""),"")</f>
        <v/>
      </c>
      <c r="CG10" s="38">
        <v>6</v>
      </c>
      <c r="CH10" s="35">
        <f>tblCompPuntosCal[[#This Row],[Punto 1]]</f>
        <v>0</v>
      </c>
      <c r="CI10" s="35" t="str">
        <f>IF(tblTrazabilidad[[#This Row],[Código]]=0,"",IFERROR(IF(SEARCH("JM",tblTrazabilidad[[#This Row],[Código]])&gt;0,"Juego de pesas",),"Pesa"))</f>
        <v/>
      </c>
      <c r="CJ10" s="35" t="str">
        <f>IFERROR(VLOOKUP($CH10,tblBD_PatronMasa[[Código Patrón]:[mN-(mpe–U95)]],2,FALSE),"")</f>
        <v/>
      </c>
      <c r="CK10" s="35" t="str">
        <f>IFERROR(VLOOKUP($CH10,tblBD_PatronMasa[[Código Patrón]:[mN-(mpe–U95)]],13,FALSE),"")</f>
        <v/>
      </c>
      <c r="CL10" s="34" t="str">
        <f>IF(tblTrazabilidad[[#This Row],[Clase]]="F2",IFERROR(IF(VLOOKUP($CH10,tblBD_PatronMasa[[Código Patrón]:[mN-(mpe–U95)]],12,FALSE)=0,"",VLOOKUP($CH10,tblBD_PatronMasa[[Código Patrón]:[mN-(mpe–U95)]],12,FALSE)+731),""),IF(tblTrazabilidad[[#This Row],[Clase]]="F1",IFERROR(IF(VLOOKUP($CH10,tblBD_PatronMasa[[Código Patrón]:[mN-(mpe–U95)]],12,FALSE)=0,"",VLOOKUP($CH10,tblBD_PatronMasa[[Código Patrón]:[mN-(mpe–U95)]],12,FALSE)+731),""),IFERROR(IF(VLOOKUP($CH10,tblBD_PatronMasa[[Código Patrón]:[mN-(mpe–U95)]],12,FALSE)=0,"",VLOOKUP($CH10,tblBD_PatronMasa[[Código Patrón]:[mN-(mpe–U95)]],12,FALSE)+366),"")))</f>
        <v/>
      </c>
      <c r="CM10" s="33" t="str">
        <f>IFERROR(VLOOKUP($CH10,tblBD_PatronMasa[[Código Patrón]:[mN-(mpe–U95)]],3,FALSE),"")</f>
        <v/>
      </c>
      <c r="CO10" s="95"/>
      <c r="CP10" s="57" t="str">
        <f>IFERROR(VLOOKUP(CS10,tblTrazabilidad[[Código]:[Próxima calibración]],2,0),"")</f>
        <v/>
      </c>
      <c r="CQ10" s="58" t="str">
        <f>IFERROR(VLOOKUP(CS10,tblTrazabilidad[[Código]:[Clase]],6,0),"")</f>
        <v/>
      </c>
      <c r="CR10" s="57" t="str">
        <f>IFERROR(VLOOKUP(CS10,tblTrazabilidad[[Código]:[Próxima calibración]],3,0),"")</f>
        <v/>
      </c>
      <c r="CS10" s="56" t="str">
        <f t="shared" si="1"/>
        <v/>
      </c>
      <c r="CT10" s="55" t="str">
        <f>IFERROR(IF(VLOOKUP(CS10,tblTrazabilidad[[Código]:[Próxima calibración]],4,0)=0,"",VLOOKUP(CS10,tblTrazabilidad[[Código]:[Próxima calibración]],4,0)),"")</f>
        <v/>
      </c>
      <c r="CU10" s="54" t="str">
        <f>IFERROR(VLOOKUP(CS10,tblTrazabilidad[[Código]:[Próxima calibración]],5,0),"")</f>
        <v/>
      </c>
      <c r="CV10" s="53">
        <f t="shared" si="0"/>
        <v>0</v>
      </c>
      <c r="CW10" s="52" t="str">
        <f>IFERROR(LOOKUP(2,1/(COUNTIF($CW$4:CW9,tblTrazabilidad[Código])=0),tblTrazabilidad[Código]),"")</f>
        <v/>
      </c>
      <c r="DC10" s="1"/>
      <c r="DD10" s="1"/>
      <c r="DF10"/>
      <c r="DG10"/>
    </row>
    <row r="11" spans="2:111" x14ac:dyDescent="0.3">
      <c r="B11" s="8"/>
      <c r="C11" s="106" t="s">
        <v>168</v>
      </c>
      <c r="D11" s="105">
        <f>$H$3/3</f>
        <v>173.33333333333334</v>
      </c>
      <c r="F11" s="311" t="s">
        <v>167</v>
      </c>
      <c r="G11" s="104">
        <f>IF(AND($J$3&lt;&gt;0,$J$3-$I$3&lt;0.15*$H$3),$J$3,0)</f>
        <v>0</v>
      </c>
      <c r="H11" s="104">
        <f>IF($J$3=0,$H$3*0.6,$I$3+($J$3-$I$3)*0.5)</f>
        <v>312</v>
      </c>
      <c r="I11" s="104">
        <f>IF($J$3=0,$H$3*0.45,$I$3+($J$3-$I$3)*0.5)</f>
        <v>234</v>
      </c>
      <c r="J11" s="348"/>
      <c r="K11" s="46"/>
      <c r="L11" s="8">
        <v>8</v>
      </c>
      <c r="M11" s="62"/>
      <c r="N11" s="59" t="str">
        <f>IFERROR(VLOOKUP(tblCompPuntosCal[[#This Row],[Punto 1]],tblBD_PatronMasa[[Código Patrón]:[mpe]],4,FALSE),"")</f>
        <v/>
      </c>
      <c r="O11" s="59" t="str">
        <f>IFERROR(VLOOKUP(tblCompPuntosCal[[#This Row],[Punto 1]],tblBD_PatronMasa[[Código Patrón]:[mpe]],6,FALSE),"")</f>
        <v/>
      </c>
      <c r="P11" s="55" t="str">
        <f>IFERROR(VLOOKUP(tblCompPuntosCal[[#This Row],[Punto 1]],tblBD_PatronMasa[[Código Patrón]:[mpe]],7,FALSE),"")</f>
        <v/>
      </c>
      <c r="Q11" s="55" t="str">
        <f>IFERROR(VLOOKUP(tblCompPuntosCal[[#This Row],[Punto 1]],tblBD_PatronMasa[[Código Patrón]:[mpe]],9,FALSE),"")</f>
        <v/>
      </c>
      <c r="R11" s="66" t="str">
        <f>IF(switch="Sí",IFERROR(VLOOKUP(tblCompPuntosCal[[#This Row],[Punto 1]],'kU(E)'!$AB$7:$AK$56,10,FALSE)*1000,""),IFERROR(VLOOKUP(tblCompPuntosCal[[#This Row],[Punto 1]],'kU(E)'!$AB$7:$AK$56*1000,8,FALSE),""))</f>
        <v/>
      </c>
      <c r="S11" s="55" t="str">
        <f>IFERROR(IF('kU(E)'!$E$6&lt;&gt;0,INDEX(deltaMconv,MATCH(tblCompPuntosCal[[#This Row],[mN1]],MnomDeltaT),MATCH('kU(E)'!$E$6,deltaT,-1))/SQRT(3),""),"")</f>
        <v/>
      </c>
      <c r="T11" s="62"/>
      <c r="U11" s="55" t="str">
        <f>IFERROR(VLOOKUP(tblCompPuntosCal[[#This Row],[Punto 2]],tblBD_PatronMasa[[Código Patrón]:[mpe]],4,FALSE),"")</f>
        <v/>
      </c>
      <c r="V11" s="55" t="str">
        <f>IFERROR(VLOOKUP(tblCompPuntosCal[[#This Row],[Punto 2]],tblBD_PatronMasa[[Código Patrón]:[mpe]],6,FALSE),"")</f>
        <v/>
      </c>
      <c r="W11" s="55" t="str">
        <f>IFERROR(VLOOKUP(tblCompPuntosCal[[#This Row],[Punto 2]],tblBD_PatronMasa[[Código Patrón]:[mpe]],7,FALSE),"")</f>
        <v/>
      </c>
      <c r="X11" s="55" t="str">
        <f>IFERROR(VLOOKUP(tblCompPuntosCal[[#This Row],[Punto 2]],tblBD_PatronMasa[[Código Patrón]:[mpe]],9,FALSE),"")</f>
        <v/>
      </c>
      <c r="Y11" s="66" t="str">
        <f>IF(switch="Sí",IFERROR(VLOOKUP(tblCompPuntosCal[[#This Row],[Punto 2]],'kU(E)'!$AB$7:$AK$56,10,FALSE)*1000,""),IFERROR(VLOOKUP(tblCompPuntosCal[[#This Row],[Punto 2]],'kU(E)'!$AB$7:$AK$56*1000,8,FALSE),""))</f>
        <v/>
      </c>
      <c r="Z11" s="55" t="str">
        <f>IFERROR(IF('kU(E)'!$E$6&lt;&gt;0,INDEX(deltaMconv,MATCH(tblCompPuntosCal[[#This Row],[mN2]],MnomDeltaT),MATCH('kU(E)'!$E$6,deltaT,-1))/SQRT(3),""),"")</f>
        <v/>
      </c>
      <c r="AA11" s="62"/>
      <c r="AB11" s="55" t="str">
        <f>IFERROR(VLOOKUP(tblCompPuntosCal[[#This Row],[Punto 3]],tblBD_PatronMasa[[Código Patrón]:[mpe]],4,FALSE),"")</f>
        <v/>
      </c>
      <c r="AC11" s="55" t="str">
        <f>IFERROR(VLOOKUP(tblCompPuntosCal[[#This Row],[Punto 3]],tblBD_PatronMasa[[Código Patrón]:[mpe]],6,FALSE),"")</f>
        <v/>
      </c>
      <c r="AD11" s="67" t="str">
        <f>IFERROR(VLOOKUP(tblCompPuntosCal[[#This Row],[Punto 3]],tblBD_PatronMasa[[Código Patrón]:[mpe]],7,FALSE),"")</f>
        <v/>
      </c>
      <c r="AE11" s="67" t="str">
        <f>IFERROR(VLOOKUP(tblCompPuntosCal[[#This Row],[Punto 3]],tblBD_PatronMasa[[Código Patrón]:[mpe]],9,FALSE),"")</f>
        <v/>
      </c>
      <c r="AF11" s="63" t="str">
        <f>IF(switch="Sí",IFERROR(VLOOKUP(tblCompPuntosCal[[#This Row],[Punto 3]],'kU(E)'!$AB$7:$AK$56,10,FALSE)*1000,""),IFERROR(VLOOKUP(tblCompPuntosCal[[#This Row],[Punto 3]],'kU(E)'!$AB$7:$AK$56*1000,8,FALSE),""))</f>
        <v/>
      </c>
      <c r="AG11" s="67" t="str">
        <f>IFERROR(IF('kU(E)'!$E$6&lt;&gt;0,INDEX(deltaMconv,MATCH(tblCompPuntosCal[[#This Row],[mN3]],MnomDeltaT),MATCH('kU(E)'!$E$6,deltaT,-1))/SQRT(3),""),"")</f>
        <v/>
      </c>
      <c r="AH11" s="62"/>
      <c r="AI11" s="67" t="str">
        <f>IFERROR(VLOOKUP(tblCompPuntosCal[[#This Row],[Punto 4]],tblBD_PatronMasa[[Código Patrón]:[mpe]],4,FALSE),"")</f>
        <v/>
      </c>
      <c r="AJ11" s="55" t="str">
        <f>IFERROR(VLOOKUP(tblCompPuntosCal[[#This Row],[Punto 4]],tblBD_PatronMasa[[Código Patrón]:[mpe]],6,FALSE),"")</f>
        <v/>
      </c>
      <c r="AK11" s="55" t="str">
        <f>IFERROR(VLOOKUP(tblCompPuntosCal[[#This Row],[Punto 4]],tblBD_PatronMasa[[Código Patrón]:[mpe]],7,FALSE),"")</f>
        <v/>
      </c>
      <c r="AL11" s="55" t="str">
        <f>IFERROR(VLOOKUP(tblCompPuntosCal[[#This Row],[Punto 4]],tblBD_PatronMasa[[Código Patrón]:[mpe]],9,FALSE),"")</f>
        <v/>
      </c>
      <c r="AM11" s="66" t="str">
        <f>IF(switch="Sí",IFERROR(VLOOKUP(tblCompPuntosCal[[#This Row],[Punto 4]],'kU(E)'!$AB$7:$AK$56,10,FALSE)*1000,""),IFERROR(VLOOKUP(tblCompPuntosCal[[#This Row],[Punto 4]],'kU(E)'!$AB$7:$AK$56,8,FALSE)*1000,""))</f>
        <v/>
      </c>
      <c r="AN11" s="55" t="str">
        <f>IFERROR(IF('kU(E)'!$E$6&lt;&gt;0,INDEX(deltaMconv,MATCH(tblCompPuntosCal[[#This Row],[mN4]],MnomDeltaT),MATCH('kU(E)'!$E$6,deltaT,-1))/SQRT(3),""),"")</f>
        <v/>
      </c>
      <c r="AO11" s="62"/>
      <c r="AP11" s="55" t="str">
        <f>IFERROR(VLOOKUP(tblCompPuntosCal[[#This Row],[Punto 5]],tblBD_PatronMasa[[Código Patrón]:[mpe]],4,FALSE),"")</f>
        <v/>
      </c>
      <c r="AQ11" s="55" t="str">
        <f>IFERROR(VLOOKUP(tblCompPuntosCal[[#This Row],[Punto 5]],tblBD_PatronMasa[[Código Patrón]:[mpe]],6,FALSE),"")</f>
        <v/>
      </c>
      <c r="AR11" s="55" t="str">
        <f>IFERROR(VLOOKUP(tblCompPuntosCal[[#This Row],[Punto 5]],tblBD_PatronMasa[[Código Patrón]:[mpe]],7,FALSE),"")</f>
        <v/>
      </c>
      <c r="AS11" s="55" t="str">
        <f>IFERROR(VLOOKUP(tblCompPuntosCal[[#This Row],[Punto 5]],tblBD_PatronMasa[[Código Patrón]:[mpe]],9,FALSE),"")</f>
        <v/>
      </c>
      <c r="AT11" s="66" t="str">
        <f>IF(switch="Sí",IFERROR(VLOOKUP(tblCompPuntosCal[[#This Row],[Punto 5]],'kU(E)'!$AB$7:$AK$56,10,FALSE)*1000,""),IFERROR(VLOOKUP(tblCompPuntosCal[[#This Row],[Punto 5]],'kU(E)'!$AB$7:$AK$56,8,FALSE)*1000,""))</f>
        <v/>
      </c>
      <c r="AU11" s="55" t="str">
        <f>IFERROR(IF('kU(E)'!$E$6&lt;&gt;0,INDEX(deltaMconv,MATCH(tblCompPuntosCal[[#This Row],[mN5]],MnomDeltaT),MATCH('kU(E)'!$E$6,deltaT,-1))/SQRT(3),""),"")</f>
        <v/>
      </c>
      <c r="AV11" s="62"/>
      <c r="AW11" s="55" t="str">
        <f>IFERROR(VLOOKUP(tblCompPuntosCal[[#This Row],[Punto 6]],tblBD_PatronMasa[[Código Patrón]:[mpe]],4,FALSE),"")</f>
        <v/>
      </c>
      <c r="AX11" s="55" t="str">
        <f>IFERROR(VLOOKUP(tblCompPuntosCal[[#This Row],[Punto 6]],tblBD_PatronMasa[[Código Patrón]:[mpe]],6,FALSE),"")</f>
        <v/>
      </c>
      <c r="AY11" s="55" t="str">
        <f>IFERROR(VLOOKUP(tblCompPuntosCal[[#This Row],[Punto 6]],tblBD_PatronMasa[[Código Patrón]:[mpe]],7,FALSE),"")</f>
        <v/>
      </c>
      <c r="AZ11" s="55" t="str">
        <f>IFERROR(VLOOKUP(tblCompPuntosCal[[#This Row],[Punto 6]],tblBD_PatronMasa[[Código Patrón]:[mpe]],9,FALSE),"")</f>
        <v/>
      </c>
      <c r="BA11" s="66" t="str">
        <f>IF(switch="Sí",IFERROR(VLOOKUP(tblCompPuntosCal[[#This Row],[Punto 6]],'kU(E)'!$AB$7:$AK$56,10,FALSE)*1000,""),IFERROR(VLOOKUP(tblCompPuntosCal[[#This Row],[Punto 6]],'kU(E)'!$AB$7:$AK$56,8,FALSE)*1000,""))</f>
        <v/>
      </c>
      <c r="BB11" s="55" t="str">
        <f>IFERROR(IF('kU(E)'!$E$6&lt;&gt;0,INDEX(deltaMconv,MATCH(tblCompPuntosCal[[#This Row],[mN6]],MnomDeltaT),MATCH('kU(E)'!$E$6,deltaT,-1))/SQRT(3),""),"")</f>
        <v/>
      </c>
      <c r="BC11" s="62"/>
      <c r="BD11" s="55" t="str">
        <f>IFERROR(VLOOKUP(tblCompPuntosCal[[#This Row],[Punto 7]],tblBD_PatronMasa[[Código Patrón]:[mpe]],4,FALSE),"")</f>
        <v/>
      </c>
      <c r="BE11" s="55" t="str">
        <f>IFERROR(VLOOKUP(tblCompPuntosCal[[#This Row],[Punto 7]],tblBD_PatronMasa[[Código Patrón]:[mpe]],6,FALSE),"")</f>
        <v/>
      </c>
      <c r="BF11" s="55" t="str">
        <f>IFERROR(VLOOKUP(tblCompPuntosCal[[#This Row],[Punto 7]],tblBD_PatronMasa[[Código Patrón]:[mpe]],7,FALSE),"")</f>
        <v/>
      </c>
      <c r="BG11" s="55" t="str">
        <f>IFERROR(VLOOKUP(tblCompPuntosCal[[#This Row],[Punto 7]],tblBD_PatronMasa[[Código Patrón]:[mpe]],9,FALSE),"")</f>
        <v/>
      </c>
      <c r="BH11" s="66" t="str">
        <f>IF(switch="Sí",IFERROR(VLOOKUP(tblCompPuntosCal[[#This Row],[Punto 7]],'kU(E)'!$AB$7:$AK$56,10,FALSE)*1000,""),IFERROR(VLOOKUP(tblCompPuntosCal[[#This Row],[Punto 7]],'kU(E)'!$AB$7:$AK$56,8,FALSE)*1000,""))</f>
        <v/>
      </c>
      <c r="BI11" s="55" t="str">
        <f>IFERROR(IF('kU(E)'!$E$6&lt;&gt;0,INDEX(deltaMconv,MATCH(tblCompPuntosCal[[#This Row],[mN7]],MnomDeltaT),MATCH('kU(E)'!$E$6,deltaT,-1))/SQRT(3),""),"")</f>
        <v/>
      </c>
      <c r="BJ11" s="62"/>
      <c r="BK11" s="55" t="str">
        <f>IFERROR(VLOOKUP(tblCompPuntosCal[[#This Row],[Punto 8]],tblBD_PatronMasa[[Código Patrón]:[mpe]],4,FALSE),"")</f>
        <v/>
      </c>
      <c r="BL11" s="55" t="str">
        <f>IFERROR(VLOOKUP(tblCompPuntosCal[[#This Row],[Punto 8]],tblBD_PatronMasa[[Código Patrón]:[mpe]],6,FALSE),"")</f>
        <v/>
      </c>
      <c r="BM11" s="55" t="str">
        <f>IFERROR(VLOOKUP(tblCompPuntosCal[[#This Row],[Punto 8]],tblBD_PatronMasa[[Código Patrón]:[mpe]],7,FALSE),"")</f>
        <v/>
      </c>
      <c r="BN11" s="55" t="str">
        <f>IFERROR(VLOOKUP(tblCompPuntosCal[[#This Row],[Punto 8]],tblBD_PatronMasa[[Código Patrón]:[mpe]],9,FALSE),"")</f>
        <v/>
      </c>
      <c r="BO11" s="66" t="str">
        <f>IF(switch="Sí",IFERROR(VLOOKUP(tblCompPuntosCal[[#This Row],[Punto 8]],'kU(E)'!$AB$7:$AK$56,10,FALSE)*1000,""),IFERROR(VLOOKUP(tblCompPuntosCal[[#This Row],[Punto 8]],'kU(E)'!$AB$7:$AK$56,8,FALSE)*1000,""))</f>
        <v/>
      </c>
      <c r="BP11" s="55" t="str">
        <f>IFERROR(IF('kU(E)'!$E$6&lt;&gt;0,INDEX(deltaMconv,MATCH(tblCompPuntosCal[[#This Row],[mN8]],MnomDeltaT),MATCH('kU(E)'!$E$6,deltaT,-1))/SQRT(3),""),"")</f>
        <v/>
      </c>
      <c r="BQ11" s="62"/>
      <c r="BR11" s="55" t="str">
        <f>IFERROR(VLOOKUP(tblCompPuntosCal[[#This Row],[Punto 9]],tblBD_PatronMasa[[Código Patrón]:[mpe]],4,FALSE),"")</f>
        <v/>
      </c>
      <c r="BS11" s="55" t="str">
        <f>IFERROR(VLOOKUP(tblCompPuntosCal[[#This Row],[Punto 9]],tblBD_PatronMasa[[Código Patrón]:[mpe]],6,FALSE),"")</f>
        <v/>
      </c>
      <c r="BT11" s="55" t="str">
        <f>IFERROR(VLOOKUP(tblCompPuntosCal[[#This Row],[Punto 9]],tblBD_PatronMasa[[Código Patrón]:[mpe]],7,FALSE),"")</f>
        <v/>
      </c>
      <c r="BU11" s="55" t="str">
        <f>IFERROR(VLOOKUP(tblCompPuntosCal[[#This Row],[Punto 9]],tblBD_PatronMasa[[Código Patrón]:[mpe]],9,FALSE),"")</f>
        <v/>
      </c>
      <c r="BV11" s="66" t="str">
        <f>IF(switch="Sí",IFERROR(VLOOKUP(tblCompPuntosCal[[#This Row],[Punto 9]],'kU(E)'!$AB$7:$AK$56,10,FALSE)*1000,""),IFERROR(VLOOKUP(tblCompPuntosCal[[#This Row],[Punto 9]],'kU(E)'!$AB$7:$AK$56,8,FALSE)*1000,""))</f>
        <v/>
      </c>
      <c r="BW11" s="55" t="str">
        <f>IFERROR(IF('kU(E)'!$E$6&lt;&gt;0,INDEX(deltaMconv,MATCH(tblCompPuntosCal[[#This Row],[mN9]],MnomDeltaT),MATCH('kU(E)'!$E$6,deltaT,-1))/SQRT(3),""),"")</f>
        <v/>
      </c>
      <c r="BX11" s="62"/>
      <c r="BY11" s="55" t="str">
        <f>IFERROR(VLOOKUP(tblCompPuntosCal[[#This Row],[Punto 10]],tblBD_PatronMasa[[Código Patrón]:[mpe]],4,FALSE),"")</f>
        <v/>
      </c>
      <c r="BZ11" s="55" t="str">
        <f>IFERROR(VLOOKUP(tblCompPuntosCal[[#This Row],[Punto 10]],tblBD_PatronMasa[[Código Patrón]:[mpe]],6,FALSE),"")</f>
        <v/>
      </c>
      <c r="CA11" s="59" t="str">
        <f>IFERROR(VLOOKUP(tblCompPuntosCal[[#This Row],[Punto 10]],tblBD_PatronMasa[[Código Patrón]:[mpe]],7,FALSE),"")</f>
        <v/>
      </c>
      <c r="CB11" s="59" t="str">
        <f>IFERROR(VLOOKUP(tblCompPuntosCal[[#This Row],[Punto 10]],tblBD_PatronMasa[[Código Patrón]:[mpe]],9,FALSE),"")</f>
        <v/>
      </c>
      <c r="CC11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11" s="59" t="str">
        <f>IFERROR(IF('kU(E)'!$E$6&lt;&gt;0,INDEX(deltaMconv,MATCH(tblCompPuntosCal[[#This Row],[mN10]],MnomDeltaT),MATCH('kU(E)'!$E$6,deltaT,-1))/SQRT(3),""),"")</f>
        <v/>
      </c>
      <c r="CG11" s="38">
        <v>7</v>
      </c>
      <c r="CH11" s="35">
        <f>tblCompPuntosCal[[#This Row],[Punto 1]]</f>
        <v>0</v>
      </c>
      <c r="CI11" s="35" t="str">
        <f>IF(tblTrazabilidad[[#This Row],[Código]]=0,"",IFERROR(IF(SEARCH("JM",tblTrazabilidad[[#This Row],[Código]])&gt;0,"Juego de pesas",),"Pesa"))</f>
        <v/>
      </c>
      <c r="CJ11" s="35" t="str">
        <f>IFERROR(VLOOKUP($CH11,tblBD_PatronMasa[[Código Patrón]:[mN-(mpe–U95)]],2,FALSE),"")</f>
        <v/>
      </c>
      <c r="CK11" s="35" t="str">
        <f>IFERROR(VLOOKUP($CH11,tblBD_PatronMasa[[Código Patrón]:[mN-(mpe–U95)]],13,FALSE),"")</f>
        <v/>
      </c>
      <c r="CL11" s="34" t="str">
        <f>IF(tblTrazabilidad[[#This Row],[Clase]]="F2",IFERROR(IF(VLOOKUP($CH11,tblBD_PatronMasa[[Código Patrón]:[mN-(mpe–U95)]],12,FALSE)=0,"",VLOOKUP($CH11,tblBD_PatronMasa[[Código Patrón]:[mN-(mpe–U95)]],12,FALSE)+731),""),IF(tblTrazabilidad[[#This Row],[Clase]]="F1",IFERROR(IF(VLOOKUP($CH11,tblBD_PatronMasa[[Código Patrón]:[mN-(mpe–U95)]],12,FALSE)=0,"",VLOOKUP($CH11,tblBD_PatronMasa[[Código Patrón]:[mN-(mpe–U95)]],12,FALSE)+731),""),IFERROR(IF(VLOOKUP($CH11,tblBD_PatronMasa[[Código Patrón]:[mN-(mpe–U95)]],12,FALSE)=0,"",VLOOKUP($CH11,tblBD_PatronMasa[[Código Patrón]:[mN-(mpe–U95)]],12,FALSE)+366),"")))</f>
        <v/>
      </c>
      <c r="CM11" s="33" t="str">
        <f>IFERROR(VLOOKUP($CH11,tblBD_PatronMasa[[Código Patrón]:[mN-(mpe–U95)]],3,FALSE),"")</f>
        <v/>
      </c>
      <c r="CO11" s="94"/>
      <c r="CP11" s="57" t="str">
        <f>IFERROR(VLOOKUP(CS11,tblTrazabilidad[[Código]:[Próxima calibración]],2,0),"")</f>
        <v/>
      </c>
      <c r="CQ11" s="58" t="str">
        <f>IFERROR(VLOOKUP(CS11,tblTrazabilidad[[Código]:[Clase]],6,0),"")</f>
        <v/>
      </c>
      <c r="CR11" s="57" t="str">
        <f>IFERROR(VLOOKUP(CS11,tblTrazabilidad[[Código]:[Próxima calibración]],3,0),"")</f>
        <v/>
      </c>
      <c r="CS11" s="56" t="str">
        <f t="shared" si="1"/>
        <v/>
      </c>
      <c r="CT11" s="55" t="str">
        <f>IFERROR(IF(VLOOKUP(CS11,tblTrazabilidad[[Código]:[Próxima calibración]],4,0)=0,"",VLOOKUP(CS11,tblTrazabilidad[[Código]:[Próxima calibración]],4,0)),"")</f>
        <v/>
      </c>
      <c r="CU11" s="54" t="str">
        <f>IFERROR(VLOOKUP(CS11,tblTrazabilidad[[Código]:[Próxima calibración]],5,0),"")</f>
        <v/>
      </c>
      <c r="CV11" s="53">
        <f t="shared" si="0"/>
        <v>0</v>
      </c>
      <c r="CW11" s="52" t="str">
        <f>IFERROR(LOOKUP(2,1/(COUNTIF($CW$4:CW10,tblTrazabilidad[Código])=0),tblTrazabilidad[Código]),"")</f>
        <v/>
      </c>
      <c r="DC11" s="1"/>
      <c r="DD11" s="1"/>
      <c r="DF11"/>
      <c r="DG11"/>
    </row>
    <row r="12" spans="2:111" x14ac:dyDescent="0.3">
      <c r="B12" s="8"/>
      <c r="C12" s="106" t="s">
        <v>166</v>
      </c>
      <c r="D12" s="105">
        <f>$I$3+($J$3-$I$3)/3</f>
        <v>0</v>
      </c>
      <c r="F12" s="311" t="s">
        <v>165</v>
      </c>
      <c r="G12" s="98" t="s">
        <v>4</v>
      </c>
      <c r="H12" s="104">
        <f>IF($J$3=0,$H$3*0.8,$I$3+($J$3-$I$3)*0.75)</f>
        <v>416</v>
      </c>
      <c r="I12" s="104">
        <f>IF($J$3=0,$H$3*0.6,$I$3+($J$3-$I$3)*0.75)</f>
        <v>312</v>
      </c>
      <c r="J12" s="348"/>
      <c r="K12" s="46"/>
      <c r="L12" s="8">
        <v>9</v>
      </c>
      <c r="M12" s="62"/>
      <c r="N12" s="59" t="str">
        <f>IFERROR(VLOOKUP(tblCompPuntosCal[[#This Row],[Punto 1]],tblBD_PatronMasa[[Código Patrón]:[mpe]],4,FALSE),"")</f>
        <v/>
      </c>
      <c r="O12" s="59" t="str">
        <f>IFERROR(VLOOKUP(tblCompPuntosCal[[#This Row],[Punto 1]],tblBD_PatronMasa[[Código Patrón]:[mpe]],6,FALSE),"")</f>
        <v/>
      </c>
      <c r="P12" s="55" t="str">
        <f>IFERROR(VLOOKUP(tblCompPuntosCal[[#This Row],[Punto 1]],tblBD_PatronMasa[[Código Patrón]:[mpe]],7,FALSE),"")</f>
        <v/>
      </c>
      <c r="Q12" s="55" t="str">
        <f>IFERROR(VLOOKUP(tblCompPuntosCal[[#This Row],[Punto 1]],tblBD_PatronMasa[[Código Patrón]:[mpe]],9,FALSE),"")</f>
        <v/>
      </c>
      <c r="R12" s="66" t="str">
        <f>IF(switch="Sí",IFERROR(VLOOKUP(tblCompPuntosCal[[#This Row],[Punto 1]],'kU(E)'!$AB$7:$AK$56,10,FALSE)*1000,""),IFERROR(VLOOKUP(tblCompPuntosCal[[#This Row],[Punto 1]],'kU(E)'!$AB$7:$AK$56*1000,8,FALSE),""))</f>
        <v/>
      </c>
      <c r="S12" s="55" t="str">
        <f>IFERROR(IF('kU(E)'!$E$6&lt;&gt;0,INDEX(deltaMconv,MATCH(tblCompPuntosCal[[#This Row],[mN1]],MnomDeltaT),MATCH('kU(E)'!$E$6,deltaT,-1))/SQRT(3),""),"")</f>
        <v/>
      </c>
      <c r="T12" s="62"/>
      <c r="U12" s="55" t="str">
        <f>IFERROR(VLOOKUP(tblCompPuntosCal[[#This Row],[Punto 2]],tblBD_PatronMasa[[Código Patrón]:[mpe]],4,FALSE),"")</f>
        <v/>
      </c>
      <c r="V12" s="55" t="str">
        <f>IFERROR(VLOOKUP(tblCompPuntosCal[[#This Row],[Punto 2]],tblBD_PatronMasa[[Código Patrón]:[mpe]],6,FALSE),"")</f>
        <v/>
      </c>
      <c r="W12" s="55" t="str">
        <f>IFERROR(VLOOKUP(tblCompPuntosCal[[#This Row],[Punto 2]],tblBD_PatronMasa[[Código Patrón]:[mpe]],7,FALSE),"")</f>
        <v/>
      </c>
      <c r="X12" s="55" t="str">
        <f>IFERROR(VLOOKUP(tblCompPuntosCal[[#This Row],[Punto 2]],tblBD_PatronMasa[[Código Patrón]:[mpe]],9,FALSE),"")</f>
        <v/>
      </c>
      <c r="Y12" s="66" t="str">
        <f>IF(switch="Sí",IFERROR(VLOOKUP(tblCompPuntosCal[[#This Row],[Punto 2]],'kU(E)'!$AB$7:$AK$56,10,FALSE)*1000,""),IFERROR(VLOOKUP(tblCompPuntosCal[[#This Row],[Punto 2]],'kU(E)'!$AB$7:$AK$56*1000,8,FALSE),""))</f>
        <v/>
      </c>
      <c r="Z12" s="55" t="str">
        <f>IFERROR(IF('kU(E)'!$E$6&lt;&gt;0,INDEX(deltaMconv,MATCH(tblCompPuntosCal[[#This Row],[mN2]],MnomDeltaT),MATCH('kU(E)'!$E$6,deltaT,-1))/SQRT(3),""),"")</f>
        <v/>
      </c>
      <c r="AA12" s="62"/>
      <c r="AB12" s="55" t="str">
        <f>IFERROR(VLOOKUP(tblCompPuntosCal[[#This Row],[Punto 3]],tblBD_PatronMasa[[Código Patrón]:[mpe]],4,FALSE),"")</f>
        <v/>
      </c>
      <c r="AC12" s="55" t="str">
        <f>IFERROR(VLOOKUP(tblCompPuntosCal[[#This Row],[Punto 3]],tblBD_PatronMasa[[Código Patrón]:[mpe]],6,FALSE),"")</f>
        <v/>
      </c>
      <c r="AD12" s="67" t="str">
        <f>IFERROR(VLOOKUP(tblCompPuntosCal[[#This Row],[Punto 3]],tblBD_PatronMasa[[Código Patrón]:[mpe]],7,FALSE),"")</f>
        <v/>
      </c>
      <c r="AE12" s="67" t="str">
        <f>IFERROR(VLOOKUP(tblCompPuntosCal[[#This Row],[Punto 3]],tblBD_PatronMasa[[Código Patrón]:[mpe]],9,FALSE),"")</f>
        <v/>
      </c>
      <c r="AF12" s="63" t="str">
        <f>IF(switch="Sí",IFERROR(VLOOKUP(tblCompPuntosCal[[#This Row],[Punto 3]],'kU(E)'!$AB$7:$AK$56,10,FALSE)*1000,""),IFERROR(VLOOKUP(tblCompPuntosCal[[#This Row],[Punto 3]],'kU(E)'!$AB$7:$AK$56*1000,8,FALSE),""))</f>
        <v/>
      </c>
      <c r="AG12" s="67" t="str">
        <f>IFERROR(IF('kU(E)'!$E$6&lt;&gt;0,INDEX(deltaMconv,MATCH(tblCompPuntosCal[[#This Row],[mN3]],MnomDeltaT),MATCH('kU(E)'!$E$6,deltaT,-1))/SQRT(3),""),"")</f>
        <v/>
      </c>
      <c r="AH12" s="62"/>
      <c r="AI12" s="67" t="str">
        <f>IFERROR(VLOOKUP(tblCompPuntosCal[[#This Row],[Punto 4]],tblBD_PatronMasa[[Código Patrón]:[mpe]],4,FALSE),"")</f>
        <v/>
      </c>
      <c r="AJ12" s="55" t="str">
        <f>IFERROR(VLOOKUP(tblCompPuntosCal[[#This Row],[Punto 4]],tblBD_PatronMasa[[Código Patrón]:[mpe]],6,FALSE),"")</f>
        <v/>
      </c>
      <c r="AK12" s="55" t="str">
        <f>IFERROR(VLOOKUP(tblCompPuntosCal[[#This Row],[Punto 4]],tblBD_PatronMasa[[Código Patrón]:[mpe]],7,FALSE),"")</f>
        <v/>
      </c>
      <c r="AL12" s="55" t="str">
        <f>IFERROR(VLOOKUP(tblCompPuntosCal[[#This Row],[Punto 4]],tblBD_PatronMasa[[Código Patrón]:[mpe]],9,FALSE),"")</f>
        <v/>
      </c>
      <c r="AM12" s="66" t="str">
        <f>IF(switch="Sí",IFERROR(VLOOKUP(tblCompPuntosCal[[#This Row],[Punto 4]],'kU(E)'!$AB$7:$AK$56,10,FALSE)*1000,""),IFERROR(VLOOKUP(tblCompPuntosCal[[#This Row],[Punto 4]],'kU(E)'!$AB$7:$AK$56,8,FALSE)*1000,""))</f>
        <v/>
      </c>
      <c r="AN12" s="55" t="str">
        <f>IFERROR(IF('kU(E)'!$E$6&lt;&gt;0,INDEX(deltaMconv,MATCH(tblCompPuntosCal[[#This Row],[mN4]],MnomDeltaT),MATCH('kU(E)'!$E$6,deltaT,-1))/SQRT(3),""),"")</f>
        <v/>
      </c>
      <c r="AO12" s="62"/>
      <c r="AP12" s="55" t="str">
        <f>IFERROR(VLOOKUP(tblCompPuntosCal[[#This Row],[Punto 5]],tblBD_PatronMasa[[Código Patrón]:[mpe]],4,FALSE),"")</f>
        <v/>
      </c>
      <c r="AQ12" s="55" t="str">
        <f>IFERROR(VLOOKUP(tblCompPuntosCal[[#This Row],[Punto 5]],tblBD_PatronMasa[[Código Patrón]:[mpe]],6,FALSE),"")</f>
        <v/>
      </c>
      <c r="AR12" s="55" t="str">
        <f>IFERROR(VLOOKUP(tblCompPuntosCal[[#This Row],[Punto 5]],tblBD_PatronMasa[[Código Patrón]:[mpe]],7,FALSE),"")</f>
        <v/>
      </c>
      <c r="AS12" s="55" t="str">
        <f>IFERROR(VLOOKUP(tblCompPuntosCal[[#This Row],[Punto 5]],tblBD_PatronMasa[[Código Patrón]:[mpe]],9,FALSE),"")</f>
        <v/>
      </c>
      <c r="AT12" s="66" t="str">
        <f>IF(switch="Sí",IFERROR(VLOOKUP(tblCompPuntosCal[[#This Row],[Punto 5]],'kU(E)'!$AB$7:$AK$56,10,FALSE)*1000,""),IFERROR(VLOOKUP(tblCompPuntosCal[[#This Row],[Punto 5]],'kU(E)'!$AB$7:$AK$56,8,FALSE)*1000,""))</f>
        <v/>
      </c>
      <c r="AU12" s="55" t="str">
        <f>IFERROR(IF('kU(E)'!$E$6&lt;&gt;0,INDEX(deltaMconv,MATCH(tblCompPuntosCal[[#This Row],[mN5]],MnomDeltaT),MATCH('kU(E)'!$E$6,deltaT,-1))/SQRT(3),""),"")</f>
        <v/>
      </c>
      <c r="AV12" s="62"/>
      <c r="AW12" s="55" t="str">
        <f>IFERROR(VLOOKUP(tblCompPuntosCal[[#This Row],[Punto 6]],tblBD_PatronMasa[[Código Patrón]:[mpe]],4,FALSE),"")</f>
        <v/>
      </c>
      <c r="AX12" s="55" t="str">
        <f>IFERROR(VLOOKUP(tblCompPuntosCal[[#This Row],[Punto 6]],tblBD_PatronMasa[[Código Patrón]:[mpe]],6,FALSE),"")</f>
        <v/>
      </c>
      <c r="AY12" s="55" t="str">
        <f>IFERROR(VLOOKUP(tblCompPuntosCal[[#This Row],[Punto 6]],tblBD_PatronMasa[[Código Patrón]:[mpe]],7,FALSE),"")</f>
        <v/>
      </c>
      <c r="AZ12" s="55" t="str">
        <f>IFERROR(VLOOKUP(tblCompPuntosCal[[#This Row],[Punto 6]],tblBD_PatronMasa[[Código Patrón]:[mpe]],9,FALSE),"")</f>
        <v/>
      </c>
      <c r="BA12" s="66" t="str">
        <f>IF(switch="Sí",IFERROR(VLOOKUP(tblCompPuntosCal[[#This Row],[Punto 6]],'kU(E)'!$AB$7:$AK$56,10,FALSE)*1000,""),IFERROR(VLOOKUP(tblCompPuntosCal[[#This Row],[Punto 6]],'kU(E)'!$AB$7:$AK$56,8,FALSE)*1000,""))</f>
        <v/>
      </c>
      <c r="BB12" s="55" t="str">
        <f>IFERROR(IF('kU(E)'!$E$6&lt;&gt;0,INDEX(deltaMconv,MATCH(tblCompPuntosCal[[#This Row],[mN6]],MnomDeltaT),MATCH('kU(E)'!$E$6,deltaT,-1))/SQRT(3),""),"")</f>
        <v/>
      </c>
      <c r="BC12" s="62"/>
      <c r="BD12" s="55" t="str">
        <f>IFERROR(VLOOKUP(tblCompPuntosCal[[#This Row],[Punto 7]],tblBD_PatronMasa[[Código Patrón]:[mpe]],4,FALSE),"")</f>
        <v/>
      </c>
      <c r="BE12" s="55" t="str">
        <f>IFERROR(VLOOKUP(tblCompPuntosCal[[#This Row],[Punto 7]],tblBD_PatronMasa[[Código Patrón]:[mpe]],6,FALSE),"")</f>
        <v/>
      </c>
      <c r="BF12" s="55" t="str">
        <f>IFERROR(VLOOKUP(tblCompPuntosCal[[#This Row],[Punto 7]],tblBD_PatronMasa[[Código Patrón]:[mpe]],7,FALSE),"")</f>
        <v/>
      </c>
      <c r="BG12" s="55" t="str">
        <f>IFERROR(VLOOKUP(tblCompPuntosCal[[#This Row],[Punto 7]],tblBD_PatronMasa[[Código Patrón]:[mpe]],9,FALSE),"")</f>
        <v/>
      </c>
      <c r="BH12" s="66" t="str">
        <f>IF(switch="Sí",IFERROR(VLOOKUP(tblCompPuntosCal[[#This Row],[Punto 7]],'kU(E)'!$AB$7:$AK$56,10,FALSE)*1000,""),IFERROR(VLOOKUP(tblCompPuntosCal[[#This Row],[Punto 7]],'kU(E)'!$AB$7:$AK$56,8,FALSE)*1000,""))</f>
        <v/>
      </c>
      <c r="BI12" s="55" t="str">
        <f>IFERROR(IF('kU(E)'!$E$6&lt;&gt;0,INDEX(deltaMconv,MATCH(tblCompPuntosCal[[#This Row],[mN7]],MnomDeltaT),MATCH('kU(E)'!$E$6,deltaT,-1))/SQRT(3),""),"")</f>
        <v/>
      </c>
      <c r="BJ12" s="62"/>
      <c r="BK12" s="55" t="str">
        <f>IFERROR(VLOOKUP(tblCompPuntosCal[[#This Row],[Punto 8]],tblBD_PatronMasa[[Código Patrón]:[mpe]],4,FALSE),"")</f>
        <v/>
      </c>
      <c r="BL12" s="55" t="str">
        <f>IFERROR(VLOOKUP(tblCompPuntosCal[[#This Row],[Punto 8]],tblBD_PatronMasa[[Código Patrón]:[mpe]],6,FALSE),"")</f>
        <v/>
      </c>
      <c r="BM12" s="55" t="str">
        <f>IFERROR(VLOOKUP(tblCompPuntosCal[[#This Row],[Punto 8]],tblBD_PatronMasa[[Código Patrón]:[mpe]],7,FALSE),"")</f>
        <v/>
      </c>
      <c r="BN12" s="55" t="str">
        <f>IFERROR(VLOOKUP(tblCompPuntosCal[[#This Row],[Punto 8]],tblBD_PatronMasa[[Código Patrón]:[mpe]],9,FALSE),"")</f>
        <v/>
      </c>
      <c r="BO12" s="66" t="str">
        <f>IF(switch="Sí",IFERROR(VLOOKUP(tblCompPuntosCal[[#This Row],[Punto 8]],'kU(E)'!$AB$7:$AK$56,10,FALSE)*1000,""),IFERROR(VLOOKUP(tblCompPuntosCal[[#This Row],[Punto 8]],'kU(E)'!$AB$7:$AK$56,8,FALSE)*1000,""))</f>
        <v/>
      </c>
      <c r="BP12" s="55" t="str">
        <f>IFERROR(IF('kU(E)'!$E$6&lt;&gt;0,INDEX(deltaMconv,MATCH(tblCompPuntosCal[[#This Row],[mN8]],MnomDeltaT),MATCH('kU(E)'!$E$6,deltaT,-1))/SQRT(3),""),"")</f>
        <v/>
      </c>
      <c r="BQ12" s="62"/>
      <c r="BR12" s="55" t="str">
        <f>IFERROR(VLOOKUP(tblCompPuntosCal[[#This Row],[Punto 9]],tblBD_PatronMasa[[Código Patrón]:[mpe]],4,FALSE),"")</f>
        <v/>
      </c>
      <c r="BS12" s="55" t="str">
        <f>IFERROR(VLOOKUP(tblCompPuntosCal[[#This Row],[Punto 9]],tblBD_PatronMasa[[Código Patrón]:[mpe]],6,FALSE),"")</f>
        <v/>
      </c>
      <c r="BT12" s="55" t="str">
        <f>IFERROR(VLOOKUP(tblCompPuntosCal[[#This Row],[Punto 9]],tblBD_PatronMasa[[Código Patrón]:[mpe]],7,FALSE),"")</f>
        <v/>
      </c>
      <c r="BU12" s="55" t="str">
        <f>IFERROR(VLOOKUP(tblCompPuntosCal[[#This Row],[Punto 9]],tblBD_PatronMasa[[Código Patrón]:[mpe]],9,FALSE),"")</f>
        <v/>
      </c>
      <c r="BV12" s="66" t="str">
        <f>IF(switch="Sí",IFERROR(VLOOKUP(tblCompPuntosCal[[#This Row],[Punto 9]],'kU(E)'!$AB$7:$AK$56,10,FALSE)*1000,""),IFERROR(VLOOKUP(tblCompPuntosCal[[#This Row],[Punto 9]],'kU(E)'!$AB$7:$AK$56,8,FALSE)*1000,""))</f>
        <v/>
      </c>
      <c r="BW12" s="55" t="str">
        <f>IFERROR(IF('kU(E)'!$E$6&lt;&gt;0,INDEX(deltaMconv,MATCH(tblCompPuntosCal[[#This Row],[mN9]],MnomDeltaT),MATCH('kU(E)'!$E$6,deltaT,-1))/SQRT(3),""),"")</f>
        <v/>
      </c>
      <c r="BX12" s="62"/>
      <c r="BY12" s="55" t="str">
        <f>IFERROR(VLOOKUP(tblCompPuntosCal[[#This Row],[Punto 10]],tblBD_PatronMasa[[Código Patrón]:[mpe]],4,FALSE),"")</f>
        <v/>
      </c>
      <c r="BZ12" s="55" t="str">
        <f>IFERROR(VLOOKUP(tblCompPuntosCal[[#This Row],[Punto 10]],tblBD_PatronMasa[[Código Patrón]:[mpe]],6,FALSE),"")</f>
        <v/>
      </c>
      <c r="CA12" s="59" t="str">
        <f>IFERROR(VLOOKUP(tblCompPuntosCal[[#This Row],[Punto 10]],tblBD_PatronMasa[[Código Patrón]:[mpe]],7,FALSE),"")</f>
        <v/>
      </c>
      <c r="CB12" s="59" t="str">
        <f>IFERROR(VLOOKUP(tblCompPuntosCal[[#This Row],[Punto 10]],tblBD_PatronMasa[[Código Patrón]:[mpe]],9,FALSE),"")</f>
        <v/>
      </c>
      <c r="CC12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12" s="59" t="str">
        <f>IFERROR(IF('kU(E)'!$E$6&lt;&gt;0,INDEX(deltaMconv,MATCH(tblCompPuntosCal[[#This Row],[mN10]],MnomDeltaT),MATCH('kU(E)'!$E$6,deltaT,-1))/SQRT(3),""),"")</f>
        <v/>
      </c>
      <c r="CG12" s="38">
        <v>8</v>
      </c>
      <c r="CH12" s="35">
        <f>tblCompPuntosCal[[#This Row],[Punto 1]]</f>
        <v>0</v>
      </c>
      <c r="CI12" s="35" t="str">
        <f>IF(tblTrazabilidad[[#This Row],[Código]]=0,"",IFERROR(IF(SEARCH("JM",tblTrazabilidad[[#This Row],[Código]])&gt;0,"Juego de pesas",),"Pesa"))</f>
        <v/>
      </c>
      <c r="CJ12" s="35" t="str">
        <f>IFERROR(VLOOKUP($CH12,tblBD_PatronMasa[[Código Patrón]:[mN-(mpe–U95)]],2,FALSE),"")</f>
        <v/>
      </c>
      <c r="CK12" s="35" t="str">
        <f>IFERROR(VLOOKUP($CH12,tblBD_PatronMasa[[Código Patrón]:[mN-(mpe–U95)]],13,FALSE),"")</f>
        <v/>
      </c>
      <c r="CL12" s="34" t="str">
        <f>IF(tblTrazabilidad[[#This Row],[Clase]]="F2",IFERROR(IF(VLOOKUP($CH12,tblBD_PatronMasa[[Código Patrón]:[mN-(mpe–U95)]],12,FALSE)=0,"",VLOOKUP($CH12,tblBD_PatronMasa[[Código Patrón]:[mN-(mpe–U95)]],12,FALSE)+731),""),IF(tblTrazabilidad[[#This Row],[Clase]]="F1",IFERROR(IF(VLOOKUP($CH12,tblBD_PatronMasa[[Código Patrón]:[mN-(mpe–U95)]],12,FALSE)=0,"",VLOOKUP($CH12,tblBD_PatronMasa[[Código Patrón]:[mN-(mpe–U95)]],12,FALSE)+731),""),IFERROR(IF(VLOOKUP($CH12,tblBD_PatronMasa[[Código Patrón]:[mN-(mpe–U95)]],12,FALSE)=0,"",VLOOKUP($CH12,tblBD_PatronMasa[[Código Patrón]:[mN-(mpe–U95)]],12,FALSE)+366),"")))</f>
        <v/>
      </c>
      <c r="CM12" s="33" t="str">
        <f>IFERROR(VLOOKUP($CH12,tblBD_PatronMasa[[Código Patrón]:[mN-(mpe–U95)]],3,FALSE),"")</f>
        <v/>
      </c>
      <c r="CO12" s="96"/>
      <c r="CP12" s="57" t="str">
        <f>IFERROR(VLOOKUP(CS12,tblTrazabilidad[[Código]:[Próxima calibración]],2,0),"")</f>
        <v/>
      </c>
      <c r="CQ12" s="58" t="str">
        <f>IFERROR(VLOOKUP(CS12,tblTrazabilidad[[Código]:[Clase]],6,0),"")</f>
        <v/>
      </c>
      <c r="CR12" s="57" t="str">
        <f>IFERROR(VLOOKUP(CS12,tblTrazabilidad[[Código]:[Próxima calibración]],3,0),"")</f>
        <v/>
      </c>
      <c r="CS12" s="56" t="str">
        <f t="shared" si="1"/>
        <v/>
      </c>
      <c r="CT12" s="55" t="str">
        <f>IFERROR(IF(VLOOKUP(CS12,tblTrazabilidad[[Código]:[Próxima calibración]],4,0)=0,"",VLOOKUP(CS12,tblTrazabilidad[[Código]:[Próxima calibración]],4,0)),"")</f>
        <v/>
      </c>
      <c r="CU12" s="54" t="str">
        <f>IFERROR(VLOOKUP(CS12,tblTrazabilidad[[Código]:[Próxima calibración]],5,0),"")</f>
        <v/>
      </c>
      <c r="CV12" s="53">
        <f t="shared" si="0"/>
        <v>0</v>
      </c>
      <c r="CW12" s="52" t="str">
        <f>IFERROR(LOOKUP(2,1/(COUNTIF($CW$4:CW11,tblTrazabilidad[Código])=0),tblTrazabilidad[Código]),"")</f>
        <v/>
      </c>
      <c r="DC12" s="1"/>
      <c r="DD12" s="1"/>
      <c r="DF12"/>
      <c r="DG12"/>
    </row>
    <row r="13" spans="2:111" x14ac:dyDescent="0.3">
      <c r="F13" s="311" t="s">
        <v>164</v>
      </c>
      <c r="G13" s="98" t="s">
        <v>4</v>
      </c>
      <c r="H13" s="104">
        <f>IF($J$3=0,$H$3,$J$3)</f>
        <v>520</v>
      </c>
      <c r="I13" s="104">
        <f>IF($J$3=0,$H$3*0.75,$I$3+($J$3-$I$3)*0.9)</f>
        <v>390</v>
      </c>
      <c r="J13" s="348"/>
      <c r="K13" s="46"/>
      <c r="L13" s="8">
        <v>10</v>
      </c>
      <c r="M13" s="62"/>
      <c r="N13" s="59" t="str">
        <f>IFERROR(VLOOKUP(tblCompPuntosCal[[#This Row],[Punto 1]],tblBD_PatronMasa[[Código Patrón]:[mpe]],4,FALSE),"")</f>
        <v/>
      </c>
      <c r="O13" s="59" t="str">
        <f>IFERROR(VLOOKUP(tblCompPuntosCal[[#This Row],[Punto 1]],tblBD_PatronMasa[[Código Patrón]:[mpe]],6,FALSE),"")</f>
        <v/>
      </c>
      <c r="P13" s="55" t="str">
        <f>IFERROR(VLOOKUP(tblCompPuntosCal[[#This Row],[Punto 1]],tblBD_PatronMasa[[Código Patrón]:[mpe]],7,FALSE),"")</f>
        <v/>
      </c>
      <c r="Q13" s="55" t="str">
        <f>IFERROR(VLOOKUP(tblCompPuntosCal[[#This Row],[Punto 1]],tblBD_PatronMasa[[Código Patrón]:[mpe]],9,FALSE),"")</f>
        <v/>
      </c>
      <c r="R13" s="66" t="str">
        <f>IF(switch="Sí",IFERROR(VLOOKUP(tblCompPuntosCal[[#This Row],[Punto 1]],'kU(E)'!$AB$7:$AK$56,10,FALSE)*1000,""),IFERROR(VLOOKUP(tblCompPuntosCal[[#This Row],[Punto 1]],'kU(E)'!$AB$7:$AK$56*1000,8,FALSE),""))</f>
        <v/>
      </c>
      <c r="S13" s="55" t="str">
        <f>IFERROR(IF('kU(E)'!$E$6&lt;&gt;0,INDEX(deltaMconv,MATCH(tblCompPuntosCal[[#This Row],[mN1]],MnomDeltaT),MATCH('kU(E)'!$E$6,deltaT,-1))/SQRT(3),""),"")</f>
        <v/>
      </c>
      <c r="T13" s="62"/>
      <c r="U13" s="55" t="str">
        <f>IFERROR(VLOOKUP(tblCompPuntosCal[[#This Row],[Punto 2]],tblBD_PatronMasa[[Código Patrón]:[mpe]],4,FALSE),"")</f>
        <v/>
      </c>
      <c r="V13" s="55" t="str">
        <f>IFERROR(VLOOKUP(tblCompPuntosCal[[#This Row],[Punto 2]],tblBD_PatronMasa[[Código Patrón]:[mpe]],6,FALSE),"")</f>
        <v/>
      </c>
      <c r="W13" s="55" t="str">
        <f>IFERROR(VLOOKUP(tblCompPuntosCal[[#This Row],[Punto 2]],tblBD_PatronMasa[[Código Patrón]:[mpe]],7,FALSE),"")</f>
        <v/>
      </c>
      <c r="X13" s="55" t="str">
        <f>IFERROR(VLOOKUP(tblCompPuntosCal[[#This Row],[Punto 2]],tblBD_PatronMasa[[Código Patrón]:[mpe]],9,FALSE),"")</f>
        <v/>
      </c>
      <c r="Y13" s="66" t="str">
        <f>IF(switch="Sí",IFERROR(VLOOKUP(tblCompPuntosCal[[#This Row],[Punto 2]],'kU(E)'!$AB$7:$AK$56,10,FALSE)*1000,""),IFERROR(VLOOKUP(tblCompPuntosCal[[#This Row],[Punto 2]],'kU(E)'!$AB$7:$AK$56*1000,8,FALSE),""))</f>
        <v/>
      </c>
      <c r="Z13" s="55" t="str">
        <f>IFERROR(IF('kU(E)'!$E$6&lt;&gt;0,INDEX(deltaMconv,MATCH(tblCompPuntosCal[[#This Row],[mN2]],MnomDeltaT),MATCH('kU(E)'!$E$6,deltaT,-1))/SQRT(3),""),"")</f>
        <v/>
      </c>
      <c r="AA13" s="62"/>
      <c r="AB13" s="55" t="str">
        <f>IFERROR(VLOOKUP(tblCompPuntosCal[[#This Row],[Punto 3]],tblBD_PatronMasa[[Código Patrón]:[mpe]],4,FALSE),"")</f>
        <v/>
      </c>
      <c r="AC13" s="55" t="str">
        <f>IFERROR(VLOOKUP(tblCompPuntosCal[[#This Row],[Punto 3]],tblBD_PatronMasa[[Código Patrón]:[mpe]],6,FALSE),"")</f>
        <v/>
      </c>
      <c r="AD13" s="67" t="str">
        <f>IFERROR(VLOOKUP(tblCompPuntosCal[[#This Row],[Punto 3]],tblBD_PatronMasa[[Código Patrón]:[mpe]],7,FALSE),"")</f>
        <v/>
      </c>
      <c r="AE13" s="67" t="str">
        <f>IFERROR(VLOOKUP(tblCompPuntosCal[[#This Row],[Punto 3]],tblBD_PatronMasa[[Código Patrón]:[mpe]],9,FALSE),"")</f>
        <v/>
      </c>
      <c r="AF13" s="63" t="str">
        <f>IF(switch="Sí",IFERROR(VLOOKUP(tblCompPuntosCal[[#This Row],[Punto 3]],'kU(E)'!$AB$7:$AK$56,10,FALSE)*1000,""),IFERROR(VLOOKUP(tblCompPuntosCal[[#This Row],[Punto 3]],'kU(E)'!$AB$7:$AK$56*1000,8,FALSE),""))</f>
        <v/>
      </c>
      <c r="AG13" s="67" t="str">
        <f>IFERROR(IF('kU(E)'!$E$6&lt;&gt;0,INDEX(deltaMconv,MATCH(tblCompPuntosCal[[#This Row],[mN3]],MnomDeltaT),MATCH('kU(E)'!$E$6,deltaT,-1))/SQRT(3),""),"")</f>
        <v/>
      </c>
      <c r="AH13" s="62"/>
      <c r="AI13" s="67" t="str">
        <f>IFERROR(VLOOKUP(tblCompPuntosCal[[#This Row],[Punto 4]],tblBD_PatronMasa[[Código Patrón]:[mpe]],4,FALSE),"")</f>
        <v/>
      </c>
      <c r="AJ13" s="55" t="str">
        <f>IFERROR(VLOOKUP(tblCompPuntosCal[[#This Row],[Punto 4]],tblBD_PatronMasa[[Código Patrón]:[mpe]],6,FALSE),"")</f>
        <v/>
      </c>
      <c r="AK13" s="55" t="str">
        <f>IFERROR(VLOOKUP(tblCompPuntosCal[[#This Row],[Punto 4]],tblBD_PatronMasa[[Código Patrón]:[mpe]],7,FALSE),"")</f>
        <v/>
      </c>
      <c r="AL13" s="55" t="str">
        <f>IFERROR(VLOOKUP(tblCompPuntosCal[[#This Row],[Punto 4]],tblBD_PatronMasa[[Código Patrón]:[mpe]],9,FALSE),"")</f>
        <v/>
      </c>
      <c r="AM13" s="66" t="str">
        <f>IF(switch="Sí",IFERROR(VLOOKUP(tblCompPuntosCal[[#This Row],[Punto 4]],'kU(E)'!$AB$7:$AK$56,10,FALSE)*1000,""),IFERROR(VLOOKUP(tblCompPuntosCal[[#This Row],[Punto 4]],'kU(E)'!$AB$7:$AK$56,8,FALSE)*1000,""))</f>
        <v/>
      </c>
      <c r="AN13" s="55" t="str">
        <f>IFERROR(IF('kU(E)'!$E$6&lt;&gt;0,INDEX(deltaMconv,MATCH(tblCompPuntosCal[[#This Row],[mN4]],MnomDeltaT),MATCH('kU(E)'!$E$6,deltaT,-1))/SQRT(3),""),"")</f>
        <v/>
      </c>
      <c r="AO13" s="62"/>
      <c r="AP13" s="55" t="str">
        <f>IFERROR(VLOOKUP(tblCompPuntosCal[[#This Row],[Punto 5]],tblBD_PatronMasa[[Código Patrón]:[mpe]],4,FALSE),"")</f>
        <v/>
      </c>
      <c r="AQ13" s="55" t="str">
        <f>IFERROR(VLOOKUP(tblCompPuntosCal[[#This Row],[Punto 5]],tblBD_PatronMasa[[Código Patrón]:[mpe]],6,FALSE),"")</f>
        <v/>
      </c>
      <c r="AR13" s="55" t="str">
        <f>IFERROR(VLOOKUP(tblCompPuntosCal[[#This Row],[Punto 5]],tblBD_PatronMasa[[Código Patrón]:[mpe]],7,FALSE),"")</f>
        <v/>
      </c>
      <c r="AS13" s="55" t="str">
        <f>IFERROR(VLOOKUP(tblCompPuntosCal[[#This Row],[Punto 5]],tblBD_PatronMasa[[Código Patrón]:[mpe]],9,FALSE),"")</f>
        <v/>
      </c>
      <c r="AT13" s="66" t="str">
        <f>IF(switch="Sí",IFERROR(VLOOKUP(tblCompPuntosCal[[#This Row],[Punto 5]],'kU(E)'!$AB$7:$AK$56,10,FALSE)*1000,""),IFERROR(VLOOKUP(tblCompPuntosCal[[#This Row],[Punto 5]],'kU(E)'!$AB$7:$AK$56,8,FALSE)*1000,""))</f>
        <v/>
      </c>
      <c r="AU13" s="55" t="str">
        <f>IFERROR(IF('kU(E)'!$E$6&lt;&gt;0,INDEX(deltaMconv,MATCH(tblCompPuntosCal[[#This Row],[mN5]],MnomDeltaT),MATCH('kU(E)'!$E$6,deltaT,-1))/SQRT(3),""),"")</f>
        <v/>
      </c>
      <c r="AV13" s="62"/>
      <c r="AW13" s="55" t="str">
        <f>IFERROR(VLOOKUP(tblCompPuntosCal[[#This Row],[Punto 6]],tblBD_PatronMasa[[Código Patrón]:[mpe]],4,FALSE),"")</f>
        <v/>
      </c>
      <c r="AX13" s="55" t="str">
        <f>IFERROR(VLOOKUP(tblCompPuntosCal[[#This Row],[Punto 6]],tblBD_PatronMasa[[Código Patrón]:[mpe]],6,FALSE),"")</f>
        <v/>
      </c>
      <c r="AY13" s="55" t="str">
        <f>IFERROR(VLOOKUP(tblCompPuntosCal[[#This Row],[Punto 6]],tblBD_PatronMasa[[Código Patrón]:[mpe]],7,FALSE),"")</f>
        <v/>
      </c>
      <c r="AZ13" s="55" t="str">
        <f>IFERROR(VLOOKUP(tblCompPuntosCal[[#This Row],[Punto 6]],tblBD_PatronMasa[[Código Patrón]:[mpe]],9,FALSE),"")</f>
        <v/>
      </c>
      <c r="BA13" s="66" t="str">
        <f>IF(switch="Sí",IFERROR(VLOOKUP(tblCompPuntosCal[[#This Row],[Punto 6]],'kU(E)'!$AB$7:$AK$56,10,FALSE)*1000,""),IFERROR(VLOOKUP(tblCompPuntosCal[[#This Row],[Punto 6]],'kU(E)'!$AB$7:$AK$56,8,FALSE)*1000,""))</f>
        <v/>
      </c>
      <c r="BB13" s="55" t="str">
        <f>IFERROR(IF('kU(E)'!$E$6&lt;&gt;0,INDEX(deltaMconv,MATCH(tblCompPuntosCal[[#This Row],[mN6]],MnomDeltaT),MATCH('kU(E)'!$E$6,deltaT,-1))/SQRT(3),""),"")</f>
        <v/>
      </c>
      <c r="BC13" s="62"/>
      <c r="BD13" s="55" t="str">
        <f>IFERROR(VLOOKUP(tblCompPuntosCal[[#This Row],[Punto 7]],tblBD_PatronMasa[[Código Patrón]:[mpe]],4,FALSE),"")</f>
        <v/>
      </c>
      <c r="BE13" s="55" t="str">
        <f>IFERROR(VLOOKUP(tblCompPuntosCal[[#This Row],[Punto 7]],tblBD_PatronMasa[[Código Patrón]:[mpe]],6,FALSE),"")</f>
        <v/>
      </c>
      <c r="BF13" s="55" t="str">
        <f>IFERROR(VLOOKUP(tblCompPuntosCal[[#This Row],[Punto 7]],tblBD_PatronMasa[[Código Patrón]:[mpe]],7,FALSE),"")</f>
        <v/>
      </c>
      <c r="BG13" s="55" t="str">
        <f>IFERROR(VLOOKUP(tblCompPuntosCal[[#This Row],[Punto 7]],tblBD_PatronMasa[[Código Patrón]:[mpe]],9,FALSE),"")</f>
        <v/>
      </c>
      <c r="BH13" s="66" t="str">
        <f>IF(switch="Sí",IFERROR(VLOOKUP(tblCompPuntosCal[[#This Row],[Punto 7]],'kU(E)'!$AB$7:$AK$56,10,FALSE)*1000,""),IFERROR(VLOOKUP(tblCompPuntosCal[[#This Row],[Punto 7]],'kU(E)'!$AB$7:$AK$56,8,FALSE)*1000,""))</f>
        <v/>
      </c>
      <c r="BI13" s="55" t="str">
        <f>IFERROR(IF('kU(E)'!$E$6&lt;&gt;0,INDEX(deltaMconv,MATCH(tblCompPuntosCal[[#This Row],[mN7]],MnomDeltaT),MATCH('kU(E)'!$E$6,deltaT,-1))/SQRT(3),""),"")</f>
        <v/>
      </c>
      <c r="BJ13" s="62"/>
      <c r="BK13" s="55" t="str">
        <f>IFERROR(VLOOKUP(tblCompPuntosCal[[#This Row],[Punto 8]],tblBD_PatronMasa[[Código Patrón]:[mpe]],4,FALSE),"")</f>
        <v/>
      </c>
      <c r="BL13" s="55" t="str">
        <f>IFERROR(VLOOKUP(tblCompPuntosCal[[#This Row],[Punto 8]],tblBD_PatronMasa[[Código Patrón]:[mpe]],6,FALSE),"")</f>
        <v/>
      </c>
      <c r="BM13" s="55" t="str">
        <f>IFERROR(VLOOKUP(tblCompPuntosCal[[#This Row],[Punto 8]],tblBD_PatronMasa[[Código Patrón]:[mpe]],7,FALSE),"")</f>
        <v/>
      </c>
      <c r="BN13" s="55" t="str">
        <f>IFERROR(VLOOKUP(tblCompPuntosCal[[#This Row],[Punto 8]],tblBD_PatronMasa[[Código Patrón]:[mpe]],9,FALSE),"")</f>
        <v/>
      </c>
      <c r="BO13" s="66" t="str">
        <f>IF(switch="Sí",IFERROR(VLOOKUP(tblCompPuntosCal[[#This Row],[Punto 8]],'kU(E)'!$AB$7:$AK$56,10,FALSE)*1000,""),IFERROR(VLOOKUP(tblCompPuntosCal[[#This Row],[Punto 8]],'kU(E)'!$AB$7:$AK$56,8,FALSE)*1000,""))</f>
        <v/>
      </c>
      <c r="BP13" s="55" t="str">
        <f>IFERROR(IF('kU(E)'!$E$6&lt;&gt;0,INDEX(deltaMconv,MATCH(tblCompPuntosCal[[#This Row],[mN8]],MnomDeltaT),MATCH('kU(E)'!$E$6,deltaT,-1))/SQRT(3),""),"")</f>
        <v/>
      </c>
      <c r="BQ13" s="62"/>
      <c r="BR13" s="55" t="str">
        <f>IFERROR(VLOOKUP(tblCompPuntosCal[[#This Row],[Punto 9]],tblBD_PatronMasa[[Código Patrón]:[mpe]],4,FALSE),"")</f>
        <v/>
      </c>
      <c r="BS13" s="55" t="str">
        <f>IFERROR(VLOOKUP(tblCompPuntosCal[[#This Row],[Punto 9]],tblBD_PatronMasa[[Código Patrón]:[mpe]],6,FALSE),"")</f>
        <v/>
      </c>
      <c r="BT13" s="55" t="str">
        <f>IFERROR(VLOOKUP(tblCompPuntosCal[[#This Row],[Punto 9]],tblBD_PatronMasa[[Código Patrón]:[mpe]],7,FALSE),"")</f>
        <v/>
      </c>
      <c r="BU13" s="55" t="str">
        <f>IFERROR(VLOOKUP(tblCompPuntosCal[[#This Row],[Punto 9]],tblBD_PatronMasa[[Código Patrón]:[mpe]],9,FALSE),"")</f>
        <v/>
      </c>
      <c r="BV13" s="66" t="str">
        <f>IF(switch="Sí",IFERROR(VLOOKUP(tblCompPuntosCal[[#This Row],[Punto 9]],'kU(E)'!$AB$7:$AK$56,10,FALSE)*1000,""),IFERROR(VLOOKUP(tblCompPuntosCal[[#This Row],[Punto 9]],'kU(E)'!$AB$7:$AK$56,8,FALSE)*1000,""))</f>
        <v/>
      </c>
      <c r="BW13" s="55" t="str">
        <f>IFERROR(IF('kU(E)'!$E$6&lt;&gt;0,INDEX(deltaMconv,MATCH(tblCompPuntosCal[[#This Row],[mN9]],MnomDeltaT),MATCH('kU(E)'!$E$6,deltaT,-1))/SQRT(3),""),"")</f>
        <v/>
      </c>
      <c r="BX13" s="62"/>
      <c r="BY13" s="55" t="str">
        <f>IFERROR(VLOOKUP(tblCompPuntosCal[[#This Row],[Punto 10]],tblBD_PatronMasa[[Código Patrón]:[mpe]],4,FALSE),"")</f>
        <v/>
      </c>
      <c r="BZ13" s="55" t="str">
        <f>IFERROR(VLOOKUP(tblCompPuntosCal[[#This Row],[Punto 10]],tblBD_PatronMasa[[Código Patrón]:[mpe]],6,FALSE),"")</f>
        <v/>
      </c>
      <c r="CA13" s="59" t="str">
        <f>IFERROR(VLOOKUP(tblCompPuntosCal[[#This Row],[Punto 10]],tblBD_PatronMasa[[Código Patrón]:[mpe]],7,FALSE),"")</f>
        <v/>
      </c>
      <c r="CB13" s="59" t="str">
        <f>IFERROR(VLOOKUP(tblCompPuntosCal[[#This Row],[Punto 10]],tblBD_PatronMasa[[Código Patrón]:[mpe]],9,FALSE),"")</f>
        <v/>
      </c>
      <c r="CC13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13" s="59" t="str">
        <f>IFERROR(IF('kU(E)'!$E$6&lt;&gt;0,INDEX(deltaMconv,MATCH(tblCompPuntosCal[[#This Row],[mN10]],MnomDeltaT),MATCH('kU(E)'!$E$6,deltaT,-1))/SQRT(3),""),"")</f>
        <v/>
      </c>
      <c r="CG13" s="38">
        <v>9</v>
      </c>
      <c r="CH13" s="35">
        <f>tblCompPuntosCal[[#This Row],[Punto 1]]</f>
        <v>0</v>
      </c>
      <c r="CI13" s="35" t="str">
        <f>IF(tblTrazabilidad[[#This Row],[Código]]=0,"",IFERROR(IF(SEARCH("JM",tblTrazabilidad[[#This Row],[Código]])&gt;0,"Juego de pesas",),"Pesa"))</f>
        <v/>
      </c>
      <c r="CJ13" s="35" t="str">
        <f>IFERROR(VLOOKUP($CH13,tblBD_PatronMasa[[Código Patrón]:[mN-(mpe–U95)]],2,FALSE),"")</f>
        <v/>
      </c>
      <c r="CK13" s="35" t="str">
        <f>IFERROR(VLOOKUP($CH13,tblBD_PatronMasa[[Código Patrón]:[mN-(mpe–U95)]],13,FALSE),"")</f>
        <v/>
      </c>
      <c r="CL13" s="34" t="str">
        <f>IF(tblTrazabilidad[[#This Row],[Clase]]="F2",IFERROR(IF(VLOOKUP($CH13,tblBD_PatronMasa[[Código Patrón]:[mN-(mpe–U95)]],12,FALSE)=0,"",VLOOKUP($CH13,tblBD_PatronMasa[[Código Patrón]:[mN-(mpe–U95)]],12,FALSE)+731),""),IF(tblTrazabilidad[[#This Row],[Clase]]="F1",IFERROR(IF(VLOOKUP($CH13,tblBD_PatronMasa[[Código Patrón]:[mN-(mpe–U95)]],12,FALSE)=0,"",VLOOKUP($CH13,tblBD_PatronMasa[[Código Patrón]:[mN-(mpe–U95)]],12,FALSE)+731),""),IFERROR(IF(VLOOKUP($CH13,tblBD_PatronMasa[[Código Patrón]:[mN-(mpe–U95)]],12,FALSE)=0,"",VLOOKUP($CH13,tblBD_PatronMasa[[Código Patrón]:[mN-(mpe–U95)]],12,FALSE)+366),"")))</f>
        <v/>
      </c>
      <c r="CM13" s="33" t="str">
        <f>IFERROR(VLOOKUP($CH13,tblBD_PatronMasa[[Código Patrón]:[mN-(mpe–U95)]],3,FALSE),"")</f>
        <v/>
      </c>
      <c r="CO13" s="95"/>
      <c r="CP13" s="57" t="str">
        <f>IFERROR(VLOOKUP(CS13,tblTrazabilidad[[Código]:[Próxima calibración]],2,0),"")</f>
        <v/>
      </c>
      <c r="CQ13" s="58" t="str">
        <f>IFERROR(VLOOKUP(CS13,tblTrazabilidad[[Código]:[Clase]],6,0),"")</f>
        <v/>
      </c>
      <c r="CR13" s="57" t="str">
        <f>IFERROR(VLOOKUP(CS13,tblTrazabilidad[[Código]:[Próxima calibración]],3,0),"")</f>
        <v/>
      </c>
      <c r="CS13" s="56" t="str">
        <f t="shared" si="1"/>
        <v/>
      </c>
      <c r="CT13" s="55" t="str">
        <f>IFERROR(IF(VLOOKUP(CS13,tblTrazabilidad[[Código]:[Próxima calibración]],4,0)=0,"",VLOOKUP(CS13,tblTrazabilidad[[Código]:[Próxima calibración]],4,0)),"")</f>
        <v/>
      </c>
      <c r="CU13" s="54" t="str">
        <f>IFERROR(VLOOKUP(CS13,tblTrazabilidad[[Código]:[Próxima calibración]],5,0),"")</f>
        <v/>
      </c>
      <c r="CV13" s="53">
        <f t="shared" si="0"/>
        <v>0</v>
      </c>
      <c r="CW13" s="52" t="str">
        <f>IFERROR(LOOKUP(2,1/(COUNTIF($CW$4:CW12,tblTrazabilidad[Código])=0),tblTrazabilidad[Código]),"")</f>
        <v/>
      </c>
      <c r="DC13" s="1"/>
      <c r="DD13" s="1"/>
      <c r="DF13"/>
      <c r="DG13"/>
    </row>
    <row r="14" spans="2:111" x14ac:dyDescent="0.3">
      <c r="F14" s="311" t="s">
        <v>163</v>
      </c>
      <c r="G14" s="98" t="s">
        <v>4</v>
      </c>
      <c r="H14" s="98" t="s">
        <v>4</v>
      </c>
      <c r="I14" s="104">
        <f>IF($J$3=0,$H$3,$J$3)</f>
        <v>520</v>
      </c>
      <c r="J14" s="348"/>
      <c r="L14" s="8">
        <v>11</v>
      </c>
      <c r="M14" s="62"/>
      <c r="N14" s="59" t="str">
        <f>IFERROR(VLOOKUP(tblCompPuntosCal[[#This Row],[Punto 1]],tblBD_PatronMasa[[Código Patrón]:[mpe]],4,FALSE),"")</f>
        <v/>
      </c>
      <c r="O14" s="59" t="str">
        <f>IFERROR(VLOOKUP(tblCompPuntosCal[[#This Row],[Punto 1]],tblBD_PatronMasa[[Código Patrón]:[mpe]],6,FALSE),"")</f>
        <v/>
      </c>
      <c r="P14" s="55" t="str">
        <f>IFERROR(VLOOKUP(tblCompPuntosCal[[#This Row],[Punto 1]],tblBD_PatronMasa[[Código Patrón]:[mpe]],7,FALSE),"")</f>
        <v/>
      </c>
      <c r="Q14" s="55" t="str">
        <f>IFERROR(VLOOKUP(tblCompPuntosCal[[#This Row],[Punto 1]],tblBD_PatronMasa[[Código Patrón]:[mpe]],9,FALSE),"")</f>
        <v/>
      </c>
      <c r="R14" s="66" t="str">
        <f>IF(switch="Sí",IFERROR(VLOOKUP(tblCompPuntosCal[[#This Row],[Punto 1]],'kU(E)'!$AB$7:$AK$56,10,FALSE)*1000,""),IFERROR(VLOOKUP(tblCompPuntosCal[[#This Row],[Punto 1]],'kU(E)'!$AB$7:$AK$56*1000,8,FALSE),""))</f>
        <v/>
      </c>
      <c r="S14" s="55" t="str">
        <f>IFERROR(IF('kU(E)'!$E$6&lt;&gt;0,INDEX(deltaMconv,MATCH(tblCompPuntosCal[[#This Row],[mN1]],MnomDeltaT),MATCH('kU(E)'!$E$6,deltaT,-1))/SQRT(3),""),"")</f>
        <v/>
      </c>
      <c r="T14" s="62"/>
      <c r="U14" s="55" t="str">
        <f>IFERROR(VLOOKUP(tblCompPuntosCal[[#This Row],[Punto 2]],tblBD_PatronMasa[[Código Patrón]:[mpe]],4,FALSE),"")</f>
        <v/>
      </c>
      <c r="V14" s="55" t="str">
        <f>IFERROR(VLOOKUP(tblCompPuntosCal[[#This Row],[Punto 2]],tblBD_PatronMasa[[Código Patrón]:[mpe]],6,FALSE),"")</f>
        <v/>
      </c>
      <c r="W14" s="55" t="str">
        <f>IFERROR(VLOOKUP(tblCompPuntosCal[[#This Row],[Punto 2]],tblBD_PatronMasa[[Código Patrón]:[mpe]],7,FALSE),"")</f>
        <v/>
      </c>
      <c r="X14" s="55" t="str">
        <f>IFERROR(VLOOKUP(tblCompPuntosCal[[#This Row],[Punto 2]],tblBD_PatronMasa[[Código Patrón]:[mpe]],9,FALSE),"")</f>
        <v/>
      </c>
      <c r="Y14" s="66" t="str">
        <f>IF(switch="Sí",IFERROR(VLOOKUP(tblCompPuntosCal[[#This Row],[Punto 2]],'kU(E)'!$AB$7:$AK$56,10,FALSE)*1000,""),IFERROR(VLOOKUP(tblCompPuntosCal[[#This Row],[Punto 2]],'kU(E)'!$AB$7:$AK$56*1000,8,FALSE),""))</f>
        <v/>
      </c>
      <c r="Z14" s="55" t="str">
        <f>IFERROR(IF('kU(E)'!$E$6&lt;&gt;0,INDEX(deltaMconv,MATCH(tblCompPuntosCal[[#This Row],[mN2]],MnomDeltaT),MATCH('kU(E)'!$E$6,deltaT,-1))/SQRT(3),""),"")</f>
        <v/>
      </c>
      <c r="AA14" s="62"/>
      <c r="AB14" s="55" t="str">
        <f>IFERROR(VLOOKUP(tblCompPuntosCal[[#This Row],[Punto 3]],tblBD_PatronMasa[[Código Patrón]:[mpe]],4,FALSE),"")</f>
        <v/>
      </c>
      <c r="AC14" s="55" t="str">
        <f>IFERROR(VLOOKUP(tblCompPuntosCal[[#This Row],[Punto 3]],tblBD_PatronMasa[[Código Patrón]:[mpe]],6,FALSE),"")</f>
        <v/>
      </c>
      <c r="AD14" s="67" t="str">
        <f>IFERROR(VLOOKUP(tblCompPuntosCal[[#This Row],[Punto 3]],tblBD_PatronMasa[[Código Patrón]:[mpe]],7,FALSE),"")</f>
        <v/>
      </c>
      <c r="AE14" s="67" t="str">
        <f>IFERROR(VLOOKUP(tblCompPuntosCal[[#This Row],[Punto 3]],tblBD_PatronMasa[[Código Patrón]:[mpe]],9,FALSE),"")</f>
        <v/>
      </c>
      <c r="AF14" s="63" t="str">
        <f>IF(switch="Sí",IFERROR(VLOOKUP(tblCompPuntosCal[[#This Row],[Punto 3]],'kU(E)'!$AB$7:$AK$56,10,FALSE)*1000,""),IFERROR(VLOOKUP(tblCompPuntosCal[[#This Row],[Punto 3]],'kU(E)'!$AB$7:$AK$56*1000,8,FALSE),""))</f>
        <v/>
      </c>
      <c r="AG14" s="67" t="str">
        <f>IFERROR(IF('kU(E)'!$E$6&lt;&gt;0,INDEX(deltaMconv,MATCH(tblCompPuntosCal[[#This Row],[mN3]],MnomDeltaT),MATCH('kU(E)'!$E$6,deltaT,-1))/SQRT(3),""),"")</f>
        <v/>
      </c>
      <c r="AH14" s="62"/>
      <c r="AI14" s="67" t="str">
        <f>IFERROR(VLOOKUP(tblCompPuntosCal[[#This Row],[Punto 4]],tblBD_PatronMasa[[Código Patrón]:[mpe]],4,FALSE),"")</f>
        <v/>
      </c>
      <c r="AJ14" s="55" t="str">
        <f>IFERROR(VLOOKUP(tblCompPuntosCal[[#This Row],[Punto 4]],tblBD_PatronMasa[[Código Patrón]:[mpe]],6,FALSE),"")</f>
        <v/>
      </c>
      <c r="AK14" s="55" t="str">
        <f>IFERROR(VLOOKUP(tblCompPuntosCal[[#This Row],[Punto 4]],tblBD_PatronMasa[[Código Patrón]:[mpe]],7,FALSE),"")</f>
        <v/>
      </c>
      <c r="AL14" s="55" t="str">
        <f>IFERROR(VLOOKUP(tblCompPuntosCal[[#This Row],[Punto 4]],tblBD_PatronMasa[[Código Patrón]:[mpe]],9,FALSE),"")</f>
        <v/>
      </c>
      <c r="AM14" s="66" t="str">
        <f>IF(switch="Sí",IFERROR(VLOOKUP(tblCompPuntosCal[[#This Row],[Punto 4]],'kU(E)'!$AB$7:$AK$56,10,FALSE)*1000,""),IFERROR(VLOOKUP(tblCompPuntosCal[[#This Row],[Punto 4]],'kU(E)'!$AB$7:$AK$56,8,FALSE)*1000,""))</f>
        <v/>
      </c>
      <c r="AN14" s="55" t="str">
        <f>IFERROR(IF('kU(E)'!$E$6&lt;&gt;0,INDEX(deltaMconv,MATCH(tblCompPuntosCal[[#This Row],[mN4]],MnomDeltaT),MATCH('kU(E)'!$E$6,deltaT,-1))/SQRT(3),""),"")</f>
        <v/>
      </c>
      <c r="AO14" s="62"/>
      <c r="AP14" s="55" t="str">
        <f>IFERROR(VLOOKUP(tblCompPuntosCal[[#This Row],[Punto 5]],tblBD_PatronMasa[[Código Patrón]:[mpe]],4,FALSE),"")</f>
        <v/>
      </c>
      <c r="AQ14" s="55" t="str">
        <f>IFERROR(VLOOKUP(tblCompPuntosCal[[#This Row],[Punto 5]],tblBD_PatronMasa[[Código Patrón]:[mpe]],6,FALSE),"")</f>
        <v/>
      </c>
      <c r="AR14" s="55" t="str">
        <f>IFERROR(VLOOKUP(tblCompPuntosCal[[#This Row],[Punto 5]],tblBD_PatronMasa[[Código Patrón]:[mpe]],7,FALSE),"")</f>
        <v/>
      </c>
      <c r="AS14" s="55" t="str">
        <f>IFERROR(VLOOKUP(tblCompPuntosCal[[#This Row],[Punto 5]],tblBD_PatronMasa[[Código Patrón]:[mpe]],9,FALSE),"")</f>
        <v/>
      </c>
      <c r="AT14" s="66" t="str">
        <f>IF(switch="Sí",IFERROR(VLOOKUP(tblCompPuntosCal[[#This Row],[Punto 5]],'kU(E)'!$AB$7:$AK$56,10,FALSE)*1000,""),IFERROR(VLOOKUP(tblCompPuntosCal[[#This Row],[Punto 5]],'kU(E)'!$AB$7:$AK$56,8,FALSE)*1000,""))</f>
        <v/>
      </c>
      <c r="AU14" s="55" t="str">
        <f>IFERROR(IF('kU(E)'!$E$6&lt;&gt;0,INDEX(deltaMconv,MATCH(tblCompPuntosCal[[#This Row],[mN5]],MnomDeltaT),MATCH('kU(E)'!$E$6,deltaT,-1))/SQRT(3),""),"")</f>
        <v/>
      </c>
      <c r="AV14" s="62"/>
      <c r="AW14" s="55" t="str">
        <f>IFERROR(VLOOKUP(tblCompPuntosCal[[#This Row],[Punto 6]],tblBD_PatronMasa[[Código Patrón]:[mpe]],4,FALSE),"")</f>
        <v/>
      </c>
      <c r="AX14" s="55" t="str">
        <f>IFERROR(VLOOKUP(tblCompPuntosCal[[#This Row],[Punto 6]],tblBD_PatronMasa[[Código Patrón]:[mpe]],6,FALSE),"")</f>
        <v/>
      </c>
      <c r="AY14" s="55" t="str">
        <f>IFERROR(VLOOKUP(tblCompPuntosCal[[#This Row],[Punto 6]],tblBD_PatronMasa[[Código Patrón]:[mpe]],7,FALSE),"")</f>
        <v/>
      </c>
      <c r="AZ14" s="55" t="str">
        <f>IFERROR(VLOOKUP(tblCompPuntosCal[[#This Row],[Punto 6]],tblBD_PatronMasa[[Código Patrón]:[mpe]],9,FALSE),"")</f>
        <v/>
      </c>
      <c r="BA14" s="66" t="str">
        <f>IF(switch="Sí",IFERROR(VLOOKUP(tblCompPuntosCal[[#This Row],[Punto 6]],'kU(E)'!$AB$7:$AK$56,10,FALSE)*1000,""),IFERROR(VLOOKUP(tblCompPuntosCal[[#This Row],[Punto 6]],'kU(E)'!$AB$7:$AK$56,8,FALSE)*1000,""))</f>
        <v/>
      </c>
      <c r="BB14" s="55" t="str">
        <f>IFERROR(IF('kU(E)'!$E$6&lt;&gt;0,INDEX(deltaMconv,MATCH(tblCompPuntosCal[[#This Row],[mN6]],MnomDeltaT),MATCH('kU(E)'!$E$6,deltaT,-1))/SQRT(3),""),"")</f>
        <v/>
      </c>
      <c r="BC14" s="62"/>
      <c r="BD14" s="55" t="str">
        <f>IFERROR(VLOOKUP(tblCompPuntosCal[[#This Row],[Punto 7]],tblBD_PatronMasa[[Código Patrón]:[mpe]],4,FALSE),"")</f>
        <v/>
      </c>
      <c r="BE14" s="55" t="str">
        <f>IFERROR(VLOOKUP(tblCompPuntosCal[[#This Row],[Punto 7]],tblBD_PatronMasa[[Código Patrón]:[mpe]],6,FALSE),"")</f>
        <v/>
      </c>
      <c r="BF14" s="55" t="str">
        <f>IFERROR(VLOOKUP(tblCompPuntosCal[[#This Row],[Punto 7]],tblBD_PatronMasa[[Código Patrón]:[mpe]],7,FALSE),"")</f>
        <v/>
      </c>
      <c r="BG14" s="55" t="str">
        <f>IFERROR(VLOOKUP(tblCompPuntosCal[[#This Row],[Punto 7]],tblBD_PatronMasa[[Código Patrón]:[mpe]],9,FALSE),"")</f>
        <v/>
      </c>
      <c r="BH14" s="66" t="str">
        <f>IF(switch="Sí",IFERROR(VLOOKUP(tblCompPuntosCal[[#This Row],[Punto 7]],'kU(E)'!$AB$7:$AK$56,10,FALSE)*1000,""),IFERROR(VLOOKUP(tblCompPuntosCal[[#This Row],[Punto 7]],'kU(E)'!$AB$7:$AK$56,8,FALSE)*1000,""))</f>
        <v/>
      </c>
      <c r="BI14" s="55" t="str">
        <f>IFERROR(IF('kU(E)'!$E$6&lt;&gt;0,INDEX(deltaMconv,MATCH(tblCompPuntosCal[[#This Row],[mN7]],MnomDeltaT),MATCH('kU(E)'!$E$6,deltaT,-1))/SQRT(3),""),"")</f>
        <v/>
      </c>
      <c r="BJ14" s="62"/>
      <c r="BK14" s="55" t="str">
        <f>IFERROR(VLOOKUP(tblCompPuntosCal[[#This Row],[Punto 8]],tblBD_PatronMasa[[Código Patrón]:[mpe]],4,FALSE),"")</f>
        <v/>
      </c>
      <c r="BL14" s="55" t="str">
        <f>IFERROR(VLOOKUP(tblCompPuntosCal[[#This Row],[Punto 8]],tblBD_PatronMasa[[Código Patrón]:[mpe]],6,FALSE),"")</f>
        <v/>
      </c>
      <c r="BM14" s="55" t="str">
        <f>IFERROR(VLOOKUP(tblCompPuntosCal[[#This Row],[Punto 8]],tblBD_PatronMasa[[Código Patrón]:[mpe]],7,FALSE),"")</f>
        <v/>
      </c>
      <c r="BN14" s="55" t="str">
        <f>IFERROR(VLOOKUP(tblCompPuntosCal[[#This Row],[Punto 8]],tblBD_PatronMasa[[Código Patrón]:[mpe]],9,FALSE),"")</f>
        <v/>
      </c>
      <c r="BO14" s="66" t="str">
        <f>IF(switch="Sí",IFERROR(VLOOKUP(tblCompPuntosCal[[#This Row],[Punto 8]],'kU(E)'!$AB$7:$AK$56,10,FALSE)*1000,""),IFERROR(VLOOKUP(tblCompPuntosCal[[#This Row],[Punto 8]],'kU(E)'!$AB$7:$AK$56,8,FALSE)*1000,""))</f>
        <v/>
      </c>
      <c r="BP14" s="55" t="str">
        <f>IFERROR(IF('kU(E)'!$E$6&lt;&gt;0,INDEX(deltaMconv,MATCH(tblCompPuntosCal[[#This Row],[mN8]],MnomDeltaT),MATCH('kU(E)'!$E$6,deltaT,-1))/SQRT(3),""),"")</f>
        <v/>
      </c>
      <c r="BQ14" s="62"/>
      <c r="BR14" s="55" t="str">
        <f>IFERROR(VLOOKUP(tblCompPuntosCal[[#This Row],[Punto 9]],tblBD_PatronMasa[[Código Patrón]:[mpe]],4,FALSE),"")</f>
        <v/>
      </c>
      <c r="BS14" s="55" t="str">
        <f>IFERROR(VLOOKUP(tblCompPuntosCal[[#This Row],[Punto 9]],tblBD_PatronMasa[[Código Patrón]:[mpe]],6,FALSE),"")</f>
        <v/>
      </c>
      <c r="BT14" s="55" t="str">
        <f>IFERROR(VLOOKUP(tblCompPuntosCal[[#This Row],[Punto 9]],tblBD_PatronMasa[[Código Patrón]:[mpe]],7,FALSE),"")</f>
        <v/>
      </c>
      <c r="BU14" s="55" t="str">
        <f>IFERROR(VLOOKUP(tblCompPuntosCal[[#This Row],[Punto 9]],tblBD_PatronMasa[[Código Patrón]:[mpe]],9,FALSE),"")</f>
        <v/>
      </c>
      <c r="BV14" s="66" t="str">
        <f>IF(switch="Sí",IFERROR(VLOOKUP(tblCompPuntosCal[[#This Row],[Punto 9]],'kU(E)'!$AB$7:$AK$56,10,FALSE)*1000,""),IFERROR(VLOOKUP(tblCompPuntosCal[[#This Row],[Punto 9]],'kU(E)'!$AB$7:$AK$56,8,FALSE)*1000,""))</f>
        <v/>
      </c>
      <c r="BW14" s="55" t="str">
        <f>IFERROR(IF('kU(E)'!$E$6&lt;&gt;0,INDEX(deltaMconv,MATCH(tblCompPuntosCal[[#This Row],[mN9]],MnomDeltaT),MATCH('kU(E)'!$E$6,deltaT,-1))/SQRT(3),""),"")</f>
        <v/>
      </c>
      <c r="BX14" s="62"/>
      <c r="BY14" s="55" t="str">
        <f>IFERROR(VLOOKUP(tblCompPuntosCal[[#This Row],[Punto 10]],tblBD_PatronMasa[[Código Patrón]:[mpe]],4,FALSE),"")</f>
        <v/>
      </c>
      <c r="BZ14" s="55" t="str">
        <f>IFERROR(VLOOKUP(tblCompPuntosCal[[#This Row],[Punto 10]],tblBD_PatronMasa[[Código Patrón]:[mpe]],6,FALSE),"")</f>
        <v/>
      </c>
      <c r="CA14" s="59" t="str">
        <f>IFERROR(VLOOKUP(tblCompPuntosCal[[#This Row],[Punto 10]],tblBD_PatronMasa[[Código Patrón]:[mpe]],7,FALSE),"")</f>
        <v/>
      </c>
      <c r="CB14" s="59" t="str">
        <f>IFERROR(VLOOKUP(tblCompPuntosCal[[#This Row],[Punto 10]],tblBD_PatronMasa[[Código Patrón]:[mpe]],9,FALSE),"")</f>
        <v/>
      </c>
      <c r="CC14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14" s="59" t="str">
        <f>IFERROR(IF('kU(E)'!$E$6&lt;&gt;0,INDEX(deltaMconv,MATCH(tblCompPuntosCal[[#This Row],[mN10]],MnomDeltaT),MATCH('kU(E)'!$E$6,deltaT,-1))/SQRT(3),""),"")</f>
        <v/>
      </c>
      <c r="CG14" s="38">
        <v>10</v>
      </c>
      <c r="CH14" s="35">
        <f>tblCompPuntosCal[[#This Row],[Punto 1]]</f>
        <v>0</v>
      </c>
      <c r="CI14" s="35" t="str">
        <f>IF(tblTrazabilidad[[#This Row],[Código]]=0,"",IFERROR(IF(SEARCH("JM",tblTrazabilidad[[#This Row],[Código]])&gt;0,"Juego de pesas",),"Pesa"))</f>
        <v/>
      </c>
      <c r="CJ14" s="35" t="str">
        <f>IFERROR(VLOOKUP($CH14,tblBD_PatronMasa[[Código Patrón]:[mN-(mpe–U95)]],2,FALSE),"")</f>
        <v/>
      </c>
      <c r="CK14" s="35" t="str">
        <f>IFERROR(VLOOKUP($CH14,tblBD_PatronMasa[[Código Patrón]:[mN-(mpe–U95)]],13,FALSE),"")</f>
        <v/>
      </c>
      <c r="CL14" s="34" t="str">
        <f>IF(tblTrazabilidad[[#This Row],[Clase]]="F2",IFERROR(IF(VLOOKUP($CH14,tblBD_PatronMasa[[Código Patrón]:[mN-(mpe–U95)]],12,FALSE)=0,"",VLOOKUP($CH14,tblBD_PatronMasa[[Código Patrón]:[mN-(mpe–U95)]],12,FALSE)+731),""),IF(tblTrazabilidad[[#This Row],[Clase]]="F1",IFERROR(IF(VLOOKUP($CH14,tblBD_PatronMasa[[Código Patrón]:[mN-(mpe–U95)]],12,FALSE)=0,"",VLOOKUP($CH14,tblBD_PatronMasa[[Código Patrón]:[mN-(mpe–U95)]],12,FALSE)+731),""),IFERROR(IF(VLOOKUP($CH14,tblBD_PatronMasa[[Código Patrón]:[mN-(mpe–U95)]],12,FALSE)=0,"",VLOOKUP($CH14,tblBD_PatronMasa[[Código Patrón]:[mN-(mpe–U95)]],12,FALSE)+366),"")))</f>
        <v/>
      </c>
      <c r="CM14" s="33" t="str">
        <f>IFERROR(VLOOKUP($CH14,tblBD_PatronMasa[[Código Patrón]:[mN-(mpe–U95)]],3,FALSE),"")</f>
        <v/>
      </c>
      <c r="CO14" s="95"/>
      <c r="CP14" s="57" t="str">
        <f>IFERROR(VLOOKUP(CS14,tblTrazabilidad[[Código]:[Próxima calibración]],2,0),"")</f>
        <v/>
      </c>
      <c r="CQ14" s="58" t="str">
        <f>IFERROR(VLOOKUP(CS14,tblTrazabilidad[[Código]:[Clase]],6,0),"")</f>
        <v/>
      </c>
      <c r="CR14" s="57" t="str">
        <f>IFERROR(VLOOKUP(CS14,tblTrazabilidad[[Código]:[Próxima calibración]],3,0),"")</f>
        <v/>
      </c>
      <c r="CS14" s="56" t="str">
        <f t="shared" si="1"/>
        <v/>
      </c>
      <c r="CT14" s="55" t="str">
        <f>IFERROR(IF(VLOOKUP(CS14,tblTrazabilidad[[Código]:[Próxima calibración]],4,0)=0,"",VLOOKUP(CS14,tblTrazabilidad[[Código]:[Próxima calibración]],4,0)),"")</f>
        <v/>
      </c>
      <c r="CU14" s="54" t="str">
        <f>IFERROR(VLOOKUP(CS14,tblTrazabilidad[[Código]:[Próxima calibración]],5,0),"")</f>
        <v/>
      </c>
      <c r="CV14" s="53">
        <f t="shared" si="0"/>
        <v>0</v>
      </c>
      <c r="CW14" s="52" t="str">
        <f>IFERROR(LOOKUP(2,1/(COUNTIF($CW$4:CW13,tblTrazabilidad[Código])=0),tblTrazabilidad[Código]),"")</f>
        <v/>
      </c>
      <c r="DC14" s="1"/>
      <c r="DD14" s="1"/>
      <c r="DF14"/>
      <c r="DG14"/>
    </row>
    <row r="15" spans="2:111" x14ac:dyDescent="0.3">
      <c r="B15" s="103" t="s">
        <v>162</v>
      </c>
      <c r="C15" s="102" t="s">
        <v>131</v>
      </c>
      <c r="F15" s="311" t="s">
        <v>161</v>
      </c>
      <c r="G15" s="98" t="s">
        <v>4</v>
      </c>
      <c r="H15" s="98" t="s">
        <v>4</v>
      </c>
      <c r="I15" s="98" t="s">
        <v>4</v>
      </c>
      <c r="J15" s="348"/>
      <c r="L15" s="8">
        <v>12</v>
      </c>
      <c r="M15" s="62"/>
      <c r="N15" s="59" t="str">
        <f>IFERROR(VLOOKUP(tblCompPuntosCal[[#This Row],[Punto 1]],tblBD_PatronMasa[[Código Patrón]:[mpe]],4,FALSE),"")</f>
        <v/>
      </c>
      <c r="O15" s="59" t="str">
        <f>IFERROR(VLOOKUP(tblCompPuntosCal[[#This Row],[Punto 1]],tblBD_PatronMasa[[Código Patrón]:[mpe]],6,FALSE),"")</f>
        <v/>
      </c>
      <c r="P15" s="55" t="str">
        <f>IFERROR(VLOOKUP(tblCompPuntosCal[[#This Row],[Punto 1]],tblBD_PatronMasa[[Código Patrón]:[mpe]],7,FALSE),"")</f>
        <v/>
      </c>
      <c r="Q15" s="55" t="str">
        <f>IFERROR(VLOOKUP(tblCompPuntosCal[[#This Row],[Punto 1]],tblBD_PatronMasa[[Código Patrón]:[mpe]],9,FALSE),"")</f>
        <v/>
      </c>
      <c r="R15" s="66" t="str">
        <f>IF(switch="Sí",IFERROR(VLOOKUP(tblCompPuntosCal[[#This Row],[Punto 1]],'kU(E)'!$AB$7:$AK$56,10,FALSE)*1000,""),IFERROR(VLOOKUP(tblCompPuntosCal[[#This Row],[Punto 1]],'kU(E)'!$AB$7:$AK$56*1000,8,FALSE),""))</f>
        <v/>
      </c>
      <c r="S15" s="55" t="str">
        <f>IFERROR(IF('kU(E)'!$E$6&lt;&gt;0,INDEX(deltaMconv,MATCH(tblCompPuntosCal[[#This Row],[mN1]],MnomDeltaT),MATCH('kU(E)'!$E$6,deltaT,-1))/SQRT(3),""),"")</f>
        <v/>
      </c>
      <c r="T15" s="62"/>
      <c r="U15" s="55" t="str">
        <f>IFERROR(VLOOKUP(tblCompPuntosCal[[#This Row],[Punto 2]],tblBD_PatronMasa[[Código Patrón]:[mpe]],4,FALSE),"")</f>
        <v/>
      </c>
      <c r="V15" s="55" t="str">
        <f>IFERROR(VLOOKUP(tblCompPuntosCal[[#This Row],[Punto 2]],tblBD_PatronMasa[[Código Patrón]:[mpe]],6,FALSE),"")</f>
        <v/>
      </c>
      <c r="W15" s="55" t="str">
        <f>IFERROR(VLOOKUP(tblCompPuntosCal[[#This Row],[Punto 2]],tblBD_PatronMasa[[Código Patrón]:[mpe]],7,FALSE),"")</f>
        <v/>
      </c>
      <c r="X15" s="55" t="str">
        <f>IFERROR(VLOOKUP(tblCompPuntosCal[[#This Row],[Punto 2]],tblBD_PatronMasa[[Código Patrón]:[mpe]],9,FALSE),"")</f>
        <v/>
      </c>
      <c r="Y15" s="66" t="str">
        <f>IF(switch="Sí",IFERROR(VLOOKUP(tblCompPuntosCal[[#This Row],[Punto 2]],'kU(E)'!$AB$7:$AK$56,10,FALSE)*1000,""),IFERROR(VLOOKUP(tblCompPuntosCal[[#This Row],[Punto 2]],'kU(E)'!$AB$7:$AK$56*1000,8,FALSE),""))</f>
        <v/>
      </c>
      <c r="Z15" s="55" t="str">
        <f>IFERROR(IF('kU(E)'!$E$6&lt;&gt;0,INDEX(deltaMconv,MATCH(tblCompPuntosCal[[#This Row],[mN2]],MnomDeltaT),MATCH('kU(E)'!$E$6,deltaT,-1))/SQRT(3),""),"")</f>
        <v/>
      </c>
      <c r="AA15" s="62"/>
      <c r="AB15" s="55" t="str">
        <f>IFERROR(VLOOKUP(tblCompPuntosCal[[#This Row],[Punto 3]],tblBD_PatronMasa[[Código Patrón]:[mpe]],4,FALSE),"")</f>
        <v/>
      </c>
      <c r="AC15" s="55" t="str">
        <f>IFERROR(VLOOKUP(tblCompPuntosCal[[#This Row],[Punto 3]],tblBD_PatronMasa[[Código Patrón]:[mpe]],6,FALSE),"")</f>
        <v/>
      </c>
      <c r="AD15" s="67" t="str">
        <f>IFERROR(VLOOKUP(tblCompPuntosCal[[#This Row],[Punto 3]],tblBD_PatronMasa[[Código Patrón]:[mpe]],7,FALSE),"")</f>
        <v/>
      </c>
      <c r="AE15" s="67" t="str">
        <f>IFERROR(VLOOKUP(tblCompPuntosCal[[#This Row],[Punto 3]],tblBD_PatronMasa[[Código Patrón]:[mpe]],9,FALSE),"")</f>
        <v/>
      </c>
      <c r="AF15" s="63" t="str">
        <f>IF(switch="Sí",IFERROR(VLOOKUP(tblCompPuntosCal[[#This Row],[Punto 3]],'kU(E)'!$AB$7:$AK$56,10,FALSE)*1000,""),IFERROR(VLOOKUP(tblCompPuntosCal[[#This Row],[Punto 3]],'kU(E)'!$AB$7:$AK$56*1000,8,FALSE),""))</f>
        <v/>
      </c>
      <c r="AG15" s="67" t="str">
        <f>IFERROR(IF('kU(E)'!$E$6&lt;&gt;0,INDEX(deltaMconv,MATCH(tblCompPuntosCal[[#This Row],[mN3]],MnomDeltaT),MATCH('kU(E)'!$E$6,deltaT,-1))/SQRT(3),""),"")</f>
        <v/>
      </c>
      <c r="AH15" s="62"/>
      <c r="AI15" s="67" t="str">
        <f>IFERROR(VLOOKUP(tblCompPuntosCal[[#This Row],[Punto 4]],tblBD_PatronMasa[[Código Patrón]:[mpe]],4,FALSE),"")</f>
        <v/>
      </c>
      <c r="AJ15" s="55" t="str">
        <f>IFERROR(VLOOKUP(tblCompPuntosCal[[#This Row],[Punto 4]],tblBD_PatronMasa[[Código Patrón]:[mpe]],6,FALSE),"")</f>
        <v/>
      </c>
      <c r="AK15" s="55" t="str">
        <f>IFERROR(VLOOKUP(tblCompPuntosCal[[#This Row],[Punto 4]],tblBD_PatronMasa[[Código Patrón]:[mpe]],7,FALSE),"")</f>
        <v/>
      </c>
      <c r="AL15" s="55" t="str">
        <f>IFERROR(VLOOKUP(tblCompPuntosCal[[#This Row],[Punto 4]],tblBD_PatronMasa[[Código Patrón]:[mpe]],9,FALSE),"")</f>
        <v/>
      </c>
      <c r="AM15" s="66" t="str">
        <f>IF(switch="Sí",IFERROR(VLOOKUP(tblCompPuntosCal[[#This Row],[Punto 4]],'kU(E)'!$AB$7:$AK$56,10,FALSE)*1000,""),IFERROR(VLOOKUP(tblCompPuntosCal[[#This Row],[Punto 4]],'kU(E)'!$AB$7:$AK$56,8,FALSE)*1000,""))</f>
        <v/>
      </c>
      <c r="AN15" s="55" t="str">
        <f>IFERROR(IF('kU(E)'!$E$6&lt;&gt;0,INDEX(deltaMconv,MATCH(tblCompPuntosCal[[#This Row],[mN4]],MnomDeltaT),MATCH('kU(E)'!$E$6,deltaT,-1))/SQRT(3),""),"")</f>
        <v/>
      </c>
      <c r="AO15" s="62"/>
      <c r="AP15" s="55" t="str">
        <f>IFERROR(VLOOKUP(tblCompPuntosCal[[#This Row],[Punto 5]],tblBD_PatronMasa[[Código Patrón]:[mpe]],4,FALSE),"")</f>
        <v/>
      </c>
      <c r="AQ15" s="55" t="str">
        <f>IFERROR(VLOOKUP(tblCompPuntosCal[[#This Row],[Punto 5]],tblBD_PatronMasa[[Código Patrón]:[mpe]],6,FALSE),"")</f>
        <v/>
      </c>
      <c r="AR15" s="55" t="str">
        <f>IFERROR(VLOOKUP(tblCompPuntosCal[[#This Row],[Punto 5]],tblBD_PatronMasa[[Código Patrón]:[mpe]],7,FALSE),"")</f>
        <v/>
      </c>
      <c r="AS15" s="55" t="str">
        <f>IFERROR(VLOOKUP(tblCompPuntosCal[[#This Row],[Punto 5]],tblBD_PatronMasa[[Código Patrón]:[mpe]],9,FALSE),"")</f>
        <v/>
      </c>
      <c r="AT15" s="66" t="str">
        <f>IF(switch="Sí",IFERROR(VLOOKUP(tblCompPuntosCal[[#This Row],[Punto 5]],'kU(E)'!$AB$7:$AK$56,10,FALSE)*1000,""),IFERROR(VLOOKUP(tblCompPuntosCal[[#This Row],[Punto 5]],'kU(E)'!$AB$7:$AK$56,8,FALSE)*1000,""))</f>
        <v/>
      </c>
      <c r="AU15" s="55" t="str">
        <f>IFERROR(IF('kU(E)'!$E$6&lt;&gt;0,INDEX(deltaMconv,MATCH(tblCompPuntosCal[[#This Row],[mN5]],MnomDeltaT),MATCH('kU(E)'!$E$6,deltaT,-1))/SQRT(3),""),"")</f>
        <v/>
      </c>
      <c r="AV15" s="62"/>
      <c r="AW15" s="55" t="str">
        <f>IFERROR(VLOOKUP(tblCompPuntosCal[[#This Row],[Punto 6]],tblBD_PatronMasa[[Código Patrón]:[mpe]],4,FALSE),"")</f>
        <v/>
      </c>
      <c r="AX15" s="55" t="str">
        <f>IFERROR(VLOOKUP(tblCompPuntosCal[[#This Row],[Punto 6]],tblBD_PatronMasa[[Código Patrón]:[mpe]],6,FALSE),"")</f>
        <v/>
      </c>
      <c r="AY15" s="55" t="str">
        <f>IFERROR(VLOOKUP(tblCompPuntosCal[[#This Row],[Punto 6]],tblBD_PatronMasa[[Código Patrón]:[mpe]],7,FALSE),"")</f>
        <v/>
      </c>
      <c r="AZ15" s="55" t="str">
        <f>IFERROR(VLOOKUP(tblCompPuntosCal[[#This Row],[Punto 6]],tblBD_PatronMasa[[Código Patrón]:[mpe]],9,FALSE),"")</f>
        <v/>
      </c>
      <c r="BA15" s="66" t="str">
        <f>IF(switch="Sí",IFERROR(VLOOKUP(tblCompPuntosCal[[#This Row],[Punto 6]],'kU(E)'!$AB$7:$AK$56,10,FALSE)*1000,""),IFERROR(VLOOKUP(tblCompPuntosCal[[#This Row],[Punto 6]],'kU(E)'!$AB$7:$AK$56,8,FALSE)*1000,""))</f>
        <v/>
      </c>
      <c r="BB15" s="55" t="str">
        <f>IFERROR(IF('kU(E)'!$E$6&lt;&gt;0,INDEX(deltaMconv,MATCH(tblCompPuntosCal[[#This Row],[mN6]],MnomDeltaT),MATCH('kU(E)'!$E$6,deltaT,-1))/SQRT(3),""),"")</f>
        <v/>
      </c>
      <c r="BC15" s="62"/>
      <c r="BD15" s="55" t="str">
        <f>IFERROR(VLOOKUP(tblCompPuntosCal[[#This Row],[Punto 7]],tblBD_PatronMasa[[Código Patrón]:[mpe]],4,FALSE),"")</f>
        <v/>
      </c>
      <c r="BE15" s="55" t="str">
        <f>IFERROR(VLOOKUP(tblCompPuntosCal[[#This Row],[Punto 7]],tblBD_PatronMasa[[Código Patrón]:[mpe]],6,FALSE),"")</f>
        <v/>
      </c>
      <c r="BF15" s="55" t="str">
        <f>IFERROR(VLOOKUP(tblCompPuntosCal[[#This Row],[Punto 7]],tblBD_PatronMasa[[Código Patrón]:[mpe]],7,FALSE),"")</f>
        <v/>
      </c>
      <c r="BG15" s="55" t="str">
        <f>IFERROR(VLOOKUP(tblCompPuntosCal[[#This Row],[Punto 7]],tblBD_PatronMasa[[Código Patrón]:[mpe]],9,FALSE),"")</f>
        <v/>
      </c>
      <c r="BH15" s="66" t="str">
        <f>IF(switch="Sí",IFERROR(VLOOKUP(tblCompPuntosCal[[#This Row],[Punto 7]],'kU(E)'!$AB$7:$AK$56,10,FALSE)*1000,""),IFERROR(VLOOKUP(tblCompPuntosCal[[#This Row],[Punto 7]],'kU(E)'!$AB$7:$AK$56,8,FALSE)*1000,""))</f>
        <v/>
      </c>
      <c r="BI15" s="55" t="str">
        <f>IFERROR(IF('kU(E)'!$E$6&lt;&gt;0,INDEX(deltaMconv,MATCH(tblCompPuntosCal[[#This Row],[mN7]],MnomDeltaT),MATCH('kU(E)'!$E$6,deltaT,-1))/SQRT(3),""),"")</f>
        <v/>
      </c>
      <c r="BJ15" s="62"/>
      <c r="BK15" s="55" t="str">
        <f>IFERROR(VLOOKUP(tblCompPuntosCal[[#This Row],[Punto 8]],tblBD_PatronMasa[[Código Patrón]:[mpe]],4,FALSE),"")</f>
        <v/>
      </c>
      <c r="BL15" s="55" t="str">
        <f>IFERROR(VLOOKUP(tblCompPuntosCal[[#This Row],[Punto 8]],tblBD_PatronMasa[[Código Patrón]:[mpe]],6,FALSE),"")</f>
        <v/>
      </c>
      <c r="BM15" s="55" t="str">
        <f>IFERROR(VLOOKUP(tblCompPuntosCal[[#This Row],[Punto 8]],tblBD_PatronMasa[[Código Patrón]:[mpe]],7,FALSE),"")</f>
        <v/>
      </c>
      <c r="BN15" s="55" t="str">
        <f>IFERROR(VLOOKUP(tblCompPuntosCal[[#This Row],[Punto 8]],tblBD_PatronMasa[[Código Patrón]:[mpe]],9,FALSE),"")</f>
        <v/>
      </c>
      <c r="BO15" s="66" t="str">
        <f>IF(switch="Sí",IFERROR(VLOOKUP(tblCompPuntosCal[[#This Row],[Punto 8]],'kU(E)'!$AB$7:$AK$56,10,FALSE)*1000,""),IFERROR(VLOOKUP(tblCompPuntosCal[[#This Row],[Punto 8]],'kU(E)'!$AB$7:$AK$56,8,FALSE)*1000,""))</f>
        <v/>
      </c>
      <c r="BP15" s="55" t="str">
        <f>IFERROR(IF('kU(E)'!$E$6&lt;&gt;0,INDEX(deltaMconv,MATCH(tblCompPuntosCal[[#This Row],[mN8]],MnomDeltaT),MATCH('kU(E)'!$E$6,deltaT,-1))/SQRT(3),""),"")</f>
        <v/>
      </c>
      <c r="BQ15" s="62"/>
      <c r="BR15" s="55" t="str">
        <f>IFERROR(VLOOKUP(tblCompPuntosCal[[#This Row],[Punto 9]],tblBD_PatronMasa[[Código Patrón]:[mpe]],4,FALSE),"")</f>
        <v/>
      </c>
      <c r="BS15" s="55" t="str">
        <f>IFERROR(VLOOKUP(tblCompPuntosCal[[#This Row],[Punto 9]],tblBD_PatronMasa[[Código Patrón]:[mpe]],6,FALSE),"")</f>
        <v/>
      </c>
      <c r="BT15" s="55" t="str">
        <f>IFERROR(VLOOKUP(tblCompPuntosCal[[#This Row],[Punto 9]],tblBD_PatronMasa[[Código Patrón]:[mpe]],7,FALSE),"")</f>
        <v/>
      </c>
      <c r="BU15" s="55" t="str">
        <f>IFERROR(VLOOKUP(tblCompPuntosCal[[#This Row],[Punto 9]],tblBD_PatronMasa[[Código Patrón]:[mpe]],9,FALSE),"")</f>
        <v/>
      </c>
      <c r="BV15" s="66" t="str">
        <f>IF(switch="Sí",IFERROR(VLOOKUP(tblCompPuntosCal[[#This Row],[Punto 9]],'kU(E)'!$AB$7:$AK$56,10,FALSE)*1000,""),IFERROR(VLOOKUP(tblCompPuntosCal[[#This Row],[Punto 9]],'kU(E)'!$AB$7:$AK$56,8,FALSE)*1000,""))</f>
        <v/>
      </c>
      <c r="BW15" s="55" t="str">
        <f>IFERROR(IF('kU(E)'!$E$6&lt;&gt;0,INDEX(deltaMconv,MATCH(tblCompPuntosCal[[#This Row],[mN9]],MnomDeltaT),MATCH('kU(E)'!$E$6,deltaT,-1))/SQRT(3),""),"")</f>
        <v/>
      </c>
      <c r="BX15" s="62"/>
      <c r="BY15" s="55" t="str">
        <f>IFERROR(VLOOKUP(tblCompPuntosCal[[#This Row],[Punto 10]],tblBD_PatronMasa[[Código Patrón]:[mpe]],4,FALSE),"")</f>
        <v/>
      </c>
      <c r="BZ15" s="55" t="str">
        <f>IFERROR(VLOOKUP(tblCompPuntosCal[[#This Row],[Punto 10]],tblBD_PatronMasa[[Código Patrón]:[mpe]],6,FALSE),"")</f>
        <v/>
      </c>
      <c r="CA15" s="59" t="str">
        <f>IFERROR(VLOOKUP(tblCompPuntosCal[[#This Row],[Punto 10]],tblBD_PatronMasa[[Código Patrón]:[mpe]],7,FALSE),"")</f>
        <v/>
      </c>
      <c r="CB15" s="59" t="str">
        <f>IFERROR(VLOOKUP(tblCompPuntosCal[[#This Row],[Punto 10]],tblBD_PatronMasa[[Código Patrón]:[mpe]],9,FALSE),"")</f>
        <v/>
      </c>
      <c r="CC15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15" s="59" t="str">
        <f>IFERROR(IF('kU(E)'!$E$6&lt;&gt;0,INDEX(deltaMconv,MATCH(tblCompPuntosCal[[#This Row],[mN10]],MnomDeltaT),MATCH('kU(E)'!$E$6,deltaT,-1))/SQRT(3),""),"")</f>
        <v/>
      </c>
      <c r="CG15" s="38">
        <v>11</v>
      </c>
      <c r="CH15" s="35">
        <f>tblCompPuntosCal[[#This Row],[Punto 1]]</f>
        <v>0</v>
      </c>
      <c r="CI15" s="35" t="str">
        <f>IF(tblTrazabilidad[[#This Row],[Código]]=0,"",IFERROR(IF(SEARCH("JM",tblTrazabilidad[[#This Row],[Código]])&gt;0,"Juego de pesas",),"Pesa"))</f>
        <v/>
      </c>
      <c r="CJ15" s="35" t="str">
        <f>IFERROR(VLOOKUP($CH15,tblBD_PatronMasa[[Código Patrón]:[mN-(mpe–U95)]],2,FALSE),"")</f>
        <v/>
      </c>
      <c r="CK15" s="35" t="str">
        <f>IFERROR(VLOOKUP($CH15,tblBD_PatronMasa[[Código Patrón]:[mN-(mpe–U95)]],13,FALSE),"")</f>
        <v/>
      </c>
      <c r="CL15" s="34" t="str">
        <f>IF(tblTrazabilidad[[#This Row],[Clase]]="F2",IFERROR(IF(VLOOKUP($CH15,tblBD_PatronMasa[[Código Patrón]:[mN-(mpe–U95)]],12,FALSE)=0,"",VLOOKUP($CH15,tblBD_PatronMasa[[Código Patrón]:[mN-(mpe–U95)]],12,FALSE)+731),""),IF(tblTrazabilidad[[#This Row],[Clase]]="F1",IFERROR(IF(VLOOKUP($CH15,tblBD_PatronMasa[[Código Patrón]:[mN-(mpe–U95)]],12,FALSE)=0,"",VLOOKUP($CH15,tblBD_PatronMasa[[Código Patrón]:[mN-(mpe–U95)]],12,FALSE)+731),""),IFERROR(IF(VLOOKUP($CH15,tblBD_PatronMasa[[Código Patrón]:[mN-(mpe–U95)]],12,FALSE)=0,"",VLOOKUP($CH15,tblBD_PatronMasa[[Código Patrón]:[mN-(mpe–U95)]],12,FALSE)+366),"")))</f>
        <v/>
      </c>
      <c r="CM15" s="33" t="str">
        <f>IFERROR(VLOOKUP($CH15,tblBD_PatronMasa[[Código Patrón]:[mN-(mpe–U95)]],3,FALSE),"")</f>
        <v/>
      </c>
      <c r="CO15" s="94"/>
      <c r="CP15" s="57" t="str">
        <f>IFERROR(VLOOKUP(CS15,tblTrazabilidad[[Código]:[Próxima calibración]],2,0),"")</f>
        <v/>
      </c>
      <c r="CQ15" s="58" t="str">
        <f>IFERROR(VLOOKUP(CS15,tblTrazabilidad[[Código]:[Clase]],6,0),"")</f>
        <v/>
      </c>
      <c r="CR15" s="57" t="str">
        <f>IFERROR(VLOOKUP(CS15,tblTrazabilidad[[Código]:[Próxima calibración]],3,0),"")</f>
        <v/>
      </c>
      <c r="CS15" s="56" t="str">
        <f t="shared" si="1"/>
        <v/>
      </c>
      <c r="CT15" s="55" t="str">
        <f>IFERROR(IF(VLOOKUP(CS15,tblTrazabilidad[[Código]:[Próxima calibración]],4,0)=0,"",VLOOKUP(CS15,tblTrazabilidad[[Código]:[Próxima calibración]],4,0)),"")</f>
        <v/>
      </c>
      <c r="CU15" s="54" t="str">
        <f>IFERROR(VLOOKUP(CS15,tblTrazabilidad[[Código]:[Próxima calibración]],5,0),"")</f>
        <v/>
      </c>
      <c r="CV15" s="53">
        <f t="shared" si="0"/>
        <v>0</v>
      </c>
      <c r="CW15" s="52" t="str">
        <f>IFERROR(LOOKUP(2,1/(COUNTIF($CW$4:CW14,tblTrazabilidad[Código])=0),tblTrazabilidad[Código]),"")</f>
        <v/>
      </c>
      <c r="DC15" s="1"/>
      <c r="DD15" s="1"/>
      <c r="DF15"/>
      <c r="DG15"/>
    </row>
    <row r="16" spans="2:111" ht="15.6" x14ac:dyDescent="0.3">
      <c r="B16" s="101" t="s">
        <v>160</v>
      </c>
      <c r="C16" s="100">
        <v>0.1</v>
      </c>
      <c r="F16" s="311" t="s">
        <v>159</v>
      </c>
      <c r="G16" s="98" t="s">
        <v>4</v>
      </c>
      <c r="H16" s="98" t="s">
        <v>4</v>
      </c>
      <c r="I16" s="98" t="s">
        <v>4</v>
      </c>
      <c r="J16" s="348"/>
      <c r="L16" s="8">
        <v>13</v>
      </c>
      <c r="M16" s="62"/>
      <c r="N16" s="59" t="str">
        <f>IFERROR(VLOOKUP(tblCompPuntosCal[[#This Row],[Punto 1]],tblBD_PatronMasa[[Código Patrón]:[mpe]],4,FALSE),"")</f>
        <v/>
      </c>
      <c r="O16" s="59" t="str">
        <f>IFERROR(VLOOKUP(tblCompPuntosCal[[#This Row],[Punto 1]],tblBD_PatronMasa[[Código Patrón]:[mpe]],6,FALSE),"")</f>
        <v/>
      </c>
      <c r="P16" s="55" t="str">
        <f>IFERROR(VLOOKUP(tblCompPuntosCal[[#This Row],[Punto 1]],tblBD_PatronMasa[[Código Patrón]:[mpe]],7,FALSE),"")</f>
        <v/>
      </c>
      <c r="Q16" s="55" t="str">
        <f>IFERROR(VLOOKUP(tblCompPuntosCal[[#This Row],[Punto 1]],tblBD_PatronMasa[[Código Patrón]:[mpe]],9,FALSE),"")</f>
        <v/>
      </c>
      <c r="R16" s="66" t="str">
        <f>IF(switch="Sí",IFERROR(VLOOKUP(tblCompPuntosCal[[#This Row],[Punto 1]],'kU(E)'!$AB$7:$AK$56,10,FALSE)*1000,""),IFERROR(VLOOKUP(tblCompPuntosCal[[#This Row],[Punto 1]],'kU(E)'!$AB$7:$AK$56*1000,8,FALSE),""))</f>
        <v/>
      </c>
      <c r="S16" s="55" t="str">
        <f>IFERROR(IF('kU(E)'!$E$6&lt;&gt;0,INDEX(deltaMconv,MATCH(tblCompPuntosCal[[#This Row],[mN1]],MnomDeltaT),MATCH('kU(E)'!$E$6,deltaT,-1))/SQRT(3),""),"")</f>
        <v/>
      </c>
      <c r="T16" s="62"/>
      <c r="U16" s="55" t="str">
        <f>IFERROR(VLOOKUP(tblCompPuntosCal[[#This Row],[Punto 2]],tblBD_PatronMasa[[Código Patrón]:[mpe]],4,FALSE),"")</f>
        <v/>
      </c>
      <c r="V16" s="55" t="str">
        <f>IFERROR(VLOOKUP(tblCompPuntosCal[[#This Row],[Punto 2]],tblBD_PatronMasa[[Código Patrón]:[mpe]],6,FALSE),"")</f>
        <v/>
      </c>
      <c r="W16" s="55" t="str">
        <f>IFERROR(VLOOKUP(tblCompPuntosCal[[#This Row],[Punto 2]],tblBD_PatronMasa[[Código Patrón]:[mpe]],7,FALSE),"")</f>
        <v/>
      </c>
      <c r="X16" s="55" t="str">
        <f>IFERROR(VLOOKUP(tblCompPuntosCal[[#This Row],[Punto 2]],tblBD_PatronMasa[[Código Patrón]:[mpe]],9,FALSE),"")</f>
        <v/>
      </c>
      <c r="Y16" s="66" t="str">
        <f>IF(switch="Sí",IFERROR(VLOOKUP(tblCompPuntosCal[[#This Row],[Punto 2]],'kU(E)'!$AB$7:$AK$56,10,FALSE)*1000,""),IFERROR(VLOOKUP(tblCompPuntosCal[[#This Row],[Punto 2]],'kU(E)'!$AB$7:$AK$56*1000,8,FALSE),""))</f>
        <v/>
      </c>
      <c r="Z16" s="55" t="str">
        <f>IFERROR(IF('kU(E)'!$E$6&lt;&gt;0,INDEX(deltaMconv,MATCH(tblCompPuntosCal[[#This Row],[mN2]],MnomDeltaT),MATCH('kU(E)'!$E$6,deltaT,-1))/SQRT(3),""),"")</f>
        <v/>
      </c>
      <c r="AA16" s="62"/>
      <c r="AB16" s="55" t="str">
        <f>IFERROR(VLOOKUP(tblCompPuntosCal[[#This Row],[Punto 3]],tblBD_PatronMasa[[Código Patrón]:[mpe]],4,FALSE),"")</f>
        <v/>
      </c>
      <c r="AC16" s="55" t="str">
        <f>IFERROR(VLOOKUP(tblCompPuntosCal[[#This Row],[Punto 3]],tblBD_PatronMasa[[Código Patrón]:[mpe]],6,FALSE),"")</f>
        <v/>
      </c>
      <c r="AD16" s="67" t="str">
        <f>IFERROR(VLOOKUP(tblCompPuntosCal[[#This Row],[Punto 3]],tblBD_PatronMasa[[Código Patrón]:[mpe]],7,FALSE),"")</f>
        <v/>
      </c>
      <c r="AE16" s="67" t="str">
        <f>IFERROR(VLOOKUP(tblCompPuntosCal[[#This Row],[Punto 3]],tblBD_PatronMasa[[Código Patrón]:[mpe]],9,FALSE),"")</f>
        <v/>
      </c>
      <c r="AF16" s="63" t="str">
        <f>IF(switch="Sí",IFERROR(VLOOKUP(tblCompPuntosCal[[#This Row],[Punto 3]],'kU(E)'!$AB$7:$AK$56,10,FALSE)*1000,""),IFERROR(VLOOKUP(tblCompPuntosCal[[#This Row],[Punto 3]],'kU(E)'!$AB$7:$AK$56*1000,8,FALSE),""))</f>
        <v/>
      </c>
      <c r="AG16" s="67" t="str">
        <f>IFERROR(IF('kU(E)'!$E$6&lt;&gt;0,INDEX(deltaMconv,MATCH(tblCompPuntosCal[[#This Row],[mN3]],MnomDeltaT),MATCH('kU(E)'!$E$6,deltaT,-1))/SQRT(3),""),"")</f>
        <v/>
      </c>
      <c r="AH16" s="62"/>
      <c r="AI16" s="67" t="str">
        <f>IFERROR(VLOOKUP(tblCompPuntosCal[[#This Row],[Punto 4]],tblBD_PatronMasa[[Código Patrón]:[mpe]],4,FALSE),"")</f>
        <v/>
      </c>
      <c r="AJ16" s="55" t="str">
        <f>IFERROR(VLOOKUP(tblCompPuntosCal[[#This Row],[Punto 4]],tblBD_PatronMasa[[Código Patrón]:[mpe]],6,FALSE),"")</f>
        <v/>
      </c>
      <c r="AK16" s="55" t="str">
        <f>IFERROR(VLOOKUP(tblCompPuntosCal[[#This Row],[Punto 4]],tblBD_PatronMasa[[Código Patrón]:[mpe]],7,FALSE),"")</f>
        <v/>
      </c>
      <c r="AL16" s="55" t="str">
        <f>IFERROR(VLOOKUP(tblCompPuntosCal[[#This Row],[Punto 4]],tblBD_PatronMasa[[Código Patrón]:[mpe]],9,FALSE),"")</f>
        <v/>
      </c>
      <c r="AM16" s="66" t="str">
        <f>IF(switch="Sí",IFERROR(VLOOKUP(tblCompPuntosCal[[#This Row],[Punto 4]],'kU(E)'!$AB$7:$AK$56,10,FALSE)*1000,""),IFERROR(VLOOKUP(tblCompPuntosCal[[#This Row],[Punto 4]],'kU(E)'!$AB$7:$AK$56,8,FALSE)*1000,""))</f>
        <v/>
      </c>
      <c r="AN16" s="55" t="str">
        <f>IFERROR(IF('kU(E)'!$E$6&lt;&gt;0,INDEX(deltaMconv,MATCH(tblCompPuntosCal[[#This Row],[mN4]],MnomDeltaT),MATCH('kU(E)'!$E$6,deltaT,-1))/SQRT(3),""),"")</f>
        <v/>
      </c>
      <c r="AO16" s="62"/>
      <c r="AP16" s="55" t="str">
        <f>IFERROR(VLOOKUP(tblCompPuntosCal[[#This Row],[Punto 5]],tblBD_PatronMasa[[Código Patrón]:[mpe]],4,FALSE),"")</f>
        <v/>
      </c>
      <c r="AQ16" s="55" t="str">
        <f>IFERROR(VLOOKUP(tblCompPuntosCal[[#This Row],[Punto 5]],tblBD_PatronMasa[[Código Patrón]:[mpe]],6,FALSE),"")</f>
        <v/>
      </c>
      <c r="AR16" s="55" t="str">
        <f>IFERROR(VLOOKUP(tblCompPuntosCal[[#This Row],[Punto 5]],tblBD_PatronMasa[[Código Patrón]:[mpe]],7,FALSE),"")</f>
        <v/>
      </c>
      <c r="AS16" s="55" t="str">
        <f>IFERROR(VLOOKUP(tblCompPuntosCal[[#This Row],[Punto 5]],tblBD_PatronMasa[[Código Patrón]:[mpe]],9,FALSE),"")</f>
        <v/>
      </c>
      <c r="AT16" s="66" t="str">
        <f>IF(switch="Sí",IFERROR(VLOOKUP(tblCompPuntosCal[[#This Row],[Punto 5]],'kU(E)'!$AB$7:$AK$56,10,FALSE)*1000,""),IFERROR(VLOOKUP(tblCompPuntosCal[[#This Row],[Punto 5]],'kU(E)'!$AB$7:$AK$56,8,FALSE)*1000,""))</f>
        <v/>
      </c>
      <c r="AU16" s="55" t="str">
        <f>IFERROR(IF('kU(E)'!$E$6&lt;&gt;0,INDEX(deltaMconv,MATCH(tblCompPuntosCal[[#This Row],[mN5]],MnomDeltaT),MATCH('kU(E)'!$E$6,deltaT,-1))/SQRT(3),""),"")</f>
        <v/>
      </c>
      <c r="AV16" s="62"/>
      <c r="AW16" s="55" t="str">
        <f>IFERROR(VLOOKUP(tblCompPuntosCal[[#This Row],[Punto 6]],tblBD_PatronMasa[[Código Patrón]:[mpe]],4,FALSE),"")</f>
        <v/>
      </c>
      <c r="AX16" s="55" t="str">
        <f>IFERROR(VLOOKUP(tblCompPuntosCal[[#This Row],[Punto 6]],tblBD_PatronMasa[[Código Patrón]:[mpe]],6,FALSE),"")</f>
        <v/>
      </c>
      <c r="AY16" s="55" t="str">
        <f>IFERROR(VLOOKUP(tblCompPuntosCal[[#This Row],[Punto 6]],tblBD_PatronMasa[[Código Patrón]:[mpe]],7,FALSE),"")</f>
        <v/>
      </c>
      <c r="AZ16" s="55" t="str">
        <f>IFERROR(VLOOKUP(tblCompPuntosCal[[#This Row],[Punto 6]],tblBD_PatronMasa[[Código Patrón]:[mpe]],9,FALSE),"")</f>
        <v/>
      </c>
      <c r="BA16" s="66" t="str">
        <f>IF(switch="Sí",IFERROR(VLOOKUP(tblCompPuntosCal[[#This Row],[Punto 6]],'kU(E)'!$AB$7:$AK$56,10,FALSE)*1000,""),IFERROR(VLOOKUP(tblCompPuntosCal[[#This Row],[Punto 6]],'kU(E)'!$AB$7:$AK$56,8,FALSE)*1000,""))</f>
        <v/>
      </c>
      <c r="BB16" s="55" t="str">
        <f>IFERROR(IF('kU(E)'!$E$6&lt;&gt;0,INDEX(deltaMconv,MATCH(tblCompPuntosCal[[#This Row],[mN6]],MnomDeltaT),MATCH('kU(E)'!$E$6,deltaT,-1))/SQRT(3),""),"")</f>
        <v/>
      </c>
      <c r="BC16" s="62"/>
      <c r="BD16" s="55" t="str">
        <f>IFERROR(VLOOKUP(tblCompPuntosCal[[#This Row],[Punto 7]],tblBD_PatronMasa[[Código Patrón]:[mpe]],4,FALSE),"")</f>
        <v/>
      </c>
      <c r="BE16" s="55" t="str">
        <f>IFERROR(VLOOKUP(tblCompPuntosCal[[#This Row],[Punto 7]],tblBD_PatronMasa[[Código Patrón]:[mpe]],6,FALSE),"")</f>
        <v/>
      </c>
      <c r="BF16" s="55" t="str">
        <f>IFERROR(VLOOKUP(tblCompPuntosCal[[#This Row],[Punto 7]],tblBD_PatronMasa[[Código Patrón]:[mpe]],7,FALSE),"")</f>
        <v/>
      </c>
      <c r="BG16" s="55" t="str">
        <f>IFERROR(VLOOKUP(tblCompPuntosCal[[#This Row],[Punto 7]],tblBD_PatronMasa[[Código Patrón]:[mpe]],9,FALSE),"")</f>
        <v/>
      </c>
      <c r="BH16" s="66" t="str">
        <f>IF(switch="Sí",IFERROR(VLOOKUP(tblCompPuntosCal[[#This Row],[Punto 7]],'kU(E)'!$AB$7:$AK$56,10,FALSE)*1000,""),IFERROR(VLOOKUP(tblCompPuntosCal[[#This Row],[Punto 7]],'kU(E)'!$AB$7:$AK$56,8,FALSE)*1000,""))</f>
        <v/>
      </c>
      <c r="BI16" s="55" t="str">
        <f>IFERROR(IF('kU(E)'!$E$6&lt;&gt;0,INDEX(deltaMconv,MATCH(tblCompPuntosCal[[#This Row],[mN7]],MnomDeltaT),MATCH('kU(E)'!$E$6,deltaT,-1))/SQRT(3),""),"")</f>
        <v/>
      </c>
      <c r="BJ16" s="62"/>
      <c r="BK16" s="55" t="str">
        <f>IFERROR(VLOOKUP(tblCompPuntosCal[[#This Row],[Punto 8]],tblBD_PatronMasa[[Código Patrón]:[mpe]],4,FALSE),"")</f>
        <v/>
      </c>
      <c r="BL16" s="55" t="str">
        <f>IFERROR(VLOOKUP(tblCompPuntosCal[[#This Row],[Punto 8]],tblBD_PatronMasa[[Código Patrón]:[mpe]],6,FALSE),"")</f>
        <v/>
      </c>
      <c r="BM16" s="55" t="str">
        <f>IFERROR(VLOOKUP(tblCompPuntosCal[[#This Row],[Punto 8]],tblBD_PatronMasa[[Código Patrón]:[mpe]],7,FALSE),"")</f>
        <v/>
      </c>
      <c r="BN16" s="55" t="str">
        <f>IFERROR(VLOOKUP(tblCompPuntosCal[[#This Row],[Punto 8]],tblBD_PatronMasa[[Código Patrón]:[mpe]],9,FALSE),"")</f>
        <v/>
      </c>
      <c r="BO16" s="66" t="str">
        <f>IF(switch="Sí",IFERROR(VLOOKUP(tblCompPuntosCal[[#This Row],[Punto 8]],'kU(E)'!$AB$7:$AK$56,10,FALSE)*1000,""),IFERROR(VLOOKUP(tblCompPuntosCal[[#This Row],[Punto 8]],'kU(E)'!$AB$7:$AK$56,8,FALSE)*1000,""))</f>
        <v/>
      </c>
      <c r="BP16" s="55" t="str">
        <f>IFERROR(IF('kU(E)'!$E$6&lt;&gt;0,INDEX(deltaMconv,MATCH(tblCompPuntosCal[[#This Row],[mN8]],MnomDeltaT),MATCH('kU(E)'!$E$6,deltaT,-1))/SQRT(3),""),"")</f>
        <v/>
      </c>
      <c r="BQ16" s="62"/>
      <c r="BR16" s="55" t="str">
        <f>IFERROR(VLOOKUP(tblCompPuntosCal[[#This Row],[Punto 9]],tblBD_PatronMasa[[Código Patrón]:[mpe]],4,FALSE),"")</f>
        <v/>
      </c>
      <c r="BS16" s="55" t="str">
        <f>IFERROR(VLOOKUP(tblCompPuntosCal[[#This Row],[Punto 9]],tblBD_PatronMasa[[Código Patrón]:[mpe]],6,FALSE),"")</f>
        <v/>
      </c>
      <c r="BT16" s="55" t="str">
        <f>IFERROR(VLOOKUP(tblCompPuntosCal[[#This Row],[Punto 9]],tblBD_PatronMasa[[Código Patrón]:[mpe]],7,FALSE),"")</f>
        <v/>
      </c>
      <c r="BU16" s="55" t="str">
        <f>IFERROR(VLOOKUP(tblCompPuntosCal[[#This Row],[Punto 9]],tblBD_PatronMasa[[Código Patrón]:[mpe]],9,FALSE),"")</f>
        <v/>
      </c>
      <c r="BV16" s="66" t="str">
        <f>IF(switch="Sí",IFERROR(VLOOKUP(tblCompPuntosCal[[#This Row],[Punto 9]],'kU(E)'!$AB$7:$AK$56,10,FALSE)*1000,""),IFERROR(VLOOKUP(tblCompPuntosCal[[#This Row],[Punto 9]],'kU(E)'!$AB$7:$AK$56,8,FALSE)*1000,""))</f>
        <v/>
      </c>
      <c r="BW16" s="55" t="str">
        <f>IFERROR(IF('kU(E)'!$E$6&lt;&gt;0,INDEX(deltaMconv,MATCH(tblCompPuntosCal[[#This Row],[mN9]],MnomDeltaT),MATCH('kU(E)'!$E$6,deltaT,-1))/SQRT(3),""),"")</f>
        <v/>
      </c>
      <c r="BX16" s="62"/>
      <c r="BY16" s="55" t="str">
        <f>IFERROR(VLOOKUP(tblCompPuntosCal[[#This Row],[Punto 10]],tblBD_PatronMasa[[Código Patrón]:[mpe]],4,FALSE),"")</f>
        <v/>
      </c>
      <c r="BZ16" s="55" t="str">
        <f>IFERROR(VLOOKUP(tblCompPuntosCal[[#This Row],[Punto 10]],tblBD_PatronMasa[[Código Patrón]:[mpe]],6,FALSE),"")</f>
        <v/>
      </c>
      <c r="CA16" s="59" t="str">
        <f>IFERROR(VLOOKUP(tblCompPuntosCal[[#This Row],[Punto 10]],tblBD_PatronMasa[[Código Patrón]:[mpe]],7,FALSE),"")</f>
        <v/>
      </c>
      <c r="CB16" s="59" t="str">
        <f>IFERROR(VLOOKUP(tblCompPuntosCal[[#This Row],[Punto 10]],tblBD_PatronMasa[[Código Patrón]:[mpe]],9,FALSE),"")</f>
        <v/>
      </c>
      <c r="CC16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16" s="59" t="str">
        <f>IFERROR(IF('kU(E)'!$E$6&lt;&gt;0,INDEX(deltaMconv,MATCH(tblCompPuntosCal[[#This Row],[mN10]],MnomDeltaT),MATCH('kU(E)'!$E$6,deltaT,-1))/SQRT(3),""),"")</f>
        <v/>
      </c>
      <c r="CG16" s="38">
        <v>12</v>
      </c>
      <c r="CH16" s="35">
        <f>tblCompPuntosCal[[#This Row],[Punto 1]]</f>
        <v>0</v>
      </c>
      <c r="CI16" s="35" t="str">
        <f>IF(tblTrazabilidad[[#This Row],[Código]]=0,"",IFERROR(IF(SEARCH("JM",tblTrazabilidad[[#This Row],[Código]])&gt;0,"Juego de pesas",),"Pesa"))</f>
        <v/>
      </c>
      <c r="CJ16" s="35" t="str">
        <f>IFERROR(VLOOKUP($CH16,tblBD_PatronMasa[[Código Patrón]:[mN-(mpe–U95)]],2,FALSE),"")</f>
        <v/>
      </c>
      <c r="CK16" s="35" t="str">
        <f>IFERROR(VLOOKUP($CH16,tblBD_PatronMasa[[Código Patrón]:[mN-(mpe–U95)]],13,FALSE),"")</f>
        <v/>
      </c>
      <c r="CL16" s="34" t="str">
        <f>IF(tblTrazabilidad[[#This Row],[Clase]]="F2",IFERROR(IF(VLOOKUP($CH16,tblBD_PatronMasa[[Código Patrón]:[mN-(mpe–U95)]],12,FALSE)=0,"",VLOOKUP($CH16,tblBD_PatronMasa[[Código Patrón]:[mN-(mpe–U95)]],12,FALSE)+731),""),IF(tblTrazabilidad[[#This Row],[Clase]]="F1",IFERROR(IF(VLOOKUP($CH16,tblBD_PatronMasa[[Código Patrón]:[mN-(mpe–U95)]],12,FALSE)=0,"",VLOOKUP($CH16,tblBD_PatronMasa[[Código Patrón]:[mN-(mpe–U95)]],12,FALSE)+731),""),IFERROR(IF(VLOOKUP($CH16,tblBD_PatronMasa[[Código Patrón]:[mN-(mpe–U95)]],12,FALSE)=0,"",VLOOKUP($CH16,tblBD_PatronMasa[[Código Patrón]:[mN-(mpe–U95)]],12,FALSE)+366),"")))</f>
        <v/>
      </c>
      <c r="CM16" s="33" t="str">
        <f>IFERROR(VLOOKUP($CH16,tblBD_PatronMasa[[Código Patrón]:[mN-(mpe–U95)]],3,FALSE),"")</f>
        <v/>
      </c>
      <c r="CO16" s="96"/>
      <c r="CP16" s="57" t="str">
        <f>IFERROR(VLOOKUP(CS16,tblTrazabilidad[[Código]:[Próxima calibración]],2,0),"")</f>
        <v/>
      </c>
      <c r="CQ16" s="58" t="str">
        <f>IFERROR(VLOOKUP(CS16,tblTrazabilidad[[Código]:[Clase]],6,0),"")</f>
        <v/>
      </c>
      <c r="CR16" s="57" t="str">
        <f>IFERROR(VLOOKUP(CS16,tblTrazabilidad[[Código]:[Próxima calibración]],3,0),"")</f>
        <v/>
      </c>
      <c r="CS16" s="56" t="str">
        <f t="shared" si="1"/>
        <v/>
      </c>
      <c r="CT16" s="55" t="str">
        <f>IFERROR(IF(VLOOKUP(CS16,tblTrazabilidad[[Código]:[Próxima calibración]],4,0)=0,"",VLOOKUP(CS16,tblTrazabilidad[[Código]:[Próxima calibración]],4,0)),"")</f>
        <v/>
      </c>
      <c r="CU16" s="54" t="str">
        <f>IFERROR(VLOOKUP(CS16,tblTrazabilidad[[Código]:[Próxima calibración]],5,0),"")</f>
        <v/>
      </c>
      <c r="CV16" s="53">
        <f t="shared" si="0"/>
        <v>0</v>
      </c>
      <c r="CW16" s="52" t="str">
        <f>IFERROR(LOOKUP(2,1/(COUNTIF($CW$4:CW15,tblTrazabilidad[Código])=0),tblTrazabilidad[Código]),"")</f>
        <v/>
      </c>
      <c r="DC16" s="1"/>
      <c r="DD16" s="1"/>
      <c r="DF16"/>
      <c r="DG16"/>
    </row>
    <row r="17" spans="2:111" x14ac:dyDescent="0.3">
      <c r="F17" s="311" t="s">
        <v>158</v>
      </c>
      <c r="G17" s="98" t="s">
        <v>4</v>
      </c>
      <c r="H17" s="98" t="s">
        <v>4</v>
      </c>
      <c r="I17" s="98" t="s">
        <v>4</v>
      </c>
      <c r="J17" s="348"/>
      <c r="K17" s="45"/>
      <c r="L17" s="8">
        <v>14</v>
      </c>
      <c r="M17" s="62"/>
      <c r="N17" s="59" t="str">
        <f>IFERROR(VLOOKUP(tblCompPuntosCal[[#This Row],[Punto 1]],tblBD_PatronMasa[[Código Patrón]:[mpe]],4,FALSE),"")</f>
        <v/>
      </c>
      <c r="O17" s="59" t="str">
        <f>IFERROR(VLOOKUP(tblCompPuntosCal[[#This Row],[Punto 1]],tblBD_PatronMasa[[Código Patrón]:[mpe]],6,FALSE),"")</f>
        <v/>
      </c>
      <c r="P17" s="55" t="str">
        <f>IFERROR(VLOOKUP(tblCompPuntosCal[[#This Row],[Punto 1]],tblBD_PatronMasa[[Código Patrón]:[mpe]],7,FALSE),"")</f>
        <v/>
      </c>
      <c r="Q17" s="55" t="str">
        <f>IFERROR(VLOOKUP(tblCompPuntosCal[[#This Row],[Punto 1]],tblBD_PatronMasa[[Código Patrón]:[mpe]],9,FALSE),"")</f>
        <v/>
      </c>
      <c r="R17" s="66" t="str">
        <f>IF(switch="Sí",IFERROR(VLOOKUP(tblCompPuntosCal[[#This Row],[Punto 1]],'kU(E)'!$AB$7:$AK$56,10,FALSE)*1000,""),IFERROR(VLOOKUP(tblCompPuntosCal[[#This Row],[Punto 1]],'kU(E)'!$AB$7:$AK$56*1000,8,FALSE),""))</f>
        <v/>
      </c>
      <c r="S17" s="55" t="str">
        <f>IFERROR(IF('kU(E)'!$E$6&lt;&gt;0,INDEX(deltaMconv,MATCH(tblCompPuntosCal[[#This Row],[mN1]],MnomDeltaT),MATCH('kU(E)'!$E$6,deltaT,-1))/SQRT(3),""),"")</f>
        <v/>
      </c>
      <c r="T17" s="62"/>
      <c r="U17" s="55" t="str">
        <f>IFERROR(VLOOKUP(tblCompPuntosCal[[#This Row],[Punto 2]],tblBD_PatronMasa[[Código Patrón]:[mpe]],4,FALSE),"")</f>
        <v/>
      </c>
      <c r="V17" s="55" t="str">
        <f>IFERROR(VLOOKUP(tblCompPuntosCal[[#This Row],[Punto 2]],tblBD_PatronMasa[[Código Patrón]:[mpe]],6,FALSE),"")</f>
        <v/>
      </c>
      <c r="W17" s="55" t="str">
        <f>IFERROR(VLOOKUP(tblCompPuntosCal[[#This Row],[Punto 2]],tblBD_PatronMasa[[Código Patrón]:[mpe]],7,FALSE),"")</f>
        <v/>
      </c>
      <c r="X17" s="55" t="str">
        <f>IFERROR(VLOOKUP(tblCompPuntosCal[[#This Row],[Punto 2]],tblBD_PatronMasa[[Código Patrón]:[mpe]],9,FALSE),"")</f>
        <v/>
      </c>
      <c r="Y17" s="66" t="str">
        <f>IF(switch="Sí",IFERROR(VLOOKUP(tblCompPuntosCal[[#This Row],[Punto 2]],'kU(E)'!$AB$7:$AK$56,10,FALSE)*1000,""),IFERROR(VLOOKUP(tblCompPuntosCal[[#This Row],[Punto 2]],'kU(E)'!$AB$7:$AK$56*1000,8,FALSE),""))</f>
        <v/>
      </c>
      <c r="Z17" s="55" t="str">
        <f>IFERROR(IF('kU(E)'!$E$6&lt;&gt;0,INDEX(deltaMconv,MATCH(tblCompPuntosCal[[#This Row],[mN2]],MnomDeltaT),MATCH('kU(E)'!$E$6,deltaT,-1))/SQRT(3),""),"")</f>
        <v/>
      </c>
      <c r="AA17" s="62"/>
      <c r="AB17" s="55" t="str">
        <f>IFERROR(VLOOKUP(tblCompPuntosCal[[#This Row],[Punto 3]],tblBD_PatronMasa[[Código Patrón]:[mpe]],4,FALSE),"")</f>
        <v/>
      </c>
      <c r="AC17" s="55" t="str">
        <f>IFERROR(VLOOKUP(tblCompPuntosCal[[#This Row],[Punto 3]],tblBD_PatronMasa[[Código Patrón]:[mpe]],6,FALSE),"")</f>
        <v/>
      </c>
      <c r="AD17" s="67" t="str">
        <f>IFERROR(VLOOKUP(tblCompPuntosCal[[#This Row],[Punto 3]],tblBD_PatronMasa[[Código Patrón]:[mpe]],7,FALSE),"")</f>
        <v/>
      </c>
      <c r="AE17" s="67" t="str">
        <f>IFERROR(VLOOKUP(tblCompPuntosCal[[#This Row],[Punto 3]],tblBD_PatronMasa[[Código Patrón]:[mpe]],9,FALSE),"")</f>
        <v/>
      </c>
      <c r="AF17" s="63" t="str">
        <f>IF(switch="Sí",IFERROR(VLOOKUP(tblCompPuntosCal[[#This Row],[Punto 3]],'kU(E)'!$AB$7:$AK$56,10,FALSE)*1000,""),IFERROR(VLOOKUP(tblCompPuntosCal[[#This Row],[Punto 3]],'kU(E)'!$AB$7:$AK$56*1000,8,FALSE),""))</f>
        <v/>
      </c>
      <c r="AG17" s="67" t="str">
        <f>IFERROR(IF('kU(E)'!$E$6&lt;&gt;0,INDEX(deltaMconv,MATCH(tblCompPuntosCal[[#This Row],[mN3]],MnomDeltaT),MATCH('kU(E)'!$E$6,deltaT,-1))/SQRT(3),""),"")</f>
        <v/>
      </c>
      <c r="AH17" s="62"/>
      <c r="AI17" s="67" t="str">
        <f>IFERROR(VLOOKUP(tblCompPuntosCal[[#This Row],[Punto 4]],tblBD_PatronMasa[[Código Patrón]:[mpe]],4,FALSE),"")</f>
        <v/>
      </c>
      <c r="AJ17" s="55" t="str">
        <f>IFERROR(VLOOKUP(tblCompPuntosCal[[#This Row],[Punto 4]],tblBD_PatronMasa[[Código Patrón]:[mpe]],6,FALSE),"")</f>
        <v/>
      </c>
      <c r="AK17" s="55" t="str">
        <f>IFERROR(VLOOKUP(tblCompPuntosCal[[#This Row],[Punto 4]],tblBD_PatronMasa[[Código Patrón]:[mpe]],7,FALSE),"")</f>
        <v/>
      </c>
      <c r="AL17" s="55" t="str">
        <f>IFERROR(VLOOKUP(tblCompPuntosCal[[#This Row],[Punto 4]],tblBD_PatronMasa[[Código Patrón]:[mpe]],9,FALSE),"")</f>
        <v/>
      </c>
      <c r="AM17" s="66" t="str">
        <f>IF(switch="Sí",IFERROR(VLOOKUP(tblCompPuntosCal[[#This Row],[Punto 4]],'kU(E)'!$AB$7:$AK$56,10,FALSE)*1000,""),IFERROR(VLOOKUP(tblCompPuntosCal[[#This Row],[Punto 4]],'kU(E)'!$AB$7:$AK$56,8,FALSE)*1000,""))</f>
        <v/>
      </c>
      <c r="AN17" s="55" t="str">
        <f>IFERROR(IF('kU(E)'!$E$6&lt;&gt;0,INDEX(deltaMconv,MATCH(tblCompPuntosCal[[#This Row],[mN4]],MnomDeltaT),MATCH('kU(E)'!$E$6,deltaT,-1))/SQRT(3),""),"")</f>
        <v/>
      </c>
      <c r="AO17" s="62"/>
      <c r="AP17" s="55" t="str">
        <f>IFERROR(VLOOKUP(tblCompPuntosCal[[#This Row],[Punto 5]],tblBD_PatronMasa[[Código Patrón]:[mpe]],4,FALSE),"")</f>
        <v/>
      </c>
      <c r="AQ17" s="55" t="str">
        <f>IFERROR(VLOOKUP(tblCompPuntosCal[[#This Row],[Punto 5]],tblBD_PatronMasa[[Código Patrón]:[mpe]],6,FALSE),"")</f>
        <v/>
      </c>
      <c r="AR17" s="55" t="str">
        <f>IFERROR(VLOOKUP(tblCompPuntosCal[[#This Row],[Punto 5]],tblBD_PatronMasa[[Código Patrón]:[mpe]],7,FALSE),"")</f>
        <v/>
      </c>
      <c r="AS17" s="55" t="str">
        <f>IFERROR(VLOOKUP(tblCompPuntosCal[[#This Row],[Punto 5]],tblBD_PatronMasa[[Código Patrón]:[mpe]],9,FALSE),"")</f>
        <v/>
      </c>
      <c r="AT17" s="66" t="str">
        <f>IF(switch="Sí",IFERROR(VLOOKUP(tblCompPuntosCal[[#This Row],[Punto 5]],'kU(E)'!$AB$7:$AK$56,10,FALSE)*1000,""),IFERROR(VLOOKUP(tblCompPuntosCal[[#This Row],[Punto 5]],'kU(E)'!$AB$7:$AK$56,8,FALSE)*1000,""))</f>
        <v/>
      </c>
      <c r="AU17" s="55" t="str">
        <f>IFERROR(IF('kU(E)'!$E$6&lt;&gt;0,INDEX(deltaMconv,MATCH(tblCompPuntosCal[[#This Row],[mN5]],MnomDeltaT),MATCH('kU(E)'!$E$6,deltaT,-1))/SQRT(3),""),"")</f>
        <v/>
      </c>
      <c r="AV17" s="62"/>
      <c r="AW17" s="55" t="str">
        <f>IFERROR(VLOOKUP(tblCompPuntosCal[[#This Row],[Punto 6]],tblBD_PatronMasa[[Código Patrón]:[mpe]],4,FALSE),"")</f>
        <v/>
      </c>
      <c r="AX17" s="55" t="str">
        <f>IFERROR(VLOOKUP(tblCompPuntosCal[[#This Row],[Punto 6]],tblBD_PatronMasa[[Código Patrón]:[mpe]],6,FALSE),"")</f>
        <v/>
      </c>
      <c r="AY17" s="55" t="str">
        <f>IFERROR(VLOOKUP(tblCompPuntosCal[[#This Row],[Punto 6]],tblBD_PatronMasa[[Código Patrón]:[mpe]],7,FALSE),"")</f>
        <v/>
      </c>
      <c r="AZ17" s="55" t="str">
        <f>IFERROR(VLOOKUP(tblCompPuntosCal[[#This Row],[Punto 6]],tblBD_PatronMasa[[Código Patrón]:[mpe]],9,FALSE),"")</f>
        <v/>
      </c>
      <c r="BA17" s="66" t="str">
        <f>IF(switch="Sí",IFERROR(VLOOKUP(tblCompPuntosCal[[#This Row],[Punto 6]],'kU(E)'!$AB$7:$AK$56,10,FALSE)*1000,""),IFERROR(VLOOKUP(tblCompPuntosCal[[#This Row],[Punto 6]],'kU(E)'!$AB$7:$AK$56,8,FALSE)*1000,""))</f>
        <v/>
      </c>
      <c r="BB17" s="55" t="str">
        <f>IFERROR(IF('kU(E)'!$E$6&lt;&gt;0,INDEX(deltaMconv,MATCH(tblCompPuntosCal[[#This Row],[mN6]],MnomDeltaT),MATCH('kU(E)'!$E$6,deltaT,-1))/SQRT(3),""),"")</f>
        <v/>
      </c>
      <c r="BC17" s="62"/>
      <c r="BD17" s="55" t="str">
        <f>IFERROR(VLOOKUP(tblCompPuntosCal[[#This Row],[Punto 7]],tblBD_PatronMasa[[Código Patrón]:[mpe]],4,FALSE),"")</f>
        <v/>
      </c>
      <c r="BE17" s="55" t="str">
        <f>IFERROR(VLOOKUP(tblCompPuntosCal[[#This Row],[Punto 7]],tblBD_PatronMasa[[Código Patrón]:[mpe]],6,FALSE),"")</f>
        <v/>
      </c>
      <c r="BF17" s="55" t="str">
        <f>IFERROR(VLOOKUP(tblCompPuntosCal[[#This Row],[Punto 7]],tblBD_PatronMasa[[Código Patrón]:[mpe]],7,FALSE),"")</f>
        <v/>
      </c>
      <c r="BG17" s="55" t="str">
        <f>IFERROR(VLOOKUP(tblCompPuntosCal[[#This Row],[Punto 7]],tblBD_PatronMasa[[Código Patrón]:[mpe]],9,FALSE),"")</f>
        <v/>
      </c>
      <c r="BH17" s="66" t="str">
        <f>IF(switch="Sí",IFERROR(VLOOKUP(tblCompPuntosCal[[#This Row],[Punto 7]],'kU(E)'!$AB$7:$AK$56,10,FALSE)*1000,""),IFERROR(VLOOKUP(tblCompPuntosCal[[#This Row],[Punto 7]],'kU(E)'!$AB$7:$AK$56,8,FALSE)*1000,""))</f>
        <v/>
      </c>
      <c r="BI17" s="55" t="str">
        <f>IFERROR(IF('kU(E)'!$E$6&lt;&gt;0,INDEX(deltaMconv,MATCH(tblCompPuntosCal[[#This Row],[mN7]],MnomDeltaT),MATCH('kU(E)'!$E$6,deltaT,-1))/SQRT(3),""),"")</f>
        <v/>
      </c>
      <c r="BJ17" s="62"/>
      <c r="BK17" s="55" t="str">
        <f>IFERROR(VLOOKUP(tblCompPuntosCal[[#This Row],[Punto 8]],tblBD_PatronMasa[[Código Patrón]:[mpe]],4,FALSE),"")</f>
        <v/>
      </c>
      <c r="BL17" s="55" t="str">
        <f>IFERROR(VLOOKUP(tblCompPuntosCal[[#This Row],[Punto 8]],tblBD_PatronMasa[[Código Patrón]:[mpe]],6,FALSE),"")</f>
        <v/>
      </c>
      <c r="BM17" s="55" t="str">
        <f>IFERROR(VLOOKUP(tblCompPuntosCal[[#This Row],[Punto 8]],tblBD_PatronMasa[[Código Patrón]:[mpe]],7,FALSE),"")</f>
        <v/>
      </c>
      <c r="BN17" s="55" t="str">
        <f>IFERROR(VLOOKUP(tblCompPuntosCal[[#This Row],[Punto 8]],tblBD_PatronMasa[[Código Patrón]:[mpe]],9,FALSE),"")</f>
        <v/>
      </c>
      <c r="BO17" s="66" t="str">
        <f>IF(switch="Sí",IFERROR(VLOOKUP(tblCompPuntosCal[[#This Row],[Punto 8]],'kU(E)'!$AB$7:$AK$56,10,FALSE)*1000,""),IFERROR(VLOOKUP(tblCompPuntosCal[[#This Row],[Punto 8]],'kU(E)'!$AB$7:$AK$56,8,FALSE)*1000,""))</f>
        <v/>
      </c>
      <c r="BP17" s="55" t="str">
        <f>IFERROR(IF('kU(E)'!$E$6&lt;&gt;0,INDEX(deltaMconv,MATCH(tblCompPuntosCal[[#This Row],[mN8]],MnomDeltaT),MATCH('kU(E)'!$E$6,deltaT,-1))/SQRT(3),""),"")</f>
        <v/>
      </c>
      <c r="BQ17" s="62"/>
      <c r="BR17" s="55" t="str">
        <f>IFERROR(VLOOKUP(tblCompPuntosCal[[#This Row],[Punto 9]],tblBD_PatronMasa[[Código Patrón]:[mpe]],4,FALSE),"")</f>
        <v/>
      </c>
      <c r="BS17" s="55" t="str">
        <f>IFERROR(VLOOKUP(tblCompPuntosCal[[#This Row],[Punto 9]],tblBD_PatronMasa[[Código Patrón]:[mpe]],6,FALSE),"")</f>
        <v/>
      </c>
      <c r="BT17" s="55" t="str">
        <f>IFERROR(VLOOKUP(tblCompPuntosCal[[#This Row],[Punto 9]],tblBD_PatronMasa[[Código Patrón]:[mpe]],7,FALSE),"")</f>
        <v/>
      </c>
      <c r="BU17" s="55" t="str">
        <f>IFERROR(VLOOKUP(tblCompPuntosCal[[#This Row],[Punto 9]],tblBD_PatronMasa[[Código Patrón]:[mpe]],9,FALSE),"")</f>
        <v/>
      </c>
      <c r="BV17" s="66" t="str">
        <f>IF(switch="Sí",IFERROR(VLOOKUP(tblCompPuntosCal[[#This Row],[Punto 9]],'kU(E)'!$AB$7:$AK$56,10,FALSE)*1000,""),IFERROR(VLOOKUP(tblCompPuntosCal[[#This Row],[Punto 9]],'kU(E)'!$AB$7:$AK$56,8,FALSE)*1000,""))</f>
        <v/>
      </c>
      <c r="BW17" s="55" t="str">
        <f>IFERROR(IF('kU(E)'!$E$6&lt;&gt;0,INDEX(deltaMconv,MATCH(tblCompPuntosCal[[#This Row],[mN9]],MnomDeltaT),MATCH('kU(E)'!$E$6,deltaT,-1))/SQRT(3),""),"")</f>
        <v/>
      </c>
      <c r="BX17" s="62"/>
      <c r="BY17" s="55" t="str">
        <f>IFERROR(VLOOKUP(tblCompPuntosCal[[#This Row],[Punto 10]],tblBD_PatronMasa[[Código Patrón]:[mpe]],4,FALSE),"")</f>
        <v/>
      </c>
      <c r="BZ17" s="55" t="str">
        <f>IFERROR(VLOOKUP(tblCompPuntosCal[[#This Row],[Punto 10]],tblBD_PatronMasa[[Código Patrón]:[mpe]],6,FALSE),"")</f>
        <v/>
      </c>
      <c r="CA17" s="59" t="str">
        <f>IFERROR(VLOOKUP(tblCompPuntosCal[[#This Row],[Punto 10]],tblBD_PatronMasa[[Código Patrón]:[mpe]],7,FALSE),"")</f>
        <v/>
      </c>
      <c r="CB17" s="59" t="str">
        <f>IFERROR(VLOOKUP(tblCompPuntosCal[[#This Row],[Punto 10]],tblBD_PatronMasa[[Código Patrón]:[mpe]],9,FALSE),"")</f>
        <v/>
      </c>
      <c r="CC17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17" s="59" t="str">
        <f>IFERROR(IF('kU(E)'!$E$6&lt;&gt;0,INDEX(deltaMconv,MATCH(tblCompPuntosCal[[#This Row],[mN10]],MnomDeltaT),MATCH('kU(E)'!$E$6,deltaT,-1))/SQRT(3),""),"")</f>
        <v/>
      </c>
      <c r="CG17" s="38">
        <v>13</v>
      </c>
      <c r="CH17" s="35">
        <f>tblCompPuntosCal[[#This Row],[Punto 1]]</f>
        <v>0</v>
      </c>
      <c r="CI17" s="35" t="str">
        <f>IF(tblTrazabilidad[[#This Row],[Código]]=0,"",IFERROR(IF(SEARCH("JM",tblTrazabilidad[[#This Row],[Código]])&gt;0,"Juego de pesas",),"Pesa"))</f>
        <v/>
      </c>
      <c r="CJ17" s="35" t="str">
        <f>IFERROR(VLOOKUP($CH17,tblBD_PatronMasa[[Código Patrón]:[mN-(mpe–U95)]],2,FALSE),"")</f>
        <v/>
      </c>
      <c r="CK17" s="35" t="str">
        <f>IFERROR(VLOOKUP($CH17,tblBD_PatronMasa[[Código Patrón]:[mN-(mpe–U95)]],13,FALSE),"")</f>
        <v/>
      </c>
      <c r="CL17" s="34" t="str">
        <f>IF(tblTrazabilidad[[#This Row],[Clase]]="F2",IFERROR(IF(VLOOKUP($CH17,tblBD_PatronMasa[[Código Patrón]:[mN-(mpe–U95)]],12,FALSE)=0,"",VLOOKUP($CH17,tblBD_PatronMasa[[Código Patrón]:[mN-(mpe–U95)]],12,FALSE)+731),""),IF(tblTrazabilidad[[#This Row],[Clase]]="F1",IFERROR(IF(VLOOKUP($CH17,tblBD_PatronMasa[[Código Patrón]:[mN-(mpe–U95)]],12,FALSE)=0,"",VLOOKUP($CH17,tblBD_PatronMasa[[Código Patrón]:[mN-(mpe–U95)]],12,FALSE)+731),""),IFERROR(IF(VLOOKUP($CH17,tblBD_PatronMasa[[Código Patrón]:[mN-(mpe–U95)]],12,FALSE)=0,"",VLOOKUP($CH17,tblBD_PatronMasa[[Código Patrón]:[mN-(mpe–U95)]],12,FALSE)+366),"")))</f>
        <v/>
      </c>
      <c r="CM17" s="33" t="str">
        <f>IFERROR(VLOOKUP($CH17,tblBD_PatronMasa[[Código Patrón]:[mN-(mpe–U95)]],3,FALSE),"")</f>
        <v/>
      </c>
      <c r="CO17" s="95"/>
      <c r="CP17" s="57" t="str">
        <f>IFERROR(VLOOKUP(CS17,tblTrazabilidad[[Código]:[Próxima calibración]],2,0),"")</f>
        <v/>
      </c>
      <c r="CQ17" s="58" t="str">
        <f>IFERROR(VLOOKUP(CS17,tblTrazabilidad[[Código]:[Clase]],6,0),"")</f>
        <v/>
      </c>
      <c r="CR17" s="57" t="str">
        <f>IFERROR(VLOOKUP(CS17,tblTrazabilidad[[Código]:[Próxima calibración]],3,0),"")</f>
        <v/>
      </c>
      <c r="CS17" s="56" t="str">
        <f t="shared" si="1"/>
        <v/>
      </c>
      <c r="CT17" s="55" t="str">
        <f>IFERROR(IF(VLOOKUP(CS17,tblTrazabilidad[[Código]:[Próxima calibración]],4,0)=0,"",VLOOKUP(CS17,tblTrazabilidad[[Código]:[Próxima calibración]],4,0)),"")</f>
        <v/>
      </c>
      <c r="CU17" s="54" t="str">
        <f>IFERROR(VLOOKUP(CS17,tblTrazabilidad[[Código]:[Próxima calibración]],5,0),"")</f>
        <v/>
      </c>
      <c r="CV17" s="53">
        <f t="shared" si="0"/>
        <v>0</v>
      </c>
      <c r="CW17" s="52" t="str">
        <f>IFERROR(LOOKUP(2,1/(COUNTIF($CW$4:CW16,tblTrazabilidad[Código])=0),tblTrazabilidad[Código]),"")</f>
        <v/>
      </c>
      <c r="DC17" s="1"/>
      <c r="DD17" s="1"/>
      <c r="DF17"/>
      <c r="DG17"/>
    </row>
    <row r="18" spans="2:111" x14ac:dyDescent="0.3">
      <c r="F18" s="311" t="s">
        <v>157</v>
      </c>
      <c r="G18" s="98" t="s">
        <v>4</v>
      </c>
      <c r="H18" s="98" t="s">
        <v>4</v>
      </c>
      <c r="I18" s="98" t="s">
        <v>4</v>
      </c>
      <c r="J18" s="348"/>
      <c r="K18" s="45"/>
      <c r="L18" s="8">
        <v>15</v>
      </c>
      <c r="M18" s="62"/>
      <c r="N18" s="59" t="str">
        <f>IFERROR(VLOOKUP(tblCompPuntosCal[[#This Row],[Punto 1]],tblBD_PatronMasa[[Código Patrón]:[mpe]],4,FALSE),"")</f>
        <v/>
      </c>
      <c r="O18" s="59" t="str">
        <f>IFERROR(VLOOKUP(tblCompPuntosCal[[#This Row],[Punto 1]],tblBD_PatronMasa[[Código Patrón]:[mpe]],6,FALSE),"")</f>
        <v/>
      </c>
      <c r="P18" s="55" t="str">
        <f>IFERROR(VLOOKUP(tblCompPuntosCal[[#This Row],[Punto 1]],tblBD_PatronMasa[[Código Patrón]:[mpe]],7,FALSE),"")</f>
        <v/>
      </c>
      <c r="Q18" s="55" t="str">
        <f>IFERROR(VLOOKUP(tblCompPuntosCal[[#This Row],[Punto 1]],tblBD_PatronMasa[[Código Patrón]:[mpe]],9,FALSE),"")</f>
        <v/>
      </c>
      <c r="R18" s="66" t="str">
        <f>IF(switch="Sí",IFERROR(VLOOKUP(tblCompPuntosCal[[#This Row],[Punto 1]],'kU(E)'!$AB$7:$AK$56,10,FALSE)*1000,""),IFERROR(VLOOKUP(tblCompPuntosCal[[#This Row],[Punto 1]],'kU(E)'!$AB$7:$AK$56*1000,8,FALSE),""))</f>
        <v/>
      </c>
      <c r="S18" s="55" t="str">
        <f>IFERROR(IF('kU(E)'!$E$6&lt;&gt;0,INDEX(deltaMconv,MATCH(tblCompPuntosCal[[#This Row],[mN1]],MnomDeltaT),MATCH('kU(E)'!$E$6,deltaT,-1))/SQRT(3),""),"")</f>
        <v/>
      </c>
      <c r="T18" s="62"/>
      <c r="U18" s="55" t="str">
        <f>IFERROR(VLOOKUP(tblCompPuntosCal[[#This Row],[Punto 2]],tblBD_PatronMasa[[Código Patrón]:[mpe]],4,FALSE),"")</f>
        <v/>
      </c>
      <c r="V18" s="55" t="str">
        <f>IFERROR(VLOOKUP(tblCompPuntosCal[[#This Row],[Punto 2]],tblBD_PatronMasa[[Código Patrón]:[mpe]],6,FALSE),"")</f>
        <v/>
      </c>
      <c r="W18" s="55" t="str">
        <f>IFERROR(VLOOKUP(tblCompPuntosCal[[#This Row],[Punto 2]],tblBD_PatronMasa[[Código Patrón]:[mpe]],7,FALSE),"")</f>
        <v/>
      </c>
      <c r="X18" s="55" t="str">
        <f>IFERROR(VLOOKUP(tblCompPuntosCal[[#This Row],[Punto 2]],tblBD_PatronMasa[[Código Patrón]:[mpe]],9,FALSE),"")</f>
        <v/>
      </c>
      <c r="Y18" s="66" t="str">
        <f>IF(switch="Sí",IFERROR(VLOOKUP(tblCompPuntosCal[[#This Row],[Punto 2]],'kU(E)'!$AB$7:$AK$56,10,FALSE)*1000,""),IFERROR(VLOOKUP(tblCompPuntosCal[[#This Row],[Punto 2]],'kU(E)'!$AB$7:$AK$56*1000,8,FALSE),""))</f>
        <v/>
      </c>
      <c r="Z18" s="55" t="str">
        <f>IFERROR(IF('kU(E)'!$E$6&lt;&gt;0,INDEX(deltaMconv,MATCH(tblCompPuntosCal[[#This Row],[mN2]],MnomDeltaT),MATCH('kU(E)'!$E$6,deltaT,-1))/SQRT(3),""),"")</f>
        <v/>
      </c>
      <c r="AA18" s="62"/>
      <c r="AB18" s="55" t="str">
        <f>IFERROR(VLOOKUP(tblCompPuntosCal[[#This Row],[Punto 3]],tblBD_PatronMasa[[Código Patrón]:[mpe]],4,FALSE),"")</f>
        <v/>
      </c>
      <c r="AC18" s="55" t="str">
        <f>IFERROR(VLOOKUP(tblCompPuntosCal[[#This Row],[Punto 3]],tblBD_PatronMasa[[Código Patrón]:[mpe]],6,FALSE),"")</f>
        <v/>
      </c>
      <c r="AD18" s="67" t="str">
        <f>IFERROR(VLOOKUP(tblCompPuntosCal[[#This Row],[Punto 3]],tblBD_PatronMasa[[Código Patrón]:[mpe]],7,FALSE),"")</f>
        <v/>
      </c>
      <c r="AE18" s="67" t="str">
        <f>IFERROR(VLOOKUP(tblCompPuntosCal[[#This Row],[Punto 3]],tblBD_PatronMasa[[Código Patrón]:[mpe]],9,FALSE),"")</f>
        <v/>
      </c>
      <c r="AF18" s="63" t="str">
        <f>IF(switch="Sí",IFERROR(VLOOKUP(tblCompPuntosCal[[#This Row],[Punto 3]],'kU(E)'!$AB$7:$AK$56,10,FALSE)*1000,""),IFERROR(VLOOKUP(tblCompPuntosCal[[#This Row],[Punto 3]],'kU(E)'!$AB$7:$AK$56*1000,8,FALSE),""))</f>
        <v/>
      </c>
      <c r="AG18" s="67" t="str">
        <f>IFERROR(IF('kU(E)'!$E$6&lt;&gt;0,INDEX(deltaMconv,MATCH(tblCompPuntosCal[[#This Row],[mN3]],MnomDeltaT),MATCH('kU(E)'!$E$6,deltaT,-1))/SQRT(3),""),"")</f>
        <v/>
      </c>
      <c r="AH18" s="62"/>
      <c r="AI18" s="67" t="str">
        <f>IFERROR(VLOOKUP(tblCompPuntosCal[[#This Row],[Punto 4]],tblBD_PatronMasa[[Código Patrón]:[mpe]],4,FALSE),"")</f>
        <v/>
      </c>
      <c r="AJ18" s="55" t="str">
        <f>IFERROR(VLOOKUP(tblCompPuntosCal[[#This Row],[Punto 4]],tblBD_PatronMasa[[Código Patrón]:[mpe]],6,FALSE),"")</f>
        <v/>
      </c>
      <c r="AK18" s="55" t="str">
        <f>IFERROR(VLOOKUP(tblCompPuntosCal[[#This Row],[Punto 4]],tblBD_PatronMasa[[Código Patrón]:[mpe]],7,FALSE),"")</f>
        <v/>
      </c>
      <c r="AL18" s="55" t="str">
        <f>IFERROR(VLOOKUP(tblCompPuntosCal[[#This Row],[Punto 4]],tblBD_PatronMasa[[Código Patrón]:[mpe]],9,FALSE),"")</f>
        <v/>
      </c>
      <c r="AM18" s="66" t="str">
        <f>IF(switch="Sí",IFERROR(VLOOKUP(tblCompPuntosCal[[#This Row],[Punto 4]],'kU(E)'!$AB$7:$AK$56,10,FALSE)*1000,""),IFERROR(VLOOKUP(tblCompPuntosCal[[#This Row],[Punto 4]],'kU(E)'!$AB$7:$AK$56,8,FALSE)*1000,""))</f>
        <v/>
      </c>
      <c r="AN18" s="55" t="str">
        <f>IFERROR(IF('kU(E)'!$E$6&lt;&gt;0,INDEX(deltaMconv,MATCH(tblCompPuntosCal[[#This Row],[mN4]],MnomDeltaT),MATCH('kU(E)'!$E$6,deltaT,-1))/SQRT(3),""),"")</f>
        <v/>
      </c>
      <c r="AO18" s="62"/>
      <c r="AP18" s="55" t="str">
        <f>IFERROR(VLOOKUP(tblCompPuntosCal[[#This Row],[Punto 5]],tblBD_PatronMasa[[Código Patrón]:[mpe]],4,FALSE),"")</f>
        <v/>
      </c>
      <c r="AQ18" s="55" t="str">
        <f>IFERROR(VLOOKUP(tblCompPuntosCal[[#This Row],[Punto 5]],tblBD_PatronMasa[[Código Patrón]:[mpe]],6,FALSE),"")</f>
        <v/>
      </c>
      <c r="AR18" s="55" t="str">
        <f>IFERROR(VLOOKUP(tblCompPuntosCal[[#This Row],[Punto 5]],tblBD_PatronMasa[[Código Patrón]:[mpe]],7,FALSE),"")</f>
        <v/>
      </c>
      <c r="AS18" s="55" t="str">
        <f>IFERROR(VLOOKUP(tblCompPuntosCal[[#This Row],[Punto 5]],tblBD_PatronMasa[[Código Patrón]:[mpe]],9,FALSE),"")</f>
        <v/>
      </c>
      <c r="AT18" s="66" t="str">
        <f>IF(switch="Sí",IFERROR(VLOOKUP(tblCompPuntosCal[[#This Row],[Punto 5]],'kU(E)'!$AB$7:$AK$56,10,FALSE)*1000,""),IFERROR(VLOOKUP(tblCompPuntosCal[[#This Row],[Punto 5]],'kU(E)'!$AB$7:$AK$56,8,FALSE)*1000,""))</f>
        <v/>
      </c>
      <c r="AU18" s="55" t="str">
        <f>IFERROR(IF('kU(E)'!$E$6&lt;&gt;0,INDEX(deltaMconv,MATCH(tblCompPuntosCal[[#This Row],[mN5]],MnomDeltaT),MATCH('kU(E)'!$E$6,deltaT,-1))/SQRT(3),""),"")</f>
        <v/>
      </c>
      <c r="AV18" s="62"/>
      <c r="AW18" s="55" t="str">
        <f>IFERROR(VLOOKUP(tblCompPuntosCal[[#This Row],[Punto 6]],tblBD_PatronMasa[[Código Patrón]:[mpe]],4,FALSE),"")</f>
        <v/>
      </c>
      <c r="AX18" s="55" t="str">
        <f>IFERROR(VLOOKUP(tblCompPuntosCal[[#This Row],[Punto 6]],tblBD_PatronMasa[[Código Patrón]:[mpe]],6,FALSE),"")</f>
        <v/>
      </c>
      <c r="AY18" s="55" t="str">
        <f>IFERROR(VLOOKUP(tblCompPuntosCal[[#This Row],[Punto 6]],tblBD_PatronMasa[[Código Patrón]:[mpe]],7,FALSE),"")</f>
        <v/>
      </c>
      <c r="AZ18" s="55" t="str">
        <f>IFERROR(VLOOKUP(tblCompPuntosCal[[#This Row],[Punto 6]],tblBD_PatronMasa[[Código Patrón]:[mpe]],9,FALSE),"")</f>
        <v/>
      </c>
      <c r="BA18" s="66" t="str">
        <f>IF(switch="Sí",IFERROR(VLOOKUP(tblCompPuntosCal[[#This Row],[Punto 6]],'kU(E)'!$AB$7:$AK$56,10,FALSE)*1000,""),IFERROR(VLOOKUP(tblCompPuntosCal[[#This Row],[Punto 6]],'kU(E)'!$AB$7:$AK$56,8,FALSE)*1000,""))</f>
        <v/>
      </c>
      <c r="BB18" s="55" t="str">
        <f>IFERROR(IF('kU(E)'!$E$6&lt;&gt;0,INDEX(deltaMconv,MATCH(tblCompPuntosCal[[#This Row],[mN6]],MnomDeltaT),MATCH('kU(E)'!$E$6,deltaT,-1))/SQRT(3),""),"")</f>
        <v/>
      </c>
      <c r="BC18" s="62"/>
      <c r="BD18" s="55" t="str">
        <f>IFERROR(VLOOKUP(tblCompPuntosCal[[#This Row],[Punto 7]],tblBD_PatronMasa[[Código Patrón]:[mpe]],4,FALSE),"")</f>
        <v/>
      </c>
      <c r="BE18" s="55" t="str">
        <f>IFERROR(VLOOKUP(tblCompPuntosCal[[#This Row],[Punto 7]],tblBD_PatronMasa[[Código Patrón]:[mpe]],6,FALSE),"")</f>
        <v/>
      </c>
      <c r="BF18" s="55" t="str">
        <f>IFERROR(VLOOKUP(tblCompPuntosCal[[#This Row],[Punto 7]],tblBD_PatronMasa[[Código Patrón]:[mpe]],7,FALSE),"")</f>
        <v/>
      </c>
      <c r="BG18" s="55" t="str">
        <f>IFERROR(VLOOKUP(tblCompPuntosCal[[#This Row],[Punto 7]],tblBD_PatronMasa[[Código Patrón]:[mpe]],9,FALSE),"")</f>
        <v/>
      </c>
      <c r="BH18" s="66" t="str">
        <f>IF(switch="Sí",IFERROR(VLOOKUP(tblCompPuntosCal[[#This Row],[Punto 7]],'kU(E)'!$AB$7:$AK$56,10,FALSE)*1000,""),IFERROR(VLOOKUP(tblCompPuntosCal[[#This Row],[Punto 7]],'kU(E)'!$AB$7:$AK$56,8,FALSE)*1000,""))</f>
        <v/>
      </c>
      <c r="BI18" s="55" t="str">
        <f>IFERROR(IF('kU(E)'!$E$6&lt;&gt;0,INDEX(deltaMconv,MATCH(tblCompPuntosCal[[#This Row],[mN7]],MnomDeltaT),MATCH('kU(E)'!$E$6,deltaT,-1))/SQRT(3),""),"")</f>
        <v/>
      </c>
      <c r="BJ18" s="62"/>
      <c r="BK18" s="55" t="str">
        <f>IFERROR(VLOOKUP(tblCompPuntosCal[[#This Row],[Punto 8]],tblBD_PatronMasa[[Código Patrón]:[mpe]],4,FALSE),"")</f>
        <v/>
      </c>
      <c r="BL18" s="55" t="str">
        <f>IFERROR(VLOOKUP(tblCompPuntosCal[[#This Row],[Punto 8]],tblBD_PatronMasa[[Código Patrón]:[mpe]],6,FALSE),"")</f>
        <v/>
      </c>
      <c r="BM18" s="55" t="str">
        <f>IFERROR(VLOOKUP(tblCompPuntosCal[[#This Row],[Punto 8]],tblBD_PatronMasa[[Código Patrón]:[mpe]],7,FALSE),"")</f>
        <v/>
      </c>
      <c r="BN18" s="55" t="str">
        <f>IFERROR(VLOOKUP(tblCompPuntosCal[[#This Row],[Punto 8]],tblBD_PatronMasa[[Código Patrón]:[mpe]],9,FALSE),"")</f>
        <v/>
      </c>
      <c r="BO18" s="66" t="str">
        <f>IF(switch="Sí",IFERROR(VLOOKUP(tblCompPuntosCal[[#This Row],[Punto 8]],'kU(E)'!$AB$7:$AK$56,10,FALSE)*1000,""),IFERROR(VLOOKUP(tblCompPuntosCal[[#This Row],[Punto 8]],'kU(E)'!$AB$7:$AK$56,8,FALSE)*1000,""))</f>
        <v/>
      </c>
      <c r="BP18" s="55" t="str">
        <f>IFERROR(IF('kU(E)'!$E$6&lt;&gt;0,INDEX(deltaMconv,MATCH(tblCompPuntosCal[[#This Row],[mN8]],MnomDeltaT),MATCH('kU(E)'!$E$6,deltaT,-1))/SQRT(3),""),"")</f>
        <v/>
      </c>
      <c r="BQ18" s="62"/>
      <c r="BR18" s="55" t="str">
        <f>IFERROR(VLOOKUP(tblCompPuntosCal[[#This Row],[Punto 9]],tblBD_PatronMasa[[Código Patrón]:[mpe]],4,FALSE),"")</f>
        <v/>
      </c>
      <c r="BS18" s="55" t="str">
        <f>IFERROR(VLOOKUP(tblCompPuntosCal[[#This Row],[Punto 9]],tblBD_PatronMasa[[Código Patrón]:[mpe]],6,FALSE),"")</f>
        <v/>
      </c>
      <c r="BT18" s="55" t="str">
        <f>IFERROR(VLOOKUP(tblCompPuntosCal[[#This Row],[Punto 9]],tblBD_PatronMasa[[Código Patrón]:[mpe]],7,FALSE),"")</f>
        <v/>
      </c>
      <c r="BU18" s="55" t="str">
        <f>IFERROR(VLOOKUP(tblCompPuntosCal[[#This Row],[Punto 9]],tblBD_PatronMasa[[Código Patrón]:[mpe]],9,FALSE),"")</f>
        <v/>
      </c>
      <c r="BV18" s="66" t="str">
        <f>IF(switch="Sí",IFERROR(VLOOKUP(tblCompPuntosCal[[#This Row],[Punto 9]],'kU(E)'!$AB$7:$AK$56,10,FALSE)*1000,""),IFERROR(VLOOKUP(tblCompPuntosCal[[#This Row],[Punto 9]],'kU(E)'!$AB$7:$AK$56,8,FALSE)*1000,""))</f>
        <v/>
      </c>
      <c r="BW18" s="55" t="str">
        <f>IFERROR(IF('kU(E)'!$E$6&lt;&gt;0,INDEX(deltaMconv,MATCH(tblCompPuntosCal[[#This Row],[mN9]],MnomDeltaT),MATCH('kU(E)'!$E$6,deltaT,-1))/SQRT(3),""),"")</f>
        <v/>
      </c>
      <c r="BX18" s="62"/>
      <c r="BY18" s="55" t="str">
        <f>IFERROR(VLOOKUP(tblCompPuntosCal[[#This Row],[Punto 10]],tblBD_PatronMasa[[Código Patrón]:[mpe]],4,FALSE),"")</f>
        <v/>
      </c>
      <c r="BZ18" s="55" t="str">
        <f>IFERROR(VLOOKUP(tblCompPuntosCal[[#This Row],[Punto 10]],tblBD_PatronMasa[[Código Patrón]:[mpe]],6,FALSE),"")</f>
        <v/>
      </c>
      <c r="CA18" s="59" t="str">
        <f>IFERROR(VLOOKUP(tblCompPuntosCal[[#This Row],[Punto 10]],tblBD_PatronMasa[[Código Patrón]:[mpe]],7,FALSE),"")</f>
        <v/>
      </c>
      <c r="CB18" s="59" t="str">
        <f>IFERROR(VLOOKUP(tblCompPuntosCal[[#This Row],[Punto 10]],tblBD_PatronMasa[[Código Patrón]:[mpe]],9,FALSE),"")</f>
        <v/>
      </c>
      <c r="CC18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18" s="59" t="str">
        <f>IFERROR(IF('kU(E)'!$E$6&lt;&gt;0,INDEX(deltaMconv,MATCH(tblCompPuntosCal[[#This Row],[mN10]],MnomDeltaT),MATCH('kU(E)'!$E$6,deltaT,-1))/SQRT(3),""),"")</f>
        <v/>
      </c>
      <c r="CG18" s="38">
        <v>14</v>
      </c>
      <c r="CH18" s="35">
        <f>tblCompPuntosCal[[#This Row],[Punto 1]]</f>
        <v>0</v>
      </c>
      <c r="CI18" s="35" t="str">
        <f>IF(tblTrazabilidad[[#This Row],[Código]]=0,"",IFERROR(IF(SEARCH("JM",tblTrazabilidad[[#This Row],[Código]])&gt;0,"Juego de pesas",),"Pesa"))</f>
        <v/>
      </c>
      <c r="CJ18" s="35" t="str">
        <f>IFERROR(VLOOKUP($CH18,tblBD_PatronMasa[[Código Patrón]:[mN-(mpe–U95)]],2,FALSE),"")</f>
        <v/>
      </c>
      <c r="CK18" s="35" t="str">
        <f>IFERROR(VLOOKUP($CH18,tblBD_PatronMasa[[Código Patrón]:[mN-(mpe–U95)]],13,FALSE),"")</f>
        <v/>
      </c>
      <c r="CL18" s="34" t="str">
        <f>IF(tblTrazabilidad[[#This Row],[Clase]]="F2",IFERROR(IF(VLOOKUP($CH18,tblBD_PatronMasa[[Código Patrón]:[mN-(mpe–U95)]],12,FALSE)=0,"",VLOOKUP($CH18,tblBD_PatronMasa[[Código Patrón]:[mN-(mpe–U95)]],12,FALSE)+731),""),IF(tblTrazabilidad[[#This Row],[Clase]]="F1",IFERROR(IF(VLOOKUP($CH18,tblBD_PatronMasa[[Código Patrón]:[mN-(mpe–U95)]],12,FALSE)=0,"",VLOOKUP($CH18,tblBD_PatronMasa[[Código Patrón]:[mN-(mpe–U95)]],12,FALSE)+731),""),IFERROR(IF(VLOOKUP($CH18,tblBD_PatronMasa[[Código Patrón]:[mN-(mpe–U95)]],12,FALSE)=0,"",VLOOKUP($CH18,tblBD_PatronMasa[[Código Patrón]:[mN-(mpe–U95)]],12,FALSE)+366),"")))</f>
        <v/>
      </c>
      <c r="CM18" s="33" t="str">
        <f>IFERROR(VLOOKUP($CH18,tblBD_PatronMasa[[Código Patrón]:[mN-(mpe–U95)]],3,FALSE),"")</f>
        <v/>
      </c>
      <c r="CO18" s="94"/>
      <c r="CP18" s="57" t="str">
        <f>IFERROR(VLOOKUP(CS18,tblTrazabilidad[[Código]:[Próxima calibración]],2,0),"")</f>
        <v/>
      </c>
      <c r="CQ18" s="58" t="str">
        <f>IFERROR(VLOOKUP(CS18,tblTrazabilidad[[Código]:[Clase]],6,0),"")</f>
        <v/>
      </c>
      <c r="CR18" s="57" t="str">
        <f>IFERROR(VLOOKUP(CS18,tblTrazabilidad[[Código]:[Próxima calibración]],3,0),"")</f>
        <v/>
      </c>
      <c r="CS18" s="56" t="str">
        <f t="shared" si="1"/>
        <v/>
      </c>
      <c r="CT18" s="55" t="str">
        <f>IFERROR(IF(VLOOKUP(CS18,tblTrazabilidad[[Código]:[Próxima calibración]],4,0)=0,"",VLOOKUP(CS18,tblTrazabilidad[[Código]:[Próxima calibración]],4,0)),"")</f>
        <v/>
      </c>
      <c r="CU18" s="54" t="str">
        <f>IFERROR(VLOOKUP(CS18,tblTrazabilidad[[Código]:[Próxima calibración]],5,0),"")</f>
        <v/>
      </c>
      <c r="CV18" s="53">
        <f t="shared" si="0"/>
        <v>0</v>
      </c>
      <c r="CW18" s="52" t="str">
        <f>IFERROR(LOOKUP(2,1/(COUNTIF($CW$4:CW17,tblTrazabilidad[Código])=0),tblTrazabilidad[Código]),"")</f>
        <v/>
      </c>
      <c r="DC18" s="1"/>
      <c r="DD18" s="1"/>
      <c r="DF18"/>
      <c r="DG18"/>
    </row>
    <row r="19" spans="2:111" x14ac:dyDescent="0.3">
      <c r="L19" s="8">
        <v>16</v>
      </c>
      <c r="M19" s="62"/>
      <c r="N19" s="59" t="str">
        <f>IFERROR(VLOOKUP(tblCompPuntosCal[[#This Row],[Punto 1]],tblBD_PatronMasa[[Código Patrón]:[mpe]],4,FALSE),"")</f>
        <v/>
      </c>
      <c r="O19" s="59" t="str">
        <f>IFERROR(VLOOKUP(tblCompPuntosCal[[#This Row],[Punto 1]],tblBD_PatronMasa[[Código Patrón]:[mpe]],6,FALSE),"")</f>
        <v/>
      </c>
      <c r="P19" s="55" t="str">
        <f>IFERROR(VLOOKUP(tblCompPuntosCal[[#This Row],[Punto 1]],tblBD_PatronMasa[[Código Patrón]:[mpe]],7,FALSE),"")</f>
        <v/>
      </c>
      <c r="Q19" s="55" t="str">
        <f>IFERROR(VLOOKUP(tblCompPuntosCal[[#This Row],[Punto 1]],tblBD_PatronMasa[[Código Patrón]:[mpe]],9,FALSE),"")</f>
        <v/>
      </c>
      <c r="R19" s="66" t="str">
        <f>IF(switch="Sí",IFERROR(VLOOKUP(tblCompPuntosCal[[#This Row],[Punto 1]],'kU(E)'!$AB$7:$AK$56,10,FALSE)*1000,""),IFERROR(VLOOKUP(tblCompPuntosCal[[#This Row],[Punto 1]],'kU(E)'!$AB$7:$AK$56*1000,8,FALSE),""))</f>
        <v/>
      </c>
      <c r="S19" s="55" t="str">
        <f>IFERROR(IF('kU(E)'!$E$6&lt;&gt;0,INDEX(deltaMconv,MATCH(tblCompPuntosCal[[#This Row],[mN1]],MnomDeltaT),MATCH('kU(E)'!$E$6,deltaT,-1))/SQRT(3),""),"")</f>
        <v/>
      </c>
      <c r="T19" s="62"/>
      <c r="U19" s="55" t="str">
        <f>IFERROR(VLOOKUP(tblCompPuntosCal[[#This Row],[Punto 2]],tblBD_PatronMasa[[Código Patrón]:[mpe]],4,FALSE),"")</f>
        <v/>
      </c>
      <c r="V19" s="55" t="str">
        <f>IFERROR(VLOOKUP(tblCompPuntosCal[[#This Row],[Punto 2]],tblBD_PatronMasa[[Código Patrón]:[mpe]],6,FALSE),"")</f>
        <v/>
      </c>
      <c r="W19" s="55" t="str">
        <f>IFERROR(VLOOKUP(tblCompPuntosCal[[#This Row],[Punto 2]],tblBD_PatronMasa[[Código Patrón]:[mpe]],7,FALSE),"")</f>
        <v/>
      </c>
      <c r="X19" s="55" t="str">
        <f>IFERROR(VLOOKUP(tblCompPuntosCal[[#This Row],[Punto 2]],tblBD_PatronMasa[[Código Patrón]:[mpe]],9,FALSE),"")</f>
        <v/>
      </c>
      <c r="Y19" s="66" t="str">
        <f>IF(switch="Sí",IFERROR(VLOOKUP(tblCompPuntosCal[[#This Row],[Punto 2]],'kU(E)'!$AB$7:$AK$56,10,FALSE)*1000,""),IFERROR(VLOOKUP(tblCompPuntosCal[[#This Row],[Punto 2]],'kU(E)'!$AB$7:$AK$56*1000,8,FALSE),""))</f>
        <v/>
      </c>
      <c r="Z19" s="55" t="str">
        <f>IFERROR(IF('kU(E)'!$E$6&lt;&gt;0,INDEX(deltaMconv,MATCH(tblCompPuntosCal[[#This Row],[mN2]],MnomDeltaT),MATCH('kU(E)'!$E$6,deltaT,-1))/SQRT(3),""),"")</f>
        <v/>
      </c>
      <c r="AA19" s="62"/>
      <c r="AB19" s="55" t="str">
        <f>IFERROR(VLOOKUP(tblCompPuntosCal[[#This Row],[Punto 3]],tblBD_PatronMasa[[Código Patrón]:[mpe]],4,FALSE),"")</f>
        <v/>
      </c>
      <c r="AC19" s="55" t="str">
        <f>IFERROR(VLOOKUP(tblCompPuntosCal[[#This Row],[Punto 3]],tblBD_PatronMasa[[Código Patrón]:[mpe]],6,FALSE),"")</f>
        <v/>
      </c>
      <c r="AD19" s="67" t="str">
        <f>IFERROR(VLOOKUP(tblCompPuntosCal[[#This Row],[Punto 3]],tblBD_PatronMasa[[Código Patrón]:[mpe]],7,FALSE),"")</f>
        <v/>
      </c>
      <c r="AE19" s="67" t="str">
        <f>IFERROR(VLOOKUP(tblCompPuntosCal[[#This Row],[Punto 3]],tblBD_PatronMasa[[Código Patrón]:[mpe]],9,FALSE),"")</f>
        <v/>
      </c>
      <c r="AF19" s="63" t="str">
        <f>IF(switch="Sí",IFERROR(VLOOKUP(tblCompPuntosCal[[#This Row],[Punto 3]],'kU(E)'!$AB$7:$AK$56,10,FALSE)*1000,""),IFERROR(VLOOKUP(tblCompPuntosCal[[#This Row],[Punto 3]],'kU(E)'!$AB$7:$AK$56*1000,8,FALSE),""))</f>
        <v/>
      </c>
      <c r="AG19" s="67" t="str">
        <f>IFERROR(IF('kU(E)'!$E$6&lt;&gt;0,INDEX(deltaMconv,MATCH(tblCompPuntosCal[[#This Row],[mN3]],MnomDeltaT),MATCH('kU(E)'!$E$6,deltaT,-1))/SQRT(3),""),"")</f>
        <v/>
      </c>
      <c r="AH19" s="62"/>
      <c r="AI19" s="67" t="str">
        <f>IFERROR(VLOOKUP(tblCompPuntosCal[[#This Row],[Punto 4]],tblBD_PatronMasa[[Código Patrón]:[mpe]],4,FALSE),"")</f>
        <v/>
      </c>
      <c r="AJ19" s="55" t="str">
        <f>IFERROR(VLOOKUP(tblCompPuntosCal[[#This Row],[Punto 4]],tblBD_PatronMasa[[Código Patrón]:[mpe]],6,FALSE),"")</f>
        <v/>
      </c>
      <c r="AK19" s="55" t="str">
        <f>IFERROR(VLOOKUP(tblCompPuntosCal[[#This Row],[Punto 4]],tblBD_PatronMasa[[Código Patrón]:[mpe]],7,FALSE),"")</f>
        <v/>
      </c>
      <c r="AL19" s="55" t="str">
        <f>IFERROR(VLOOKUP(tblCompPuntosCal[[#This Row],[Punto 4]],tblBD_PatronMasa[[Código Patrón]:[mpe]],9,FALSE),"")</f>
        <v/>
      </c>
      <c r="AM19" s="66" t="str">
        <f>IF(switch="Sí",IFERROR(VLOOKUP(tblCompPuntosCal[[#This Row],[Punto 4]],'kU(E)'!$AB$7:$AK$56,10,FALSE)*1000,""),IFERROR(VLOOKUP(tblCompPuntosCal[[#This Row],[Punto 4]],'kU(E)'!$AB$7:$AK$56,8,FALSE)*1000,""))</f>
        <v/>
      </c>
      <c r="AN19" s="55" t="str">
        <f>IFERROR(IF('kU(E)'!$E$6&lt;&gt;0,INDEX(deltaMconv,MATCH(tblCompPuntosCal[[#This Row],[mN4]],MnomDeltaT),MATCH('kU(E)'!$E$6,deltaT,-1))/SQRT(3),""),"")</f>
        <v/>
      </c>
      <c r="AO19" s="62"/>
      <c r="AP19" s="55" t="str">
        <f>IFERROR(VLOOKUP(tblCompPuntosCal[[#This Row],[Punto 5]],tblBD_PatronMasa[[Código Patrón]:[mpe]],4,FALSE),"")</f>
        <v/>
      </c>
      <c r="AQ19" s="55" t="str">
        <f>IFERROR(VLOOKUP(tblCompPuntosCal[[#This Row],[Punto 5]],tblBD_PatronMasa[[Código Patrón]:[mpe]],6,FALSE),"")</f>
        <v/>
      </c>
      <c r="AR19" s="55" t="str">
        <f>IFERROR(VLOOKUP(tblCompPuntosCal[[#This Row],[Punto 5]],tblBD_PatronMasa[[Código Patrón]:[mpe]],7,FALSE),"")</f>
        <v/>
      </c>
      <c r="AS19" s="55" t="str">
        <f>IFERROR(VLOOKUP(tblCompPuntosCal[[#This Row],[Punto 5]],tblBD_PatronMasa[[Código Patrón]:[mpe]],9,FALSE),"")</f>
        <v/>
      </c>
      <c r="AT19" s="66" t="str">
        <f>IF(switch="Sí",IFERROR(VLOOKUP(tblCompPuntosCal[[#This Row],[Punto 5]],'kU(E)'!$AB$7:$AK$56,10,FALSE)*1000,""),IFERROR(VLOOKUP(tblCompPuntosCal[[#This Row],[Punto 5]],'kU(E)'!$AB$7:$AK$56,8,FALSE)*1000,""))</f>
        <v/>
      </c>
      <c r="AU19" s="55" t="str">
        <f>IFERROR(IF('kU(E)'!$E$6&lt;&gt;0,INDEX(deltaMconv,MATCH(tblCompPuntosCal[[#This Row],[mN5]],MnomDeltaT),MATCH('kU(E)'!$E$6,deltaT,-1))/SQRT(3),""),"")</f>
        <v/>
      </c>
      <c r="AV19" s="62"/>
      <c r="AW19" s="55" t="str">
        <f>IFERROR(VLOOKUP(tblCompPuntosCal[[#This Row],[Punto 6]],tblBD_PatronMasa[[Código Patrón]:[mpe]],4,FALSE),"")</f>
        <v/>
      </c>
      <c r="AX19" s="55" t="str">
        <f>IFERROR(VLOOKUP(tblCompPuntosCal[[#This Row],[Punto 6]],tblBD_PatronMasa[[Código Patrón]:[mpe]],6,FALSE),"")</f>
        <v/>
      </c>
      <c r="AY19" s="55" t="str">
        <f>IFERROR(VLOOKUP(tblCompPuntosCal[[#This Row],[Punto 6]],tblBD_PatronMasa[[Código Patrón]:[mpe]],7,FALSE),"")</f>
        <v/>
      </c>
      <c r="AZ19" s="55" t="str">
        <f>IFERROR(VLOOKUP(tblCompPuntosCal[[#This Row],[Punto 6]],tblBD_PatronMasa[[Código Patrón]:[mpe]],9,FALSE),"")</f>
        <v/>
      </c>
      <c r="BA19" s="66" t="str">
        <f>IF(switch="Sí",IFERROR(VLOOKUP(tblCompPuntosCal[[#This Row],[Punto 6]],'kU(E)'!$AB$7:$AK$56,10,FALSE)*1000,""),IFERROR(VLOOKUP(tblCompPuntosCal[[#This Row],[Punto 6]],'kU(E)'!$AB$7:$AK$56,8,FALSE)*1000,""))</f>
        <v/>
      </c>
      <c r="BB19" s="55" t="str">
        <f>IFERROR(IF('kU(E)'!$E$6&lt;&gt;0,INDEX(deltaMconv,MATCH(tblCompPuntosCal[[#This Row],[mN6]],MnomDeltaT),MATCH('kU(E)'!$E$6,deltaT,-1))/SQRT(3),""),"")</f>
        <v/>
      </c>
      <c r="BC19" s="62"/>
      <c r="BD19" s="55" t="str">
        <f>IFERROR(VLOOKUP(tblCompPuntosCal[[#This Row],[Punto 7]],tblBD_PatronMasa[[Código Patrón]:[mpe]],4,FALSE),"")</f>
        <v/>
      </c>
      <c r="BE19" s="55" t="str">
        <f>IFERROR(VLOOKUP(tblCompPuntosCal[[#This Row],[Punto 7]],tblBD_PatronMasa[[Código Patrón]:[mpe]],6,FALSE),"")</f>
        <v/>
      </c>
      <c r="BF19" s="55" t="str">
        <f>IFERROR(VLOOKUP(tblCompPuntosCal[[#This Row],[Punto 7]],tblBD_PatronMasa[[Código Patrón]:[mpe]],7,FALSE),"")</f>
        <v/>
      </c>
      <c r="BG19" s="55" t="str">
        <f>IFERROR(VLOOKUP(tblCompPuntosCal[[#This Row],[Punto 7]],tblBD_PatronMasa[[Código Patrón]:[mpe]],9,FALSE),"")</f>
        <v/>
      </c>
      <c r="BH19" s="66" t="str">
        <f>IF(switch="Sí",IFERROR(VLOOKUP(tblCompPuntosCal[[#This Row],[Punto 7]],'kU(E)'!$AB$7:$AK$56,10,FALSE)*1000,""),IFERROR(VLOOKUP(tblCompPuntosCal[[#This Row],[Punto 7]],'kU(E)'!$AB$7:$AK$56,8,FALSE)*1000,""))</f>
        <v/>
      </c>
      <c r="BI19" s="55" t="str">
        <f>IFERROR(IF('kU(E)'!$E$6&lt;&gt;0,INDEX(deltaMconv,MATCH(tblCompPuntosCal[[#This Row],[mN7]],MnomDeltaT),MATCH('kU(E)'!$E$6,deltaT,-1))/SQRT(3),""),"")</f>
        <v/>
      </c>
      <c r="BJ19" s="62"/>
      <c r="BK19" s="55" t="str">
        <f>IFERROR(VLOOKUP(tblCompPuntosCal[[#This Row],[Punto 8]],tblBD_PatronMasa[[Código Patrón]:[mpe]],4,FALSE),"")</f>
        <v/>
      </c>
      <c r="BL19" s="55" t="str">
        <f>IFERROR(VLOOKUP(tblCompPuntosCal[[#This Row],[Punto 8]],tblBD_PatronMasa[[Código Patrón]:[mpe]],6,FALSE),"")</f>
        <v/>
      </c>
      <c r="BM19" s="55" t="str">
        <f>IFERROR(VLOOKUP(tblCompPuntosCal[[#This Row],[Punto 8]],tblBD_PatronMasa[[Código Patrón]:[mpe]],7,FALSE),"")</f>
        <v/>
      </c>
      <c r="BN19" s="55" t="str">
        <f>IFERROR(VLOOKUP(tblCompPuntosCal[[#This Row],[Punto 8]],tblBD_PatronMasa[[Código Patrón]:[mpe]],9,FALSE),"")</f>
        <v/>
      </c>
      <c r="BO19" s="66" t="str">
        <f>IF(switch="Sí",IFERROR(VLOOKUP(tblCompPuntosCal[[#This Row],[Punto 8]],'kU(E)'!$AB$7:$AK$56,10,FALSE)*1000,""),IFERROR(VLOOKUP(tblCompPuntosCal[[#This Row],[Punto 8]],'kU(E)'!$AB$7:$AK$56,8,FALSE)*1000,""))</f>
        <v/>
      </c>
      <c r="BP19" s="55" t="str">
        <f>IFERROR(IF('kU(E)'!$E$6&lt;&gt;0,INDEX(deltaMconv,MATCH(tblCompPuntosCal[[#This Row],[mN8]],MnomDeltaT),MATCH('kU(E)'!$E$6,deltaT,-1))/SQRT(3),""),"")</f>
        <v/>
      </c>
      <c r="BQ19" s="62"/>
      <c r="BR19" s="55" t="str">
        <f>IFERROR(VLOOKUP(tblCompPuntosCal[[#This Row],[Punto 9]],tblBD_PatronMasa[[Código Patrón]:[mpe]],4,FALSE),"")</f>
        <v/>
      </c>
      <c r="BS19" s="55" t="str">
        <f>IFERROR(VLOOKUP(tblCompPuntosCal[[#This Row],[Punto 9]],tblBD_PatronMasa[[Código Patrón]:[mpe]],6,FALSE),"")</f>
        <v/>
      </c>
      <c r="BT19" s="55" t="str">
        <f>IFERROR(VLOOKUP(tblCompPuntosCal[[#This Row],[Punto 9]],tblBD_PatronMasa[[Código Patrón]:[mpe]],7,FALSE),"")</f>
        <v/>
      </c>
      <c r="BU19" s="55" t="str">
        <f>IFERROR(VLOOKUP(tblCompPuntosCal[[#This Row],[Punto 9]],tblBD_PatronMasa[[Código Patrón]:[mpe]],9,FALSE),"")</f>
        <v/>
      </c>
      <c r="BV19" s="66" t="str">
        <f>IF(switch="Sí",IFERROR(VLOOKUP(tblCompPuntosCal[[#This Row],[Punto 9]],'kU(E)'!$AB$7:$AK$56,10,FALSE)*1000,""),IFERROR(VLOOKUP(tblCompPuntosCal[[#This Row],[Punto 9]],'kU(E)'!$AB$7:$AK$56,8,FALSE)*1000,""))</f>
        <v/>
      </c>
      <c r="BW19" s="55" t="str">
        <f>IFERROR(IF('kU(E)'!$E$6&lt;&gt;0,INDEX(deltaMconv,MATCH(tblCompPuntosCal[[#This Row],[mN9]],MnomDeltaT),MATCH('kU(E)'!$E$6,deltaT,-1))/SQRT(3),""),"")</f>
        <v/>
      </c>
      <c r="BX19" s="62"/>
      <c r="BY19" s="55" t="str">
        <f>IFERROR(VLOOKUP(tblCompPuntosCal[[#This Row],[Punto 10]],tblBD_PatronMasa[[Código Patrón]:[mpe]],4,FALSE),"")</f>
        <v/>
      </c>
      <c r="BZ19" s="55" t="str">
        <f>IFERROR(VLOOKUP(tblCompPuntosCal[[#This Row],[Punto 10]],tblBD_PatronMasa[[Código Patrón]:[mpe]],6,FALSE),"")</f>
        <v/>
      </c>
      <c r="CA19" s="59" t="str">
        <f>IFERROR(VLOOKUP(tblCompPuntosCal[[#This Row],[Punto 10]],tblBD_PatronMasa[[Código Patrón]:[mpe]],7,FALSE),"")</f>
        <v/>
      </c>
      <c r="CB19" s="59" t="str">
        <f>IFERROR(VLOOKUP(tblCompPuntosCal[[#This Row],[Punto 10]],tblBD_PatronMasa[[Código Patrón]:[mpe]],9,FALSE),"")</f>
        <v/>
      </c>
      <c r="CC19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19" s="59" t="str">
        <f>IFERROR(IF('kU(E)'!$E$6&lt;&gt;0,INDEX(deltaMconv,MATCH(tblCompPuntosCal[[#This Row],[mN10]],MnomDeltaT),MATCH('kU(E)'!$E$6,deltaT,-1))/SQRT(3),""),"")</f>
        <v/>
      </c>
      <c r="CG19" s="38">
        <v>15</v>
      </c>
      <c r="CH19" s="35">
        <f>tblCompPuntosCal[[#This Row],[Punto 1]]</f>
        <v>0</v>
      </c>
      <c r="CI19" s="35" t="str">
        <f>IF(tblTrazabilidad[[#This Row],[Código]]=0,"",IFERROR(IF(SEARCH("JM",tblTrazabilidad[[#This Row],[Código]])&gt;0,"Juego de pesas",),"Pesa"))</f>
        <v/>
      </c>
      <c r="CJ19" s="35" t="str">
        <f>IFERROR(VLOOKUP($CH19,tblBD_PatronMasa[[Código Patrón]:[mN-(mpe–U95)]],2,FALSE),"")</f>
        <v/>
      </c>
      <c r="CK19" s="35" t="str">
        <f>IFERROR(VLOOKUP($CH19,tblBD_PatronMasa[[Código Patrón]:[mN-(mpe–U95)]],13,FALSE),"")</f>
        <v/>
      </c>
      <c r="CL19" s="34" t="str">
        <f>IF(tblTrazabilidad[[#This Row],[Clase]]="F2",IFERROR(IF(VLOOKUP($CH19,tblBD_PatronMasa[[Código Patrón]:[mN-(mpe–U95)]],12,FALSE)=0,"",VLOOKUP($CH19,tblBD_PatronMasa[[Código Patrón]:[mN-(mpe–U95)]],12,FALSE)+731),""),IF(tblTrazabilidad[[#This Row],[Clase]]="F1",IFERROR(IF(VLOOKUP($CH19,tblBD_PatronMasa[[Código Patrón]:[mN-(mpe–U95)]],12,FALSE)=0,"",VLOOKUP($CH19,tblBD_PatronMasa[[Código Patrón]:[mN-(mpe–U95)]],12,FALSE)+731),""),IFERROR(IF(VLOOKUP($CH19,tblBD_PatronMasa[[Código Patrón]:[mN-(mpe–U95)]],12,FALSE)=0,"",VLOOKUP($CH19,tblBD_PatronMasa[[Código Patrón]:[mN-(mpe–U95)]],12,FALSE)+366),"")))</f>
        <v/>
      </c>
      <c r="CM19" s="33" t="str">
        <f>IFERROR(VLOOKUP($CH19,tblBD_PatronMasa[[Código Patrón]:[mN-(mpe–U95)]],3,FALSE),"")</f>
        <v/>
      </c>
      <c r="CO19" s="96"/>
      <c r="CP19" s="57" t="str">
        <f>IFERROR(VLOOKUP(CS19,tblTrazabilidad[[Código]:[Próxima calibración]],2,0),"")</f>
        <v/>
      </c>
      <c r="CQ19" s="58" t="str">
        <f>IFERROR(VLOOKUP(CS19,tblTrazabilidad[[Código]:[Clase]],6,0),"")</f>
        <v/>
      </c>
      <c r="CR19" s="57" t="str">
        <f>IFERROR(VLOOKUP(CS19,tblTrazabilidad[[Código]:[Próxima calibración]],3,0),"")</f>
        <v/>
      </c>
      <c r="CS19" s="56" t="str">
        <f t="shared" si="1"/>
        <v/>
      </c>
      <c r="CT19" s="55" t="str">
        <f>IFERROR(IF(VLOOKUP(CS19,tblTrazabilidad[[Código]:[Próxima calibración]],4,0)=0,"",VLOOKUP(CS19,tblTrazabilidad[[Código]:[Próxima calibración]],4,0)),"")</f>
        <v/>
      </c>
      <c r="CU19" s="54" t="str">
        <f>IFERROR(VLOOKUP(CS19,tblTrazabilidad[[Código]:[Próxima calibración]],5,0),"")</f>
        <v/>
      </c>
      <c r="CV19" s="53">
        <f t="shared" si="0"/>
        <v>0</v>
      </c>
      <c r="CW19" s="52" t="str">
        <f>IFERROR(LOOKUP(2,1/(COUNTIF($CW$4:CW18,tblTrazabilidad[Código])=0),tblTrazabilidad[Código]),"")</f>
        <v/>
      </c>
      <c r="DC19" s="1"/>
      <c r="DD19" s="1"/>
      <c r="DF19"/>
      <c r="DG19"/>
    </row>
    <row r="20" spans="2:111" x14ac:dyDescent="0.3">
      <c r="B20" s="4" t="s">
        <v>156</v>
      </c>
      <c r="L20" s="8">
        <v>17</v>
      </c>
      <c r="M20" s="62"/>
      <c r="N20" s="59" t="str">
        <f>IFERROR(VLOOKUP(tblCompPuntosCal[[#This Row],[Punto 1]],tblBD_PatronMasa[[Código Patrón]:[mpe]],4,FALSE),"")</f>
        <v/>
      </c>
      <c r="O20" s="59" t="str">
        <f>IFERROR(VLOOKUP(tblCompPuntosCal[[#This Row],[Punto 1]],tblBD_PatronMasa[[Código Patrón]:[mpe]],6,FALSE),"")</f>
        <v/>
      </c>
      <c r="P20" s="55" t="str">
        <f>IFERROR(VLOOKUP(tblCompPuntosCal[[#This Row],[Punto 1]],tblBD_PatronMasa[[Código Patrón]:[mpe]],7,FALSE),"")</f>
        <v/>
      </c>
      <c r="Q20" s="55" t="str">
        <f>IFERROR(VLOOKUP(tblCompPuntosCal[[#This Row],[Punto 1]],tblBD_PatronMasa[[Código Patrón]:[mpe]],9,FALSE),"")</f>
        <v/>
      </c>
      <c r="R20" s="66" t="str">
        <f>IF(switch="Sí",IFERROR(VLOOKUP(tblCompPuntosCal[[#This Row],[Punto 1]],'kU(E)'!$AB$7:$AK$56,10,FALSE)*1000,""),IFERROR(VLOOKUP(tblCompPuntosCal[[#This Row],[Punto 1]],'kU(E)'!$AB$7:$AK$56*1000,8,FALSE),""))</f>
        <v/>
      </c>
      <c r="S20" s="55" t="str">
        <f>IFERROR(IF('kU(E)'!$E$6&lt;&gt;0,INDEX(deltaMconv,MATCH(tblCompPuntosCal[[#This Row],[mN1]],MnomDeltaT),MATCH('kU(E)'!$E$6,deltaT,-1))/SQRT(3),""),"")</f>
        <v/>
      </c>
      <c r="T20" s="62"/>
      <c r="U20" s="55" t="str">
        <f>IFERROR(VLOOKUP(tblCompPuntosCal[[#This Row],[Punto 2]],tblBD_PatronMasa[[Código Patrón]:[mpe]],4,FALSE),"")</f>
        <v/>
      </c>
      <c r="V20" s="55" t="str">
        <f>IFERROR(VLOOKUP(tblCompPuntosCal[[#This Row],[Punto 2]],tblBD_PatronMasa[[Código Patrón]:[mpe]],6,FALSE),"")</f>
        <v/>
      </c>
      <c r="W20" s="55" t="str">
        <f>IFERROR(VLOOKUP(tblCompPuntosCal[[#This Row],[Punto 2]],tblBD_PatronMasa[[Código Patrón]:[mpe]],7,FALSE),"")</f>
        <v/>
      </c>
      <c r="X20" s="55" t="str">
        <f>IFERROR(VLOOKUP(tblCompPuntosCal[[#This Row],[Punto 2]],tblBD_PatronMasa[[Código Patrón]:[mpe]],9,FALSE),"")</f>
        <v/>
      </c>
      <c r="Y20" s="66" t="str">
        <f>IF(switch="Sí",IFERROR(VLOOKUP(tblCompPuntosCal[[#This Row],[Punto 2]],'kU(E)'!$AB$7:$AK$56,10,FALSE)*1000,""),IFERROR(VLOOKUP(tblCompPuntosCal[[#This Row],[Punto 2]],'kU(E)'!$AB$7:$AK$56*1000,8,FALSE),""))</f>
        <v/>
      </c>
      <c r="Z20" s="55" t="str">
        <f>IFERROR(IF('kU(E)'!$E$6&lt;&gt;0,INDEX(deltaMconv,MATCH(tblCompPuntosCal[[#This Row],[mN2]],MnomDeltaT),MATCH('kU(E)'!$E$6,deltaT,-1))/SQRT(3),""),"")</f>
        <v/>
      </c>
      <c r="AA20" s="62"/>
      <c r="AB20" s="55" t="str">
        <f>IFERROR(VLOOKUP(tblCompPuntosCal[[#This Row],[Punto 3]],tblBD_PatronMasa[[Código Patrón]:[mpe]],4,FALSE),"")</f>
        <v/>
      </c>
      <c r="AC20" s="55" t="str">
        <f>IFERROR(VLOOKUP(tblCompPuntosCal[[#This Row],[Punto 3]],tblBD_PatronMasa[[Código Patrón]:[mpe]],6,FALSE),"")</f>
        <v/>
      </c>
      <c r="AD20" s="67" t="str">
        <f>IFERROR(VLOOKUP(tblCompPuntosCal[[#This Row],[Punto 3]],tblBD_PatronMasa[[Código Patrón]:[mpe]],7,FALSE),"")</f>
        <v/>
      </c>
      <c r="AE20" s="67" t="str">
        <f>IFERROR(VLOOKUP(tblCompPuntosCal[[#This Row],[Punto 3]],tblBD_PatronMasa[[Código Patrón]:[mpe]],9,FALSE),"")</f>
        <v/>
      </c>
      <c r="AF20" s="63" t="str">
        <f>IF(switch="Sí",IFERROR(VLOOKUP(tblCompPuntosCal[[#This Row],[Punto 3]],'kU(E)'!$AB$7:$AK$56,10,FALSE)*1000,""),IFERROR(VLOOKUP(tblCompPuntosCal[[#This Row],[Punto 3]],'kU(E)'!$AB$7:$AK$56*1000,8,FALSE),""))</f>
        <v/>
      </c>
      <c r="AG20" s="67" t="str">
        <f>IFERROR(IF('kU(E)'!$E$6&lt;&gt;0,INDEX(deltaMconv,MATCH(tblCompPuntosCal[[#This Row],[mN3]],MnomDeltaT),MATCH('kU(E)'!$E$6,deltaT,-1))/SQRT(3),""),"")</f>
        <v/>
      </c>
      <c r="AH20" s="62"/>
      <c r="AI20" s="67" t="str">
        <f>IFERROR(VLOOKUP(tblCompPuntosCal[[#This Row],[Punto 4]],tblBD_PatronMasa[[Código Patrón]:[mpe]],4,FALSE),"")</f>
        <v/>
      </c>
      <c r="AJ20" s="55" t="str">
        <f>IFERROR(VLOOKUP(tblCompPuntosCal[[#This Row],[Punto 4]],tblBD_PatronMasa[[Código Patrón]:[mpe]],6,FALSE),"")</f>
        <v/>
      </c>
      <c r="AK20" s="55" t="str">
        <f>IFERROR(VLOOKUP(tblCompPuntosCal[[#This Row],[Punto 4]],tblBD_PatronMasa[[Código Patrón]:[mpe]],7,FALSE),"")</f>
        <v/>
      </c>
      <c r="AL20" s="55" t="str">
        <f>IFERROR(VLOOKUP(tblCompPuntosCal[[#This Row],[Punto 4]],tblBD_PatronMasa[[Código Patrón]:[mpe]],9,FALSE),"")</f>
        <v/>
      </c>
      <c r="AM20" s="66" t="str">
        <f>IF(switch="Sí",IFERROR(VLOOKUP(tblCompPuntosCal[[#This Row],[Punto 4]],'kU(E)'!$AB$7:$AK$56,10,FALSE)*1000,""),IFERROR(VLOOKUP(tblCompPuntosCal[[#This Row],[Punto 4]],'kU(E)'!$AB$7:$AK$56,8,FALSE)*1000,""))</f>
        <v/>
      </c>
      <c r="AN20" s="55" t="str">
        <f>IFERROR(IF('kU(E)'!$E$6&lt;&gt;0,INDEX(deltaMconv,MATCH(tblCompPuntosCal[[#This Row],[mN4]],MnomDeltaT),MATCH('kU(E)'!$E$6,deltaT,-1))/SQRT(3),""),"")</f>
        <v/>
      </c>
      <c r="AO20" s="62"/>
      <c r="AP20" s="55" t="str">
        <f>IFERROR(VLOOKUP(tblCompPuntosCal[[#This Row],[Punto 5]],tblBD_PatronMasa[[Código Patrón]:[mpe]],4,FALSE),"")</f>
        <v/>
      </c>
      <c r="AQ20" s="55" t="str">
        <f>IFERROR(VLOOKUP(tblCompPuntosCal[[#This Row],[Punto 5]],tblBD_PatronMasa[[Código Patrón]:[mpe]],6,FALSE),"")</f>
        <v/>
      </c>
      <c r="AR20" s="55" t="str">
        <f>IFERROR(VLOOKUP(tblCompPuntosCal[[#This Row],[Punto 5]],tblBD_PatronMasa[[Código Patrón]:[mpe]],7,FALSE),"")</f>
        <v/>
      </c>
      <c r="AS20" s="55" t="str">
        <f>IFERROR(VLOOKUP(tblCompPuntosCal[[#This Row],[Punto 5]],tblBD_PatronMasa[[Código Patrón]:[mpe]],9,FALSE),"")</f>
        <v/>
      </c>
      <c r="AT20" s="66" t="str">
        <f>IF(switch="Sí",IFERROR(VLOOKUP(tblCompPuntosCal[[#This Row],[Punto 5]],'kU(E)'!$AB$7:$AK$56,10,FALSE)*1000,""),IFERROR(VLOOKUP(tblCompPuntosCal[[#This Row],[Punto 5]],'kU(E)'!$AB$7:$AK$56,8,FALSE)*1000,""))</f>
        <v/>
      </c>
      <c r="AU20" s="55" t="str">
        <f>IFERROR(IF('kU(E)'!$E$6&lt;&gt;0,INDEX(deltaMconv,MATCH(tblCompPuntosCal[[#This Row],[mN5]],MnomDeltaT),MATCH('kU(E)'!$E$6,deltaT,-1))/SQRT(3),""),"")</f>
        <v/>
      </c>
      <c r="AV20" s="62"/>
      <c r="AW20" s="55" t="str">
        <f>IFERROR(VLOOKUP(tblCompPuntosCal[[#This Row],[Punto 6]],tblBD_PatronMasa[[Código Patrón]:[mpe]],4,FALSE),"")</f>
        <v/>
      </c>
      <c r="AX20" s="55" t="str">
        <f>IFERROR(VLOOKUP(tblCompPuntosCal[[#This Row],[Punto 6]],tblBD_PatronMasa[[Código Patrón]:[mpe]],6,FALSE),"")</f>
        <v/>
      </c>
      <c r="AY20" s="55" t="str">
        <f>IFERROR(VLOOKUP(tblCompPuntosCal[[#This Row],[Punto 6]],tblBD_PatronMasa[[Código Patrón]:[mpe]],7,FALSE),"")</f>
        <v/>
      </c>
      <c r="AZ20" s="55" t="str">
        <f>IFERROR(VLOOKUP(tblCompPuntosCal[[#This Row],[Punto 6]],tblBD_PatronMasa[[Código Patrón]:[mpe]],9,FALSE),"")</f>
        <v/>
      </c>
      <c r="BA20" s="66" t="str">
        <f>IF(switch="Sí",IFERROR(VLOOKUP(tblCompPuntosCal[[#This Row],[Punto 6]],'kU(E)'!$AB$7:$AK$56,10,FALSE)*1000,""),IFERROR(VLOOKUP(tblCompPuntosCal[[#This Row],[Punto 6]],'kU(E)'!$AB$7:$AK$56,8,FALSE)*1000,""))</f>
        <v/>
      </c>
      <c r="BB20" s="55" t="str">
        <f>IFERROR(IF('kU(E)'!$E$6&lt;&gt;0,INDEX(deltaMconv,MATCH(tblCompPuntosCal[[#This Row],[mN6]],MnomDeltaT),MATCH('kU(E)'!$E$6,deltaT,-1))/SQRT(3),""),"")</f>
        <v/>
      </c>
      <c r="BC20" s="62"/>
      <c r="BD20" s="55" t="str">
        <f>IFERROR(VLOOKUP(tblCompPuntosCal[[#This Row],[Punto 7]],tblBD_PatronMasa[[Código Patrón]:[mpe]],4,FALSE),"")</f>
        <v/>
      </c>
      <c r="BE20" s="55" t="str">
        <f>IFERROR(VLOOKUP(tblCompPuntosCal[[#This Row],[Punto 7]],tblBD_PatronMasa[[Código Patrón]:[mpe]],6,FALSE),"")</f>
        <v/>
      </c>
      <c r="BF20" s="55" t="str">
        <f>IFERROR(VLOOKUP(tblCompPuntosCal[[#This Row],[Punto 7]],tblBD_PatronMasa[[Código Patrón]:[mpe]],7,FALSE),"")</f>
        <v/>
      </c>
      <c r="BG20" s="55" t="str">
        <f>IFERROR(VLOOKUP(tblCompPuntosCal[[#This Row],[Punto 7]],tblBD_PatronMasa[[Código Patrón]:[mpe]],9,FALSE),"")</f>
        <v/>
      </c>
      <c r="BH20" s="66" t="str">
        <f>IF(switch="Sí",IFERROR(VLOOKUP(tblCompPuntosCal[[#This Row],[Punto 7]],'kU(E)'!$AB$7:$AK$56,10,FALSE)*1000,""),IFERROR(VLOOKUP(tblCompPuntosCal[[#This Row],[Punto 7]],'kU(E)'!$AB$7:$AK$56,8,FALSE)*1000,""))</f>
        <v/>
      </c>
      <c r="BI20" s="55" t="str">
        <f>IFERROR(IF('kU(E)'!$E$6&lt;&gt;0,INDEX(deltaMconv,MATCH(tblCompPuntosCal[[#This Row],[mN7]],MnomDeltaT),MATCH('kU(E)'!$E$6,deltaT,-1))/SQRT(3),""),"")</f>
        <v/>
      </c>
      <c r="BJ20" s="62"/>
      <c r="BK20" s="55" t="str">
        <f>IFERROR(VLOOKUP(tblCompPuntosCal[[#This Row],[Punto 8]],tblBD_PatronMasa[[Código Patrón]:[mpe]],4,FALSE),"")</f>
        <v/>
      </c>
      <c r="BL20" s="55" t="str">
        <f>IFERROR(VLOOKUP(tblCompPuntosCal[[#This Row],[Punto 8]],tblBD_PatronMasa[[Código Patrón]:[mpe]],6,FALSE),"")</f>
        <v/>
      </c>
      <c r="BM20" s="55" t="str">
        <f>IFERROR(VLOOKUP(tblCompPuntosCal[[#This Row],[Punto 8]],tblBD_PatronMasa[[Código Patrón]:[mpe]],7,FALSE),"")</f>
        <v/>
      </c>
      <c r="BN20" s="55" t="str">
        <f>IFERROR(VLOOKUP(tblCompPuntosCal[[#This Row],[Punto 8]],tblBD_PatronMasa[[Código Patrón]:[mpe]],9,FALSE),"")</f>
        <v/>
      </c>
      <c r="BO20" s="66" t="str">
        <f>IF(switch="Sí",IFERROR(VLOOKUP(tblCompPuntosCal[[#This Row],[Punto 8]],'kU(E)'!$AB$7:$AK$56,10,FALSE)*1000,""),IFERROR(VLOOKUP(tblCompPuntosCal[[#This Row],[Punto 8]],'kU(E)'!$AB$7:$AK$56,8,FALSE)*1000,""))</f>
        <v/>
      </c>
      <c r="BP20" s="55" t="str">
        <f>IFERROR(IF('kU(E)'!$E$6&lt;&gt;0,INDEX(deltaMconv,MATCH(tblCompPuntosCal[[#This Row],[mN8]],MnomDeltaT),MATCH('kU(E)'!$E$6,deltaT,-1))/SQRT(3),""),"")</f>
        <v/>
      </c>
      <c r="BQ20" s="62"/>
      <c r="BR20" s="55" t="str">
        <f>IFERROR(VLOOKUP(tblCompPuntosCal[[#This Row],[Punto 9]],tblBD_PatronMasa[[Código Patrón]:[mpe]],4,FALSE),"")</f>
        <v/>
      </c>
      <c r="BS20" s="55" t="str">
        <f>IFERROR(VLOOKUP(tblCompPuntosCal[[#This Row],[Punto 9]],tblBD_PatronMasa[[Código Patrón]:[mpe]],6,FALSE),"")</f>
        <v/>
      </c>
      <c r="BT20" s="55" t="str">
        <f>IFERROR(VLOOKUP(tblCompPuntosCal[[#This Row],[Punto 9]],tblBD_PatronMasa[[Código Patrón]:[mpe]],7,FALSE),"")</f>
        <v/>
      </c>
      <c r="BU20" s="55" t="str">
        <f>IFERROR(VLOOKUP(tblCompPuntosCal[[#This Row],[Punto 9]],tblBD_PatronMasa[[Código Patrón]:[mpe]],9,FALSE),"")</f>
        <v/>
      </c>
      <c r="BV20" s="66" t="str">
        <f>IF(switch="Sí",IFERROR(VLOOKUP(tblCompPuntosCal[[#This Row],[Punto 9]],'kU(E)'!$AB$7:$AK$56,10,FALSE)*1000,""),IFERROR(VLOOKUP(tblCompPuntosCal[[#This Row],[Punto 9]],'kU(E)'!$AB$7:$AK$56,8,FALSE)*1000,""))</f>
        <v/>
      </c>
      <c r="BW20" s="55" t="str">
        <f>IFERROR(IF('kU(E)'!$E$6&lt;&gt;0,INDEX(deltaMconv,MATCH(tblCompPuntosCal[[#This Row],[mN9]],MnomDeltaT),MATCH('kU(E)'!$E$6,deltaT,-1))/SQRT(3),""),"")</f>
        <v/>
      </c>
      <c r="BX20" s="62"/>
      <c r="BY20" s="55" t="str">
        <f>IFERROR(VLOOKUP(tblCompPuntosCal[[#This Row],[Punto 10]],tblBD_PatronMasa[[Código Patrón]:[mpe]],4,FALSE),"")</f>
        <v/>
      </c>
      <c r="BZ20" s="55" t="str">
        <f>IFERROR(VLOOKUP(tblCompPuntosCal[[#This Row],[Punto 10]],tblBD_PatronMasa[[Código Patrón]:[mpe]],6,FALSE),"")</f>
        <v/>
      </c>
      <c r="CA20" s="59" t="str">
        <f>IFERROR(VLOOKUP(tblCompPuntosCal[[#This Row],[Punto 10]],tblBD_PatronMasa[[Código Patrón]:[mpe]],7,FALSE),"")</f>
        <v/>
      </c>
      <c r="CB20" s="59" t="str">
        <f>IFERROR(VLOOKUP(tblCompPuntosCal[[#This Row],[Punto 10]],tblBD_PatronMasa[[Código Patrón]:[mpe]],9,FALSE),"")</f>
        <v/>
      </c>
      <c r="CC20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20" s="59" t="str">
        <f>IFERROR(IF('kU(E)'!$E$6&lt;&gt;0,INDEX(deltaMconv,MATCH(tblCompPuntosCal[[#This Row],[mN10]],MnomDeltaT),MATCH('kU(E)'!$E$6,deltaT,-1))/SQRT(3),""),"")</f>
        <v/>
      </c>
      <c r="CG20" s="38">
        <v>16</v>
      </c>
      <c r="CH20" s="35">
        <f>tblCompPuntosCal[[#This Row],[Punto 1]]</f>
        <v>0</v>
      </c>
      <c r="CI20" s="35" t="str">
        <f>IF(tblTrazabilidad[[#This Row],[Código]]=0,"",IFERROR(IF(SEARCH("JM",tblTrazabilidad[[#This Row],[Código]])&gt;0,"Juego de pesas",),"Pesa"))</f>
        <v/>
      </c>
      <c r="CJ20" s="35" t="str">
        <f>IFERROR(VLOOKUP($CH20,tblBD_PatronMasa[[Código Patrón]:[mN-(mpe–U95)]],2,FALSE),"")</f>
        <v/>
      </c>
      <c r="CK20" s="35" t="str">
        <f>IFERROR(VLOOKUP($CH20,tblBD_PatronMasa[[Código Patrón]:[mN-(mpe–U95)]],13,FALSE),"")</f>
        <v/>
      </c>
      <c r="CL20" s="34" t="str">
        <f>IF(tblTrazabilidad[[#This Row],[Clase]]="F2",IFERROR(IF(VLOOKUP($CH20,tblBD_PatronMasa[[Código Patrón]:[mN-(mpe–U95)]],12,FALSE)=0,"",VLOOKUP($CH20,tblBD_PatronMasa[[Código Patrón]:[mN-(mpe–U95)]],12,FALSE)+731),""),IF(tblTrazabilidad[[#This Row],[Clase]]="F1",IFERROR(IF(VLOOKUP($CH20,tblBD_PatronMasa[[Código Patrón]:[mN-(mpe–U95)]],12,FALSE)=0,"",VLOOKUP($CH20,tblBD_PatronMasa[[Código Patrón]:[mN-(mpe–U95)]],12,FALSE)+731),""),IFERROR(IF(VLOOKUP($CH20,tblBD_PatronMasa[[Código Patrón]:[mN-(mpe–U95)]],12,FALSE)=0,"",VLOOKUP($CH20,tblBD_PatronMasa[[Código Patrón]:[mN-(mpe–U95)]],12,FALSE)+366),"")))</f>
        <v/>
      </c>
      <c r="CM20" s="33" t="str">
        <f>IFERROR(VLOOKUP($CH20,tblBD_PatronMasa[[Código Patrón]:[mN-(mpe–U95)]],3,FALSE),"")</f>
        <v/>
      </c>
      <c r="CO20" s="95"/>
      <c r="CP20" s="57" t="str">
        <f>IFERROR(VLOOKUP(CS20,tblTrazabilidad[[Código]:[Próxima calibración]],2,0),"")</f>
        <v/>
      </c>
      <c r="CQ20" s="58" t="str">
        <f>IFERROR(VLOOKUP(CS20,tblTrazabilidad[[Código]:[Clase]],6,0),"")</f>
        <v/>
      </c>
      <c r="CR20" s="57" t="str">
        <f>IFERROR(VLOOKUP(CS20,tblTrazabilidad[[Código]:[Próxima calibración]],3,0),"")</f>
        <v/>
      </c>
      <c r="CS20" s="56" t="str">
        <f t="shared" si="1"/>
        <v/>
      </c>
      <c r="CT20" s="55" t="str">
        <f>IFERROR(IF(VLOOKUP(CS20,tblTrazabilidad[[Código]:[Próxima calibración]],4,0)=0,"",VLOOKUP(CS20,tblTrazabilidad[[Código]:[Próxima calibración]],4,0)),"")</f>
        <v/>
      </c>
      <c r="CU20" s="54" t="str">
        <f>IFERROR(VLOOKUP(CS20,tblTrazabilidad[[Código]:[Próxima calibración]],5,0),"")</f>
        <v/>
      </c>
      <c r="CV20" s="53">
        <f t="shared" si="0"/>
        <v>0</v>
      </c>
      <c r="CW20" s="52" t="str">
        <f>IFERROR(LOOKUP(2,1/(COUNTIF($CW$4:CW19,tblTrazabilidad[Código])=0),tblTrazabilidad[Código]),"")</f>
        <v/>
      </c>
      <c r="DC20" s="1"/>
      <c r="DD20" s="1"/>
      <c r="DF20"/>
      <c r="DG20"/>
    </row>
    <row r="21" spans="2:111" x14ac:dyDescent="0.3">
      <c r="L21" s="8">
        <v>18</v>
      </c>
      <c r="M21" s="62"/>
      <c r="N21" s="59" t="str">
        <f>IFERROR(VLOOKUP(tblCompPuntosCal[[#This Row],[Punto 1]],tblBD_PatronMasa[[Código Patrón]:[mpe]],4,FALSE),"")</f>
        <v/>
      </c>
      <c r="O21" s="59" t="str">
        <f>IFERROR(VLOOKUP(tblCompPuntosCal[[#This Row],[Punto 1]],tblBD_PatronMasa[[Código Patrón]:[mpe]],6,FALSE),"")</f>
        <v/>
      </c>
      <c r="P21" s="55" t="str">
        <f>IFERROR(VLOOKUP(tblCompPuntosCal[[#This Row],[Punto 1]],tblBD_PatronMasa[[Código Patrón]:[mpe]],7,FALSE),"")</f>
        <v/>
      </c>
      <c r="Q21" s="55" t="str">
        <f>IFERROR(VLOOKUP(tblCompPuntosCal[[#This Row],[Punto 1]],tblBD_PatronMasa[[Código Patrón]:[mpe]],9,FALSE),"")</f>
        <v/>
      </c>
      <c r="R21" s="66" t="str">
        <f>IF(switch="Sí",IFERROR(VLOOKUP(tblCompPuntosCal[[#This Row],[Punto 1]],'kU(E)'!$AB$7:$AK$56,10,FALSE)*1000,""),IFERROR(VLOOKUP(tblCompPuntosCal[[#This Row],[Punto 1]],'kU(E)'!$AB$7:$AK$56*1000,8,FALSE),""))</f>
        <v/>
      </c>
      <c r="S21" s="55" t="str">
        <f>IFERROR(IF('kU(E)'!$E$6&lt;&gt;0,INDEX(deltaMconv,MATCH(tblCompPuntosCal[[#This Row],[mN1]],MnomDeltaT),MATCH('kU(E)'!$E$6,deltaT,-1))/SQRT(3),""),"")</f>
        <v/>
      </c>
      <c r="T21" s="62"/>
      <c r="U21" s="55" t="str">
        <f>IFERROR(VLOOKUP(tblCompPuntosCal[[#This Row],[Punto 2]],tblBD_PatronMasa[[Código Patrón]:[mpe]],4,FALSE),"")</f>
        <v/>
      </c>
      <c r="V21" s="55" t="str">
        <f>IFERROR(VLOOKUP(tblCompPuntosCal[[#This Row],[Punto 2]],tblBD_PatronMasa[[Código Patrón]:[mpe]],6,FALSE),"")</f>
        <v/>
      </c>
      <c r="W21" s="55" t="str">
        <f>IFERROR(VLOOKUP(tblCompPuntosCal[[#This Row],[Punto 2]],tblBD_PatronMasa[[Código Patrón]:[mpe]],7,FALSE),"")</f>
        <v/>
      </c>
      <c r="X21" s="55" t="str">
        <f>IFERROR(VLOOKUP(tblCompPuntosCal[[#This Row],[Punto 2]],tblBD_PatronMasa[[Código Patrón]:[mpe]],9,FALSE),"")</f>
        <v/>
      </c>
      <c r="Y21" s="66" t="str">
        <f>IF(switch="Sí",IFERROR(VLOOKUP(tblCompPuntosCal[[#This Row],[Punto 2]],'kU(E)'!$AB$7:$AK$56,10,FALSE)*1000,""),IFERROR(VLOOKUP(tblCompPuntosCal[[#This Row],[Punto 2]],'kU(E)'!$AB$7:$AK$56*1000,8,FALSE),""))</f>
        <v/>
      </c>
      <c r="Z21" s="55" t="str">
        <f>IFERROR(IF('kU(E)'!$E$6&lt;&gt;0,INDEX(deltaMconv,MATCH(tblCompPuntosCal[[#This Row],[mN2]],MnomDeltaT),MATCH('kU(E)'!$E$6,deltaT,-1))/SQRT(3),""),"")</f>
        <v/>
      </c>
      <c r="AA21" s="62"/>
      <c r="AB21" s="55" t="str">
        <f>IFERROR(VLOOKUP(tblCompPuntosCal[[#This Row],[Punto 3]],tblBD_PatronMasa[[Código Patrón]:[mpe]],4,FALSE),"")</f>
        <v/>
      </c>
      <c r="AC21" s="55" t="str">
        <f>IFERROR(VLOOKUP(tblCompPuntosCal[[#This Row],[Punto 3]],tblBD_PatronMasa[[Código Patrón]:[mpe]],6,FALSE),"")</f>
        <v/>
      </c>
      <c r="AD21" s="67" t="str">
        <f>IFERROR(VLOOKUP(tblCompPuntosCal[[#This Row],[Punto 3]],tblBD_PatronMasa[[Código Patrón]:[mpe]],7,FALSE),"")</f>
        <v/>
      </c>
      <c r="AE21" s="67" t="str">
        <f>IFERROR(VLOOKUP(tblCompPuntosCal[[#This Row],[Punto 3]],tblBD_PatronMasa[[Código Patrón]:[mpe]],9,FALSE),"")</f>
        <v/>
      </c>
      <c r="AF21" s="63" t="str">
        <f>IF(switch="Sí",IFERROR(VLOOKUP(tblCompPuntosCal[[#This Row],[Punto 3]],'kU(E)'!$AB$7:$AK$56,10,FALSE)*1000,""),IFERROR(VLOOKUP(tblCompPuntosCal[[#This Row],[Punto 3]],'kU(E)'!$AB$7:$AK$56*1000,8,FALSE),""))</f>
        <v/>
      </c>
      <c r="AG21" s="67" t="str">
        <f>IFERROR(IF('kU(E)'!$E$6&lt;&gt;0,INDEX(deltaMconv,MATCH(tblCompPuntosCal[[#This Row],[mN3]],MnomDeltaT),MATCH('kU(E)'!$E$6,deltaT,-1))/SQRT(3),""),"")</f>
        <v/>
      </c>
      <c r="AH21" s="62"/>
      <c r="AI21" s="67" t="str">
        <f>IFERROR(VLOOKUP(tblCompPuntosCal[[#This Row],[Punto 4]],tblBD_PatronMasa[[Código Patrón]:[mpe]],4,FALSE),"")</f>
        <v/>
      </c>
      <c r="AJ21" s="55" t="str">
        <f>IFERROR(VLOOKUP(tblCompPuntosCal[[#This Row],[Punto 4]],tblBD_PatronMasa[[Código Patrón]:[mpe]],6,FALSE),"")</f>
        <v/>
      </c>
      <c r="AK21" s="55" t="str">
        <f>IFERROR(VLOOKUP(tblCompPuntosCal[[#This Row],[Punto 4]],tblBD_PatronMasa[[Código Patrón]:[mpe]],7,FALSE),"")</f>
        <v/>
      </c>
      <c r="AL21" s="55" t="str">
        <f>IFERROR(VLOOKUP(tblCompPuntosCal[[#This Row],[Punto 4]],tblBD_PatronMasa[[Código Patrón]:[mpe]],9,FALSE),"")</f>
        <v/>
      </c>
      <c r="AM21" s="66" t="str">
        <f>IF(switch="Sí",IFERROR(VLOOKUP(tblCompPuntosCal[[#This Row],[Punto 4]],'kU(E)'!$AB$7:$AK$56,10,FALSE)*1000,""),IFERROR(VLOOKUP(tblCompPuntosCal[[#This Row],[Punto 4]],'kU(E)'!$AB$7:$AK$56,8,FALSE)*1000,""))</f>
        <v/>
      </c>
      <c r="AN21" s="55" t="str">
        <f>IFERROR(IF('kU(E)'!$E$6&lt;&gt;0,INDEX(deltaMconv,MATCH(tblCompPuntosCal[[#This Row],[mN4]],MnomDeltaT),MATCH('kU(E)'!$E$6,deltaT,-1))/SQRT(3),""),"")</f>
        <v/>
      </c>
      <c r="AO21" s="62"/>
      <c r="AP21" s="55" t="str">
        <f>IFERROR(VLOOKUP(tblCompPuntosCal[[#This Row],[Punto 5]],tblBD_PatronMasa[[Código Patrón]:[mpe]],4,FALSE),"")</f>
        <v/>
      </c>
      <c r="AQ21" s="55" t="str">
        <f>IFERROR(VLOOKUP(tblCompPuntosCal[[#This Row],[Punto 5]],tblBD_PatronMasa[[Código Patrón]:[mpe]],6,FALSE),"")</f>
        <v/>
      </c>
      <c r="AR21" s="55" t="str">
        <f>IFERROR(VLOOKUP(tblCompPuntosCal[[#This Row],[Punto 5]],tblBD_PatronMasa[[Código Patrón]:[mpe]],7,FALSE),"")</f>
        <v/>
      </c>
      <c r="AS21" s="55" t="str">
        <f>IFERROR(VLOOKUP(tblCompPuntosCal[[#This Row],[Punto 5]],tblBD_PatronMasa[[Código Patrón]:[mpe]],9,FALSE),"")</f>
        <v/>
      </c>
      <c r="AT21" s="66" t="str">
        <f>IF(switch="Sí",IFERROR(VLOOKUP(tblCompPuntosCal[[#This Row],[Punto 5]],'kU(E)'!$AB$7:$AK$56,10,FALSE)*1000,""),IFERROR(VLOOKUP(tblCompPuntosCal[[#This Row],[Punto 5]],'kU(E)'!$AB$7:$AK$56,8,FALSE)*1000,""))</f>
        <v/>
      </c>
      <c r="AU21" s="55" t="str">
        <f>IFERROR(IF('kU(E)'!$E$6&lt;&gt;0,INDEX(deltaMconv,MATCH(tblCompPuntosCal[[#This Row],[mN5]],MnomDeltaT),MATCH('kU(E)'!$E$6,deltaT,-1))/SQRT(3),""),"")</f>
        <v/>
      </c>
      <c r="AV21" s="62"/>
      <c r="AW21" s="55" t="str">
        <f>IFERROR(VLOOKUP(tblCompPuntosCal[[#This Row],[Punto 6]],tblBD_PatronMasa[[Código Patrón]:[mpe]],4,FALSE),"")</f>
        <v/>
      </c>
      <c r="AX21" s="55" t="str">
        <f>IFERROR(VLOOKUP(tblCompPuntosCal[[#This Row],[Punto 6]],tblBD_PatronMasa[[Código Patrón]:[mpe]],6,FALSE),"")</f>
        <v/>
      </c>
      <c r="AY21" s="55" t="str">
        <f>IFERROR(VLOOKUP(tblCompPuntosCal[[#This Row],[Punto 6]],tblBD_PatronMasa[[Código Patrón]:[mpe]],7,FALSE),"")</f>
        <v/>
      </c>
      <c r="AZ21" s="55" t="str">
        <f>IFERROR(VLOOKUP(tblCompPuntosCal[[#This Row],[Punto 6]],tblBD_PatronMasa[[Código Patrón]:[mpe]],9,FALSE),"")</f>
        <v/>
      </c>
      <c r="BA21" s="66" t="str">
        <f>IF(switch="Sí",IFERROR(VLOOKUP(tblCompPuntosCal[[#This Row],[Punto 6]],'kU(E)'!$AB$7:$AK$56,10,FALSE)*1000,""),IFERROR(VLOOKUP(tblCompPuntosCal[[#This Row],[Punto 6]],'kU(E)'!$AB$7:$AK$56,8,FALSE)*1000,""))</f>
        <v/>
      </c>
      <c r="BB21" s="55" t="str">
        <f>IFERROR(IF('kU(E)'!$E$6&lt;&gt;0,INDEX(deltaMconv,MATCH(tblCompPuntosCal[[#This Row],[mN6]],MnomDeltaT),MATCH('kU(E)'!$E$6,deltaT,-1))/SQRT(3),""),"")</f>
        <v/>
      </c>
      <c r="BC21" s="62"/>
      <c r="BD21" s="55" t="str">
        <f>IFERROR(VLOOKUP(tblCompPuntosCal[[#This Row],[Punto 7]],tblBD_PatronMasa[[Código Patrón]:[mpe]],4,FALSE),"")</f>
        <v/>
      </c>
      <c r="BE21" s="55" t="str">
        <f>IFERROR(VLOOKUP(tblCompPuntosCal[[#This Row],[Punto 7]],tblBD_PatronMasa[[Código Patrón]:[mpe]],6,FALSE),"")</f>
        <v/>
      </c>
      <c r="BF21" s="55" t="str">
        <f>IFERROR(VLOOKUP(tblCompPuntosCal[[#This Row],[Punto 7]],tblBD_PatronMasa[[Código Patrón]:[mpe]],7,FALSE),"")</f>
        <v/>
      </c>
      <c r="BG21" s="55" t="str">
        <f>IFERROR(VLOOKUP(tblCompPuntosCal[[#This Row],[Punto 7]],tblBD_PatronMasa[[Código Patrón]:[mpe]],9,FALSE),"")</f>
        <v/>
      </c>
      <c r="BH21" s="66" t="str">
        <f>IF(switch="Sí",IFERROR(VLOOKUP(tblCompPuntosCal[[#This Row],[Punto 7]],'kU(E)'!$AB$7:$AK$56,10,FALSE)*1000,""),IFERROR(VLOOKUP(tblCompPuntosCal[[#This Row],[Punto 7]],'kU(E)'!$AB$7:$AK$56,8,FALSE)*1000,""))</f>
        <v/>
      </c>
      <c r="BI21" s="55" t="str">
        <f>IFERROR(IF('kU(E)'!$E$6&lt;&gt;0,INDEX(deltaMconv,MATCH(tblCompPuntosCal[[#This Row],[mN7]],MnomDeltaT),MATCH('kU(E)'!$E$6,deltaT,-1))/SQRT(3),""),"")</f>
        <v/>
      </c>
      <c r="BJ21" s="62"/>
      <c r="BK21" s="55" t="str">
        <f>IFERROR(VLOOKUP(tblCompPuntosCal[[#This Row],[Punto 8]],tblBD_PatronMasa[[Código Patrón]:[mpe]],4,FALSE),"")</f>
        <v/>
      </c>
      <c r="BL21" s="55" t="str">
        <f>IFERROR(VLOOKUP(tblCompPuntosCal[[#This Row],[Punto 8]],tblBD_PatronMasa[[Código Patrón]:[mpe]],6,FALSE),"")</f>
        <v/>
      </c>
      <c r="BM21" s="55" t="str">
        <f>IFERROR(VLOOKUP(tblCompPuntosCal[[#This Row],[Punto 8]],tblBD_PatronMasa[[Código Patrón]:[mpe]],7,FALSE),"")</f>
        <v/>
      </c>
      <c r="BN21" s="55" t="str">
        <f>IFERROR(VLOOKUP(tblCompPuntosCal[[#This Row],[Punto 8]],tblBD_PatronMasa[[Código Patrón]:[mpe]],9,FALSE),"")</f>
        <v/>
      </c>
      <c r="BO21" s="66" t="str">
        <f>IF(switch="Sí",IFERROR(VLOOKUP(tblCompPuntosCal[[#This Row],[Punto 8]],'kU(E)'!$AB$7:$AK$56,10,FALSE)*1000,""),IFERROR(VLOOKUP(tblCompPuntosCal[[#This Row],[Punto 8]],'kU(E)'!$AB$7:$AK$56,8,FALSE)*1000,""))</f>
        <v/>
      </c>
      <c r="BP21" s="55" t="str">
        <f>IFERROR(IF('kU(E)'!$E$6&lt;&gt;0,INDEX(deltaMconv,MATCH(tblCompPuntosCal[[#This Row],[mN8]],MnomDeltaT),MATCH('kU(E)'!$E$6,deltaT,-1))/SQRT(3),""),"")</f>
        <v/>
      </c>
      <c r="BQ21" s="62"/>
      <c r="BR21" s="55" t="str">
        <f>IFERROR(VLOOKUP(tblCompPuntosCal[[#This Row],[Punto 9]],tblBD_PatronMasa[[Código Patrón]:[mpe]],4,FALSE),"")</f>
        <v/>
      </c>
      <c r="BS21" s="55" t="str">
        <f>IFERROR(VLOOKUP(tblCompPuntosCal[[#This Row],[Punto 9]],tblBD_PatronMasa[[Código Patrón]:[mpe]],6,FALSE),"")</f>
        <v/>
      </c>
      <c r="BT21" s="55" t="str">
        <f>IFERROR(VLOOKUP(tblCompPuntosCal[[#This Row],[Punto 9]],tblBD_PatronMasa[[Código Patrón]:[mpe]],7,FALSE),"")</f>
        <v/>
      </c>
      <c r="BU21" s="55" t="str">
        <f>IFERROR(VLOOKUP(tblCompPuntosCal[[#This Row],[Punto 9]],tblBD_PatronMasa[[Código Patrón]:[mpe]],9,FALSE),"")</f>
        <v/>
      </c>
      <c r="BV21" s="66" t="str">
        <f>IF(switch="Sí",IFERROR(VLOOKUP(tblCompPuntosCal[[#This Row],[Punto 9]],'kU(E)'!$AB$7:$AK$56,10,FALSE)*1000,""),IFERROR(VLOOKUP(tblCompPuntosCal[[#This Row],[Punto 9]],'kU(E)'!$AB$7:$AK$56,8,FALSE)*1000,""))</f>
        <v/>
      </c>
      <c r="BW21" s="55" t="str">
        <f>IFERROR(IF('kU(E)'!$E$6&lt;&gt;0,INDEX(deltaMconv,MATCH(tblCompPuntosCal[[#This Row],[mN9]],MnomDeltaT),MATCH('kU(E)'!$E$6,deltaT,-1))/SQRT(3),""),"")</f>
        <v/>
      </c>
      <c r="BX21" s="62"/>
      <c r="BY21" s="55" t="str">
        <f>IFERROR(VLOOKUP(tblCompPuntosCal[[#This Row],[Punto 10]],tblBD_PatronMasa[[Código Patrón]:[mpe]],4,FALSE),"")</f>
        <v/>
      </c>
      <c r="BZ21" s="55" t="str">
        <f>IFERROR(VLOOKUP(tblCompPuntosCal[[#This Row],[Punto 10]],tblBD_PatronMasa[[Código Patrón]:[mpe]],6,FALSE),"")</f>
        <v/>
      </c>
      <c r="CA21" s="59" t="str">
        <f>IFERROR(VLOOKUP(tblCompPuntosCal[[#This Row],[Punto 10]],tblBD_PatronMasa[[Código Patrón]:[mpe]],7,FALSE),"")</f>
        <v/>
      </c>
      <c r="CB21" s="59" t="str">
        <f>IFERROR(VLOOKUP(tblCompPuntosCal[[#This Row],[Punto 10]],tblBD_PatronMasa[[Código Patrón]:[mpe]],9,FALSE),"")</f>
        <v/>
      </c>
      <c r="CC21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21" s="59" t="str">
        <f>IFERROR(IF('kU(E)'!$E$6&lt;&gt;0,INDEX(deltaMconv,MATCH(tblCompPuntosCal[[#This Row],[mN10]],MnomDeltaT),MATCH('kU(E)'!$E$6,deltaT,-1))/SQRT(3),""),"")</f>
        <v/>
      </c>
      <c r="CG21" s="38">
        <v>17</v>
      </c>
      <c r="CH21" s="35">
        <f>tblCompPuntosCal[[#This Row],[Punto 1]]</f>
        <v>0</v>
      </c>
      <c r="CI21" s="35" t="str">
        <f>IF(tblTrazabilidad[[#This Row],[Código]]=0,"",IFERROR(IF(SEARCH("JM",tblTrazabilidad[[#This Row],[Código]])&gt;0,"Juego de pesas",),"Pesa"))</f>
        <v/>
      </c>
      <c r="CJ21" s="35" t="str">
        <f>IFERROR(VLOOKUP($CH21,tblBD_PatronMasa[[Código Patrón]:[mN-(mpe–U95)]],2,FALSE),"")</f>
        <v/>
      </c>
      <c r="CK21" s="35" t="str">
        <f>IFERROR(VLOOKUP($CH21,tblBD_PatronMasa[[Código Patrón]:[mN-(mpe–U95)]],13,FALSE),"")</f>
        <v/>
      </c>
      <c r="CL21" s="34" t="str">
        <f>IF(tblTrazabilidad[[#This Row],[Clase]]="F2",IFERROR(IF(VLOOKUP($CH21,tblBD_PatronMasa[[Código Patrón]:[mN-(mpe–U95)]],12,FALSE)=0,"",VLOOKUP($CH21,tblBD_PatronMasa[[Código Patrón]:[mN-(mpe–U95)]],12,FALSE)+731),""),IF(tblTrazabilidad[[#This Row],[Clase]]="F1",IFERROR(IF(VLOOKUP($CH21,tblBD_PatronMasa[[Código Patrón]:[mN-(mpe–U95)]],12,FALSE)=0,"",VLOOKUP($CH21,tblBD_PatronMasa[[Código Patrón]:[mN-(mpe–U95)]],12,FALSE)+731),""),IFERROR(IF(VLOOKUP($CH21,tblBD_PatronMasa[[Código Patrón]:[mN-(mpe–U95)]],12,FALSE)=0,"",VLOOKUP($CH21,tblBD_PatronMasa[[Código Patrón]:[mN-(mpe–U95)]],12,FALSE)+366),"")))</f>
        <v/>
      </c>
      <c r="CM21" s="33" t="str">
        <f>IFERROR(VLOOKUP($CH21,tblBD_PatronMasa[[Código Patrón]:[mN-(mpe–U95)]],3,FALSE),"")</f>
        <v/>
      </c>
      <c r="CO21" s="94"/>
      <c r="CP21" s="57" t="str">
        <f>IFERROR(VLOOKUP(CS21,tblTrazabilidad[[Código]:[Próxima calibración]],2,0),"")</f>
        <v/>
      </c>
      <c r="CQ21" s="58" t="str">
        <f>IFERROR(VLOOKUP(CS21,tblTrazabilidad[[Código]:[Clase]],6,0),"")</f>
        <v/>
      </c>
      <c r="CR21" s="57" t="str">
        <f>IFERROR(VLOOKUP(CS21,tblTrazabilidad[[Código]:[Próxima calibración]],3,0),"")</f>
        <v/>
      </c>
      <c r="CS21" s="56" t="str">
        <f t="shared" si="1"/>
        <v/>
      </c>
      <c r="CT21" s="55" t="str">
        <f>IFERROR(IF(VLOOKUP(CS21,tblTrazabilidad[[Código]:[Próxima calibración]],4,0)=0,"",VLOOKUP(CS21,tblTrazabilidad[[Código]:[Próxima calibración]],4,0)),"")</f>
        <v/>
      </c>
      <c r="CU21" s="54" t="str">
        <f>IFERROR(VLOOKUP(CS21,tblTrazabilidad[[Código]:[Próxima calibración]],5,0),"")</f>
        <v/>
      </c>
      <c r="CV21" s="53">
        <f t="shared" si="0"/>
        <v>0</v>
      </c>
      <c r="CW21" s="52" t="str">
        <f>IFERROR(LOOKUP(2,1/(COUNTIF($CW$4:CW20,tblTrazabilidad[Código])=0),tblTrazabilidad[Código]),"")</f>
        <v/>
      </c>
      <c r="DC21" s="1"/>
      <c r="DD21" s="1"/>
      <c r="DF21"/>
      <c r="DG21"/>
    </row>
    <row r="22" spans="2:111" ht="44.4" x14ac:dyDescent="0.3">
      <c r="B22" s="75" t="s">
        <v>146</v>
      </c>
      <c r="C22" s="75" t="s">
        <v>155</v>
      </c>
      <c r="D22" s="75" t="s">
        <v>145</v>
      </c>
      <c r="E22" s="75" t="s">
        <v>144</v>
      </c>
      <c r="F22" s="75" t="s">
        <v>152</v>
      </c>
      <c r="G22" s="75" t="s">
        <v>154</v>
      </c>
      <c r="L22" s="8">
        <v>19</v>
      </c>
      <c r="M22" s="62"/>
      <c r="N22" s="59" t="str">
        <f>IFERROR(VLOOKUP(tblCompPuntosCal[[#This Row],[Punto 1]],tblBD_PatronMasa[[Código Patrón]:[mpe]],4,FALSE),"")</f>
        <v/>
      </c>
      <c r="O22" s="59" t="str">
        <f>IFERROR(VLOOKUP(tblCompPuntosCal[[#This Row],[Punto 1]],tblBD_PatronMasa[[Código Patrón]:[mpe]],6,FALSE),"")</f>
        <v/>
      </c>
      <c r="P22" s="55" t="str">
        <f>IFERROR(VLOOKUP(tblCompPuntosCal[[#This Row],[Punto 1]],tblBD_PatronMasa[[Código Patrón]:[mpe]],7,FALSE),"")</f>
        <v/>
      </c>
      <c r="Q22" s="55" t="str">
        <f>IFERROR(VLOOKUP(tblCompPuntosCal[[#This Row],[Punto 1]],tblBD_PatronMasa[[Código Patrón]:[mpe]],9,FALSE),"")</f>
        <v/>
      </c>
      <c r="R22" s="66" t="str">
        <f>IF(switch="Sí",IFERROR(VLOOKUP(tblCompPuntosCal[[#This Row],[Punto 1]],'kU(E)'!$AB$7:$AK$56,10,FALSE)*1000,""),IFERROR(VLOOKUP(tblCompPuntosCal[[#This Row],[Punto 1]],'kU(E)'!$AB$7:$AK$56*1000,8,FALSE),""))</f>
        <v/>
      </c>
      <c r="S22" s="55" t="str">
        <f>IFERROR(IF('kU(E)'!$E$6&lt;&gt;0,INDEX(deltaMconv,MATCH(tblCompPuntosCal[[#This Row],[mN1]],MnomDeltaT),MATCH('kU(E)'!$E$6,deltaT,-1))/SQRT(3),""),"")</f>
        <v/>
      </c>
      <c r="T22" s="62"/>
      <c r="U22" s="55" t="str">
        <f>IFERROR(VLOOKUP(tblCompPuntosCal[[#This Row],[Punto 2]],tblBD_PatronMasa[[Código Patrón]:[mpe]],4,FALSE),"")</f>
        <v/>
      </c>
      <c r="V22" s="55" t="str">
        <f>IFERROR(VLOOKUP(tblCompPuntosCal[[#This Row],[Punto 2]],tblBD_PatronMasa[[Código Patrón]:[mpe]],6,FALSE),"")</f>
        <v/>
      </c>
      <c r="W22" s="55" t="str">
        <f>IFERROR(VLOOKUP(tblCompPuntosCal[[#This Row],[Punto 2]],tblBD_PatronMasa[[Código Patrón]:[mpe]],7,FALSE),"")</f>
        <v/>
      </c>
      <c r="X22" s="55" t="str">
        <f>IFERROR(VLOOKUP(tblCompPuntosCal[[#This Row],[Punto 2]],tblBD_PatronMasa[[Código Patrón]:[mpe]],9,FALSE),"")</f>
        <v/>
      </c>
      <c r="Y22" s="66" t="str">
        <f>IF(switch="Sí",IFERROR(VLOOKUP(tblCompPuntosCal[[#This Row],[Punto 2]],'kU(E)'!$AB$7:$AK$56,10,FALSE)*1000,""),IFERROR(VLOOKUP(tblCompPuntosCal[[#This Row],[Punto 2]],'kU(E)'!$AB$7:$AK$56*1000,8,FALSE),""))</f>
        <v/>
      </c>
      <c r="Z22" s="55" t="str">
        <f>IFERROR(IF('kU(E)'!$E$6&lt;&gt;0,INDEX(deltaMconv,MATCH(tblCompPuntosCal[[#This Row],[mN2]],MnomDeltaT),MATCH('kU(E)'!$E$6,deltaT,-1))/SQRT(3),""),"")</f>
        <v/>
      </c>
      <c r="AA22" s="62"/>
      <c r="AB22" s="55" t="str">
        <f>IFERROR(VLOOKUP(tblCompPuntosCal[[#This Row],[Punto 3]],tblBD_PatronMasa[[Código Patrón]:[mpe]],4,FALSE),"")</f>
        <v/>
      </c>
      <c r="AC22" s="55" t="str">
        <f>IFERROR(VLOOKUP(tblCompPuntosCal[[#This Row],[Punto 3]],tblBD_PatronMasa[[Código Patrón]:[mpe]],6,FALSE),"")</f>
        <v/>
      </c>
      <c r="AD22" s="67" t="str">
        <f>IFERROR(VLOOKUP(tblCompPuntosCal[[#This Row],[Punto 3]],tblBD_PatronMasa[[Código Patrón]:[mpe]],7,FALSE),"")</f>
        <v/>
      </c>
      <c r="AE22" s="67" t="str">
        <f>IFERROR(VLOOKUP(tblCompPuntosCal[[#This Row],[Punto 3]],tblBD_PatronMasa[[Código Patrón]:[mpe]],9,FALSE),"")</f>
        <v/>
      </c>
      <c r="AF22" s="63" t="str">
        <f>IF(switch="Sí",IFERROR(VLOOKUP(tblCompPuntosCal[[#This Row],[Punto 3]],'kU(E)'!$AB$7:$AK$56,10,FALSE)*1000,""),IFERROR(VLOOKUP(tblCompPuntosCal[[#This Row],[Punto 3]],'kU(E)'!$AB$7:$AK$56*1000,8,FALSE),""))</f>
        <v/>
      </c>
      <c r="AG22" s="67" t="str">
        <f>IFERROR(IF('kU(E)'!$E$6&lt;&gt;0,INDEX(deltaMconv,MATCH(tblCompPuntosCal[[#This Row],[mN3]],MnomDeltaT),MATCH('kU(E)'!$E$6,deltaT,-1))/SQRT(3),""),"")</f>
        <v/>
      </c>
      <c r="AH22" s="62"/>
      <c r="AI22" s="67" t="str">
        <f>IFERROR(VLOOKUP(tblCompPuntosCal[[#This Row],[Punto 4]],tblBD_PatronMasa[[Código Patrón]:[mpe]],4,FALSE),"")</f>
        <v/>
      </c>
      <c r="AJ22" s="55" t="str">
        <f>IFERROR(VLOOKUP(tblCompPuntosCal[[#This Row],[Punto 4]],tblBD_PatronMasa[[Código Patrón]:[mpe]],6,FALSE),"")</f>
        <v/>
      </c>
      <c r="AK22" s="55" t="str">
        <f>IFERROR(VLOOKUP(tblCompPuntosCal[[#This Row],[Punto 4]],tblBD_PatronMasa[[Código Patrón]:[mpe]],7,FALSE),"")</f>
        <v/>
      </c>
      <c r="AL22" s="55" t="str">
        <f>IFERROR(VLOOKUP(tblCompPuntosCal[[#This Row],[Punto 4]],tblBD_PatronMasa[[Código Patrón]:[mpe]],9,FALSE),"")</f>
        <v/>
      </c>
      <c r="AM22" s="66" t="str">
        <f>IF(switch="Sí",IFERROR(VLOOKUP(tblCompPuntosCal[[#This Row],[Punto 4]],'kU(E)'!$AB$7:$AK$56,10,FALSE)*1000,""),IFERROR(VLOOKUP(tblCompPuntosCal[[#This Row],[Punto 4]],'kU(E)'!$AB$7:$AK$56,8,FALSE)*1000,""))</f>
        <v/>
      </c>
      <c r="AN22" s="55" t="str">
        <f>IFERROR(IF('kU(E)'!$E$6&lt;&gt;0,INDEX(deltaMconv,MATCH(tblCompPuntosCal[[#This Row],[mN4]],MnomDeltaT),MATCH('kU(E)'!$E$6,deltaT,-1))/SQRT(3),""),"")</f>
        <v/>
      </c>
      <c r="AO22" s="62"/>
      <c r="AP22" s="55" t="str">
        <f>IFERROR(VLOOKUP(tblCompPuntosCal[[#This Row],[Punto 5]],tblBD_PatronMasa[[Código Patrón]:[mpe]],4,FALSE),"")</f>
        <v/>
      </c>
      <c r="AQ22" s="55" t="str">
        <f>IFERROR(VLOOKUP(tblCompPuntosCal[[#This Row],[Punto 5]],tblBD_PatronMasa[[Código Patrón]:[mpe]],6,FALSE),"")</f>
        <v/>
      </c>
      <c r="AR22" s="55" t="str">
        <f>IFERROR(VLOOKUP(tblCompPuntosCal[[#This Row],[Punto 5]],tblBD_PatronMasa[[Código Patrón]:[mpe]],7,FALSE),"")</f>
        <v/>
      </c>
      <c r="AS22" s="55" t="str">
        <f>IFERROR(VLOOKUP(tblCompPuntosCal[[#This Row],[Punto 5]],tblBD_PatronMasa[[Código Patrón]:[mpe]],9,FALSE),"")</f>
        <v/>
      </c>
      <c r="AT22" s="66" t="str">
        <f>IF(switch="Sí",IFERROR(VLOOKUP(tblCompPuntosCal[[#This Row],[Punto 5]],'kU(E)'!$AB$7:$AK$56,10,FALSE)*1000,""),IFERROR(VLOOKUP(tblCompPuntosCal[[#This Row],[Punto 5]],'kU(E)'!$AB$7:$AK$56,8,FALSE)*1000,""))</f>
        <v/>
      </c>
      <c r="AU22" s="55" t="str">
        <f>IFERROR(IF('kU(E)'!$E$6&lt;&gt;0,INDEX(deltaMconv,MATCH(tblCompPuntosCal[[#This Row],[mN5]],MnomDeltaT),MATCH('kU(E)'!$E$6,deltaT,-1))/SQRT(3),""),"")</f>
        <v/>
      </c>
      <c r="AV22" s="62"/>
      <c r="AW22" s="55" t="str">
        <f>IFERROR(VLOOKUP(tblCompPuntosCal[[#This Row],[Punto 6]],tblBD_PatronMasa[[Código Patrón]:[mpe]],4,FALSE),"")</f>
        <v/>
      </c>
      <c r="AX22" s="55" t="str">
        <f>IFERROR(VLOOKUP(tblCompPuntosCal[[#This Row],[Punto 6]],tblBD_PatronMasa[[Código Patrón]:[mpe]],6,FALSE),"")</f>
        <v/>
      </c>
      <c r="AY22" s="55" t="str">
        <f>IFERROR(VLOOKUP(tblCompPuntosCal[[#This Row],[Punto 6]],tblBD_PatronMasa[[Código Patrón]:[mpe]],7,FALSE),"")</f>
        <v/>
      </c>
      <c r="AZ22" s="55" t="str">
        <f>IFERROR(VLOOKUP(tblCompPuntosCal[[#This Row],[Punto 6]],tblBD_PatronMasa[[Código Patrón]:[mpe]],9,FALSE),"")</f>
        <v/>
      </c>
      <c r="BA22" s="66" t="str">
        <f>IF(switch="Sí",IFERROR(VLOOKUP(tblCompPuntosCal[[#This Row],[Punto 6]],'kU(E)'!$AB$7:$AK$56,10,FALSE)*1000,""),IFERROR(VLOOKUP(tblCompPuntosCal[[#This Row],[Punto 6]],'kU(E)'!$AB$7:$AK$56,8,FALSE)*1000,""))</f>
        <v/>
      </c>
      <c r="BB22" s="55" t="str">
        <f>IFERROR(IF('kU(E)'!$E$6&lt;&gt;0,INDEX(deltaMconv,MATCH(tblCompPuntosCal[[#This Row],[mN6]],MnomDeltaT),MATCH('kU(E)'!$E$6,deltaT,-1))/SQRT(3),""),"")</f>
        <v/>
      </c>
      <c r="BC22" s="62"/>
      <c r="BD22" s="55" t="str">
        <f>IFERROR(VLOOKUP(tblCompPuntosCal[[#This Row],[Punto 7]],tblBD_PatronMasa[[Código Patrón]:[mpe]],4,FALSE),"")</f>
        <v/>
      </c>
      <c r="BE22" s="55" t="str">
        <f>IFERROR(VLOOKUP(tblCompPuntosCal[[#This Row],[Punto 7]],tblBD_PatronMasa[[Código Patrón]:[mpe]],6,FALSE),"")</f>
        <v/>
      </c>
      <c r="BF22" s="55" t="str">
        <f>IFERROR(VLOOKUP(tblCompPuntosCal[[#This Row],[Punto 7]],tblBD_PatronMasa[[Código Patrón]:[mpe]],7,FALSE),"")</f>
        <v/>
      </c>
      <c r="BG22" s="55" t="str">
        <f>IFERROR(VLOOKUP(tblCompPuntosCal[[#This Row],[Punto 7]],tblBD_PatronMasa[[Código Patrón]:[mpe]],9,FALSE),"")</f>
        <v/>
      </c>
      <c r="BH22" s="66" t="str">
        <f>IF(switch="Sí",IFERROR(VLOOKUP(tblCompPuntosCal[[#This Row],[Punto 7]],'kU(E)'!$AB$7:$AK$56,10,FALSE)*1000,""),IFERROR(VLOOKUP(tblCompPuntosCal[[#This Row],[Punto 7]],'kU(E)'!$AB$7:$AK$56,8,FALSE)*1000,""))</f>
        <v/>
      </c>
      <c r="BI22" s="55" t="str">
        <f>IFERROR(IF('kU(E)'!$E$6&lt;&gt;0,INDEX(deltaMconv,MATCH(tblCompPuntosCal[[#This Row],[mN7]],MnomDeltaT),MATCH('kU(E)'!$E$6,deltaT,-1))/SQRT(3),""),"")</f>
        <v/>
      </c>
      <c r="BJ22" s="62"/>
      <c r="BK22" s="55" t="str">
        <f>IFERROR(VLOOKUP(tblCompPuntosCal[[#This Row],[Punto 8]],tblBD_PatronMasa[[Código Patrón]:[mpe]],4,FALSE),"")</f>
        <v/>
      </c>
      <c r="BL22" s="55" t="str">
        <f>IFERROR(VLOOKUP(tblCompPuntosCal[[#This Row],[Punto 8]],tblBD_PatronMasa[[Código Patrón]:[mpe]],6,FALSE),"")</f>
        <v/>
      </c>
      <c r="BM22" s="55" t="str">
        <f>IFERROR(VLOOKUP(tblCompPuntosCal[[#This Row],[Punto 8]],tblBD_PatronMasa[[Código Patrón]:[mpe]],7,FALSE),"")</f>
        <v/>
      </c>
      <c r="BN22" s="55" t="str">
        <f>IFERROR(VLOOKUP(tblCompPuntosCal[[#This Row],[Punto 8]],tblBD_PatronMasa[[Código Patrón]:[mpe]],9,FALSE),"")</f>
        <v/>
      </c>
      <c r="BO22" s="66" t="str">
        <f>IF(switch="Sí",IFERROR(VLOOKUP(tblCompPuntosCal[[#This Row],[Punto 8]],'kU(E)'!$AB$7:$AK$56,10,FALSE)*1000,""),IFERROR(VLOOKUP(tblCompPuntosCal[[#This Row],[Punto 8]],'kU(E)'!$AB$7:$AK$56,8,FALSE)*1000,""))</f>
        <v/>
      </c>
      <c r="BP22" s="55" t="str">
        <f>IFERROR(IF('kU(E)'!$E$6&lt;&gt;0,INDEX(deltaMconv,MATCH(tblCompPuntosCal[[#This Row],[mN8]],MnomDeltaT),MATCH('kU(E)'!$E$6,deltaT,-1))/SQRT(3),""),"")</f>
        <v/>
      </c>
      <c r="BQ22" s="62"/>
      <c r="BR22" s="55" t="str">
        <f>IFERROR(VLOOKUP(tblCompPuntosCal[[#This Row],[Punto 9]],tblBD_PatronMasa[[Código Patrón]:[mpe]],4,FALSE),"")</f>
        <v/>
      </c>
      <c r="BS22" s="55" t="str">
        <f>IFERROR(VLOOKUP(tblCompPuntosCal[[#This Row],[Punto 9]],tblBD_PatronMasa[[Código Patrón]:[mpe]],6,FALSE),"")</f>
        <v/>
      </c>
      <c r="BT22" s="55" t="str">
        <f>IFERROR(VLOOKUP(tblCompPuntosCal[[#This Row],[Punto 9]],tblBD_PatronMasa[[Código Patrón]:[mpe]],7,FALSE),"")</f>
        <v/>
      </c>
      <c r="BU22" s="55" t="str">
        <f>IFERROR(VLOOKUP(tblCompPuntosCal[[#This Row],[Punto 9]],tblBD_PatronMasa[[Código Patrón]:[mpe]],9,FALSE),"")</f>
        <v/>
      </c>
      <c r="BV22" s="66" t="str">
        <f>IF(switch="Sí",IFERROR(VLOOKUP(tblCompPuntosCal[[#This Row],[Punto 9]],'kU(E)'!$AB$7:$AK$56,10,FALSE)*1000,""),IFERROR(VLOOKUP(tblCompPuntosCal[[#This Row],[Punto 9]],'kU(E)'!$AB$7:$AK$56,8,FALSE)*1000,""))</f>
        <v/>
      </c>
      <c r="BW22" s="55" t="str">
        <f>IFERROR(IF('kU(E)'!$E$6&lt;&gt;0,INDEX(deltaMconv,MATCH(tblCompPuntosCal[[#This Row],[mN9]],MnomDeltaT),MATCH('kU(E)'!$E$6,deltaT,-1))/SQRT(3),""),"")</f>
        <v/>
      </c>
      <c r="BX22" s="62"/>
      <c r="BY22" s="55" t="str">
        <f>IFERROR(VLOOKUP(tblCompPuntosCal[[#This Row],[Punto 10]],tblBD_PatronMasa[[Código Patrón]:[mpe]],4,FALSE),"")</f>
        <v/>
      </c>
      <c r="BZ22" s="55" t="str">
        <f>IFERROR(VLOOKUP(tblCompPuntosCal[[#This Row],[Punto 10]],tblBD_PatronMasa[[Código Patrón]:[mpe]],6,FALSE),"")</f>
        <v/>
      </c>
      <c r="CA22" s="59" t="str">
        <f>IFERROR(VLOOKUP(tblCompPuntosCal[[#This Row],[Punto 10]],tblBD_PatronMasa[[Código Patrón]:[mpe]],7,FALSE),"")</f>
        <v/>
      </c>
      <c r="CB22" s="59" t="str">
        <f>IFERROR(VLOOKUP(tblCompPuntosCal[[#This Row],[Punto 10]],tblBD_PatronMasa[[Código Patrón]:[mpe]],9,FALSE),"")</f>
        <v/>
      </c>
      <c r="CC22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22" s="59" t="str">
        <f>IFERROR(IF('kU(E)'!$E$6&lt;&gt;0,INDEX(deltaMconv,MATCH(tblCompPuntosCal[[#This Row],[mN10]],MnomDeltaT),MATCH('kU(E)'!$E$6,deltaT,-1))/SQRT(3),""),"")</f>
        <v/>
      </c>
      <c r="CG22" s="38">
        <v>18</v>
      </c>
      <c r="CH22" s="35">
        <f>tblCompPuntosCal[[#This Row],[Punto 1]]</f>
        <v>0</v>
      </c>
      <c r="CI22" s="35" t="str">
        <f>IF(tblTrazabilidad[[#This Row],[Código]]=0,"",IFERROR(IF(SEARCH("JM",tblTrazabilidad[[#This Row],[Código]])&gt;0,"Juego de pesas",),"Pesa"))</f>
        <v/>
      </c>
      <c r="CJ22" s="35" t="str">
        <f>IFERROR(VLOOKUP($CH22,tblBD_PatronMasa[[Código Patrón]:[mN-(mpe–U95)]],2,FALSE),"")</f>
        <v/>
      </c>
      <c r="CK22" s="35" t="str">
        <f>IFERROR(VLOOKUP($CH22,tblBD_PatronMasa[[Código Patrón]:[mN-(mpe–U95)]],13,FALSE),"")</f>
        <v/>
      </c>
      <c r="CL22" s="34" t="str">
        <f>IF(tblTrazabilidad[[#This Row],[Clase]]="F2",IFERROR(IF(VLOOKUP($CH22,tblBD_PatronMasa[[Código Patrón]:[mN-(mpe–U95)]],12,FALSE)=0,"",VLOOKUP($CH22,tblBD_PatronMasa[[Código Patrón]:[mN-(mpe–U95)]],12,FALSE)+731),""),IF(tblTrazabilidad[[#This Row],[Clase]]="F1",IFERROR(IF(VLOOKUP($CH22,tblBD_PatronMasa[[Código Patrón]:[mN-(mpe–U95)]],12,FALSE)=0,"",VLOOKUP($CH22,tblBD_PatronMasa[[Código Patrón]:[mN-(mpe–U95)]],12,FALSE)+731),""),IFERROR(IF(VLOOKUP($CH22,tblBD_PatronMasa[[Código Patrón]:[mN-(mpe–U95)]],12,FALSE)=0,"",VLOOKUP($CH22,tblBD_PatronMasa[[Código Patrón]:[mN-(mpe–U95)]],12,FALSE)+366),"")))</f>
        <v/>
      </c>
      <c r="CM22" s="33" t="str">
        <f>IFERROR(VLOOKUP($CH22,tblBD_PatronMasa[[Código Patrón]:[mN-(mpe–U95)]],3,FALSE),"")</f>
        <v/>
      </c>
      <c r="CP22" s="57" t="str">
        <f>IFERROR(VLOOKUP(CS22,tblTrazabilidad[[Código]:[Próxima calibración]],2,0),"")</f>
        <v/>
      </c>
      <c r="CQ22" s="58" t="str">
        <f>IFERROR(VLOOKUP(CS22,tblTrazabilidad[[Código]:[Clase]],6,0),"")</f>
        <v/>
      </c>
      <c r="CR22" s="57" t="str">
        <f>IFERROR(VLOOKUP(CS22,tblTrazabilidad[[Código]:[Próxima calibración]],3,0),"")</f>
        <v/>
      </c>
      <c r="CS22" s="56" t="str">
        <f t="shared" si="1"/>
        <v/>
      </c>
      <c r="CT22" s="55" t="str">
        <f>IFERROR(IF(VLOOKUP(CS22,tblTrazabilidad[[Código]:[Próxima calibración]],4,0)=0,"",VLOOKUP(CS22,tblTrazabilidad[[Código]:[Próxima calibración]],4,0)),"")</f>
        <v/>
      </c>
      <c r="CU22" s="54" t="str">
        <f>IFERROR(VLOOKUP(CS22,tblTrazabilidad[[Código]:[Próxima calibración]],5,0),"")</f>
        <v/>
      </c>
      <c r="CV22" s="53">
        <f t="shared" si="0"/>
        <v>0</v>
      </c>
      <c r="CW22" s="52" t="str">
        <f>IFERROR(LOOKUP(2,1/(COUNTIF($CW$4:CW21,tblTrazabilidad[Código])=0),tblTrazabilidad[Código]),"")</f>
        <v/>
      </c>
      <c r="DC22" s="1"/>
      <c r="DD22" s="1"/>
      <c r="DF22"/>
      <c r="DG22"/>
    </row>
    <row r="23" spans="2:111" x14ac:dyDescent="0.3">
      <c r="B23" s="84">
        <v>0</v>
      </c>
      <c r="C23" s="91">
        <v>0</v>
      </c>
      <c r="D23" s="93">
        <v>0</v>
      </c>
      <c r="E23" s="93">
        <v>0</v>
      </c>
      <c r="F23" s="82">
        <f t="shared" ref="F23:F33" si="2">IF(D23="","",D23-E23)</f>
        <v>0</v>
      </c>
      <c r="G23" s="90">
        <f t="shared" ref="G23:G33" si="3">IF(D23="","",F23-C23)</f>
        <v>0</v>
      </c>
      <c r="L23" s="8">
        <v>20</v>
      </c>
      <c r="M23" s="62"/>
      <c r="N23" s="59" t="str">
        <f>IFERROR(VLOOKUP(tblCompPuntosCal[[#This Row],[Punto 1]],tblBD_PatronMasa[[Código Patrón]:[mpe]],4,FALSE),"")</f>
        <v/>
      </c>
      <c r="O23" s="59" t="str">
        <f>IFERROR(VLOOKUP(tblCompPuntosCal[[#This Row],[Punto 1]],tblBD_PatronMasa[[Código Patrón]:[mpe]],6,FALSE),"")</f>
        <v/>
      </c>
      <c r="P23" s="55" t="str">
        <f>IFERROR(VLOOKUP(tblCompPuntosCal[[#This Row],[Punto 1]],tblBD_PatronMasa[[Código Patrón]:[mpe]],7,FALSE),"")</f>
        <v/>
      </c>
      <c r="Q23" s="55" t="str">
        <f>IFERROR(VLOOKUP(tblCompPuntosCal[[#This Row],[Punto 1]],tblBD_PatronMasa[[Código Patrón]:[mpe]],9,FALSE),"")</f>
        <v/>
      </c>
      <c r="R23" s="66" t="str">
        <f>IF(switch="Sí",IFERROR(VLOOKUP(tblCompPuntosCal[[#This Row],[Punto 1]],'kU(E)'!$AB$7:$AK$56,10,FALSE)*1000,""),IFERROR(VLOOKUP(tblCompPuntosCal[[#This Row],[Punto 1]],'kU(E)'!$AB$7:$AK$56*1000,8,FALSE),""))</f>
        <v/>
      </c>
      <c r="S23" s="55" t="str">
        <f>IFERROR(IF('kU(E)'!$E$6&lt;&gt;0,INDEX(deltaMconv,MATCH(tblCompPuntosCal[[#This Row],[mN1]],MnomDeltaT),MATCH('kU(E)'!$E$6,deltaT,-1))/SQRT(3),""),"")</f>
        <v/>
      </c>
      <c r="T23" s="62"/>
      <c r="U23" s="55" t="str">
        <f>IFERROR(VLOOKUP(tblCompPuntosCal[[#This Row],[Punto 2]],tblBD_PatronMasa[[Código Patrón]:[mpe]],4,FALSE),"")</f>
        <v/>
      </c>
      <c r="V23" s="55" t="str">
        <f>IFERROR(VLOOKUP(tblCompPuntosCal[[#This Row],[Punto 2]],tblBD_PatronMasa[[Código Patrón]:[mpe]],6,FALSE),"")</f>
        <v/>
      </c>
      <c r="W23" s="55" t="str">
        <f>IFERROR(VLOOKUP(tblCompPuntosCal[[#This Row],[Punto 2]],tblBD_PatronMasa[[Código Patrón]:[mpe]],7,FALSE),"")</f>
        <v/>
      </c>
      <c r="X23" s="55" t="str">
        <f>IFERROR(VLOOKUP(tblCompPuntosCal[[#This Row],[Punto 2]],tblBD_PatronMasa[[Código Patrón]:[mpe]],9,FALSE),"")</f>
        <v/>
      </c>
      <c r="Y23" s="66" t="str">
        <f>IF(switch="Sí",IFERROR(VLOOKUP(tblCompPuntosCal[[#This Row],[Punto 2]],'kU(E)'!$AB$7:$AK$56,10,FALSE)*1000,""),IFERROR(VLOOKUP(tblCompPuntosCal[[#This Row],[Punto 2]],'kU(E)'!$AB$7:$AK$56*1000,8,FALSE),""))</f>
        <v/>
      </c>
      <c r="Z23" s="55" t="str">
        <f>IFERROR(IF('kU(E)'!$E$6&lt;&gt;0,INDEX(deltaMconv,MATCH(tblCompPuntosCal[[#This Row],[mN2]],MnomDeltaT),MATCH('kU(E)'!$E$6,deltaT,-1))/SQRT(3),""),"")</f>
        <v/>
      </c>
      <c r="AA23" s="62"/>
      <c r="AB23" s="55" t="str">
        <f>IFERROR(VLOOKUP(tblCompPuntosCal[[#This Row],[Punto 3]],tblBD_PatronMasa[[Código Patrón]:[mpe]],4,FALSE),"")</f>
        <v/>
      </c>
      <c r="AC23" s="55" t="str">
        <f>IFERROR(VLOOKUP(tblCompPuntosCal[[#This Row],[Punto 3]],tblBD_PatronMasa[[Código Patrón]:[mpe]],6,FALSE),"")</f>
        <v/>
      </c>
      <c r="AD23" s="67" t="str">
        <f>IFERROR(VLOOKUP(tblCompPuntosCal[[#This Row],[Punto 3]],tblBD_PatronMasa[[Código Patrón]:[mpe]],7,FALSE),"")</f>
        <v/>
      </c>
      <c r="AE23" s="67" t="str">
        <f>IFERROR(VLOOKUP(tblCompPuntosCal[[#This Row],[Punto 3]],tblBD_PatronMasa[[Código Patrón]:[mpe]],9,FALSE),"")</f>
        <v/>
      </c>
      <c r="AF23" s="63" t="str">
        <f>IF(switch="Sí",IFERROR(VLOOKUP(tblCompPuntosCal[[#This Row],[Punto 3]],'kU(E)'!$AB$7:$AK$56,10,FALSE)*1000,""),IFERROR(VLOOKUP(tblCompPuntosCal[[#This Row],[Punto 3]],'kU(E)'!$AB$7:$AK$56*1000,8,FALSE),""))</f>
        <v/>
      </c>
      <c r="AG23" s="67" t="str">
        <f>IFERROR(IF('kU(E)'!$E$6&lt;&gt;0,INDEX(deltaMconv,MATCH(tblCompPuntosCal[[#This Row],[mN3]],MnomDeltaT),MATCH('kU(E)'!$E$6,deltaT,-1))/SQRT(3),""),"")</f>
        <v/>
      </c>
      <c r="AH23" s="62"/>
      <c r="AI23" s="67" t="str">
        <f>IFERROR(VLOOKUP(tblCompPuntosCal[[#This Row],[Punto 4]],tblBD_PatronMasa[[Código Patrón]:[mpe]],4,FALSE),"")</f>
        <v/>
      </c>
      <c r="AJ23" s="55" t="str">
        <f>IFERROR(VLOOKUP(tblCompPuntosCal[[#This Row],[Punto 4]],tblBD_PatronMasa[[Código Patrón]:[mpe]],6,FALSE),"")</f>
        <v/>
      </c>
      <c r="AK23" s="55" t="str">
        <f>IFERROR(VLOOKUP(tblCompPuntosCal[[#This Row],[Punto 4]],tblBD_PatronMasa[[Código Patrón]:[mpe]],7,FALSE),"")</f>
        <v/>
      </c>
      <c r="AL23" s="55" t="str">
        <f>IFERROR(VLOOKUP(tblCompPuntosCal[[#This Row],[Punto 4]],tblBD_PatronMasa[[Código Patrón]:[mpe]],9,FALSE),"")</f>
        <v/>
      </c>
      <c r="AM23" s="66" t="str">
        <f>IF(switch="Sí",IFERROR(VLOOKUP(tblCompPuntosCal[[#This Row],[Punto 4]],'kU(E)'!$AB$7:$AK$56,10,FALSE)*1000,""),IFERROR(VLOOKUP(tblCompPuntosCal[[#This Row],[Punto 4]],'kU(E)'!$AB$7:$AK$56,8,FALSE)*1000,""))</f>
        <v/>
      </c>
      <c r="AN23" s="55" t="str">
        <f>IFERROR(IF('kU(E)'!$E$6&lt;&gt;0,INDEX(deltaMconv,MATCH(tblCompPuntosCal[[#This Row],[mN4]],MnomDeltaT),MATCH('kU(E)'!$E$6,deltaT,-1))/SQRT(3),""),"")</f>
        <v/>
      </c>
      <c r="AO23" s="62"/>
      <c r="AP23" s="55" t="str">
        <f>IFERROR(VLOOKUP(tblCompPuntosCal[[#This Row],[Punto 5]],tblBD_PatronMasa[[Código Patrón]:[mpe]],4,FALSE),"")</f>
        <v/>
      </c>
      <c r="AQ23" s="55" t="str">
        <f>IFERROR(VLOOKUP(tblCompPuntosCal[[#This Row],[Punto 5]],tblBD_PatronMasa[[Código Patrón]:[mpe]],6,FALSE),"")</f>
        <v/>
      </c>
      <c r="AR23" s="55" t="str">
        <f>IFERROR(VLOOKUP(tblCompPuntosCal[[#This Row],[Punto 5]],tblBD_PatronMasa[[Código Patrón]:[mpe]],7,FALSE),"")</f>
        <v/>
      </c>
      <c r="AS23" s="55" t="str">
        <f>IFERROR(VLOOKUP(tblCompPuntosCal[[#This Row],[Punto 5]],tblBD_PatronMasa[[Código Patrón]:[mpe]],9,FALSE),"")</f>
        <v/>
      </c>
      <c r="AT23" s="66" t="str">
        <f>IF(switch="Sí",IFERROR(VLOOKUP(tblCompPuntosCal[[#This Row],[Punto 5]],'kU(E)'!$AB$7:$AK$56,10,FALSE)*1000,""),IFERROR(VLOOKUP(tblCompPuntosCal[[#This Row],[Punto 5]],'kU(E)'!$AB$7:$AK$56,8,FALSE)*1000,""))</f>
        <v/>
      </c>
      <c r="AU23" s="55" t="str">
        <f>IFERROR(IF('kU(E)'!$E$6&lt;&gt;0,INDEX(deltaMconv,MATCH(tblCompPuntosCal[[#This Row],[mN5]],MnomDeltaT),MATCH('kU(E)'!$E$6,deltaT,-1))/SQRT(3),""),"")</f>
        <v/>
      </c>
      <c r="AV23" s="62"/>
      <c r="AW23" s="55" t="str">
        <f>IFERROR(VLOOKUP(tblCompPuntosCal[[#This Row],[Punto 6]],tblBD_PatronMasa[[Código Patrón]:[mpe]],4,FALSE),"")</f>
        <v/>
      </c>
      <c r="AX23" s="55" t="str">
        <f>IFERROR(VLOOKUP(tblCompPuntosCal[[#This Row],[Punto 6]],tblBD_PatronMasa[[Código Patrón]:[mpe]],6,FALSE),"")</f>
        <v/>
      </c>
      <c r="AY23" s="55" t="str">
        <f>IFERROR(VLOOKUP(tblCompPuntosCal[[#This Row],[Punto 6]],tblBD_PatronMasa[[Código Patrón]:[mpe]],7,FALSE),"")</f>
        <v/>
      </c>
      <c r="AZ23" s="55" t="str">
        <f>IFERROR(VLOOKUP(tblCompPuntosCal[[#This Row],[Punto 6]],tblBD_PatronMasa[[Código Patrón]:[mpe]],9,FALSE),"")</f>
        <v/>
      </c>
      <c r="BA23" s="66" t="str">
        <f>IF(switch="Sí",IFERROR(VLOOKUP(tblCompPuntosCal[[#This Row],[Punto 6]],'kU(E)'!$AB$7:$AK$56,10,FALSE)*1000,""),IFERROR(VLOOKUP(tblCompPuntosCal[[#This Row],[Punto 6]],'kU(E)'!$AB$7:$AK$56,8,FALSE)*1000,""))</f>
        <v/>
      </c>
      <c r="BB23" s="55" t="str">
        <f>IFERROR(IF('kU(E)'!$E$6&lt;&gt;0,INDEX(deltaMconv,MATCH(tblCompPuntosCal[[#This Row],[mN6]],MnomDeltaT),MATCH('kU(E)'!$E$6,deltaT,-1))/SQRT(3),""),"")</f>
        <v/>
      </c>
      <c r="BC23" s="62"/>
      <c r="BD23" s="55" t="str">
        <f>IFERROR(VLOOKUP(tblCompPuntosCal[[#This Row],[Punto 7]],tblBD_PatronMasa[[Código Patrón]:[mpe]],4,FALSE),"")</f>
        <v/>
      </c>
      <c r="BE23" s="55" t="str">
        <f>IFERROR(VLOOKUP(tblCompPuntosCal[[#This Row],[Punto 7]],tblBD_PatronMasa[[Código Patrón]:[mpe]],6,FALSE),"")</f>
        <v/>
      </c>
      <c r="BF23" s="55" t="str">
        <f>IFERROR(VLOOKUP(tblCompPuntosCal[[#This Row],[Punto 7]],tblBD_PatronMasa[[Código Patrón]:[mpe]],7,FALSE),"")</f>
        <v/>
      </c>
      <c r="BG23" s="55" t="str">
        <f>IFERROR(VLOOKUP(tblCompPuntosCal[[#This Row],[Punto 7]],tblBD_PatronMasa[[Código Patrón]:[mpe]],9,FALSE),"")</f>
        <v/>
      </c>
      <c r="BH23" s="66" t="str">
        <f>IF(switch="Sí",IFERROR(VLOOKUP(tblCompPuntosCal[[#This Row],[Punto 7]],'kU(E)'!$AB$7:$AK$56,10,FALSE)*1000,""),IFERROR(VLOOKUP(tblCompPuntosCal[[#This Row],[Punto 7]],'kU(E)'!$AB$7:$AK$56,8,FALSE)*1000,""))</f>
        <v/>
      </c>
      <c r="BI23" s="55" t="str">
        <f>IFERROR(IF('kU(E)'!$E$6&lt;&gt;0,INDEX(deltaMconv,MATCH(tblCompPuntosCal[[#This Row],[mN7]],MnomDeltaT),MATCH('kU(E)'!$E$6,deltaT,-1))/SQRT(3),""),"")</f>
        <v/>
      </c>
      <c r="BJ23" s="62"/>
      <c r="BK23" s="55" t="str">
        <f>IFERROR(VLOOKUP(tblCompPuntosCal[[#This Row],[Punto 8]],tblBD_PatronMasa[[Código Patrón]:[mpe]],4,FALSE),"")</f>
        <v/>
      </c>
      <c r="BL23" s="55" t="str">
        <f>IFERROR(VLOOKUP(tblCompPuntosCal[[#This Row],[Punto 8]],tblBD_PatronMasa[[Código Patrón]:[mpe]],6,FALSE),"")</f>
        <v/>
      </c>
      <c r="BM23" s="55" t="str">
        <f>IFERROR(VLOOKUP(tblCompPuntosCal[[#This Row],[Punto 8]],tblBD_PatronMasa[[Código Patrón]:[mpe]],7,FALSE),"")</f>
        <v/>
      </c>
      <c r="BN23" s="55" t="str">
        <f>IFERROR(VLOOKUP(tblCompPuntosCal[[#This Row],[Punto 8]],tblBD_PatronMasa[[Código Patrón]:[mpe]],9,FALSE),"")</f>
        <v/>
      </c>
      <c r="BO23" s="66" t="str">
        <f>IF(switch="Sí",IFERROR(VLOOKUP(tblCompPuntosCal[[#This Row],[Punto 8]],'kU(E)'!$AB$7:$AK$56,10,FALSE)*1000,""),IFERROR(VLOOKUP(tblCompPuntosCal[[#This Row],[Punto 8]],'kU(E)'!$AB$7:$AK$56,8,FALSE)*1000,""))</f>
        <v/>
      </c>
      <c r="BP23" s="55" t="str">
        <f>IFERROR(IF('kU(E)'!$E$6&lt;&gt;0,INDEX(deltaMconv,MATCH(tblCompPuntosCal[[#This Row],[mN8]],MnomDeltaT),MATCH('kU(E)'!$E$6,deltaT,-1))/SQRT(3),""),"")</f>
        <v/>
      </c>
      <c r="BQ23" s="62"/>
      <c r="BR23" s="55" t="str">
        <f>IFERROR(VLOOKUP(tblCompPuntosCal[[#This Row],[Punto 9]],tblBD_PatronMasa[[Código Patrón]:[mpe]],4,FALSE),"")</f>
        <v/>
      </c>
      <c r="BS23" s="55" t="str">
        <f>IFERROR(VLOOKUP(tblCompPuntosCal[[#This Row],[Punto 9]],tblBD_PatronMasa[[Código Patrón]:[mpe]],6,FALSE),"")</f>
        <v/>
      </c>
      <c r="BT23" s="55" t="str">
        <f>IFERROR(VLOOKUP(tblCompPuntosCal[[#This Row],[Punto 9]],tblBD_PatronMasa[[Código Patrón]:[mpe]],7,FALSE),"")</f>
        <v/>
      </c>
      <c r="BU23" s="55" t="str">
        <f>IFERROR(VLOOKUP(tblCompPuntosCal[[#This Row],[Punto 9]],tblBD_PatronMasa[[Código Patrón]:[mpe]],9,FALSE),"")</f>
        <v/>
      </c>
      <c r="BV23" s="66" t="str">
        <f>IF(switch="Sí",IFERROR(VLOOKUP(tblCompPuntosCal[[#This Row],[Punto 9]],'kU(E)'!$AB$7:$AK$56,10,FALSE)*1000,""),IFERROR(VLOOKUP(tblCompPuntosCal[[#This Row],[Punto 9]],'kU(E)'!$AB$7:$AK$56,8,FALSE)*1000,""))</f>
        <v/>
      </c>
      <c r="BW23" s="55" t="str">
        <f>IFERROR(IF('kU(E)'!$E$6&lt;&gt;0,INDEX(deltaMconv,MATCH(tblCompPuntosCal[[#This Row],[mN9]],MnomDeltaT),MATCH('kU(E)'!$E$6,deltaT,-1))/SQRT(3),""),"")</f>
        <v/>
      </c>
      <c r="BX23" s="62"/>
      <c r="BY23" s="55" t="str">
        <f>IFERROR(VLOOKUP(tblCompPuntosCal[[#This Row],[Punto 10]],tblBD_PatronMasa[[Código Patrón]:[mpe]],4,FALSE),"")</f>
        <v/>
      </c>
      <c r="BZ23" s="55" t="str">
        <f>IFERROR(VLOOKUP(tblCompPuntosCal[[#This Row],[Punto 10]],tblBD_PatronMasa[[Código Patrón]:[mpe]],6,FALSE),"")</f>
        <v/>
      </c>
      <c r="CA23" s="59" t="str">
        <f>IFERROR(VLOOKUP(tblCompPuntosCal[[#This Row],[Punto 10]],tblBD_PatronMasa[[Código Patrón]:[mpe]],7,FALSE),"")</f>
        <v/>
      </c>
      <c r="CB23" s="59" t="str">
        <f>IFERROR(VLOOKUP(tblCompPuntosCal[[#This Row],[Punto 10]],tblBD_PatronMasa[[Código Patrón]:[mpe]],9,FALSE),"")</f>
        <v/>
      </c>
      <c r="CC23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23" s="59" t="str">
        <f>IFERROR(IF('kU(E)'!$E$6&lt;&gt;0,INDEX(deltaMconv,MATCH(tblCompPuntosCal[[#This Row],[mN10]],MnomDeltaT),MATCH('kU(E)'!$E$6,deltaT,-1))/SQRT(3),""),"")</f>
        <v/>
      </c>
      <c r="CG23" s="38">
        <v>19</v>
      </c>
      <c r="CH23" s="35">
        <f>tblCompPuntosCal[[#This Row],[Punto 1]]</f>
        <v>0</v>
      </c>
      <c r="CI23" s="35" t="str">
        <f>IF(tblTrazabilidad[[#This Row],[Código]]=0,"",IFERROR(IF(SEARCH("JM",tblTrazabilidad[[#This Row],[Código]])&gt;0,"Juego de pesas",),"Pesa"))</f>
        <v/>
      </c>
      <c r="CJ23" s="35" t="str">
        <f>IFERROR(VLOOKUP($CH23,tblBD_PatronMasa[[Código Patrón]:[mN-(mpe–U95)]],2,FALSE),"")</f>
        <v/>
      </c>
      <c r="CK23" s="35" t="str">
        <f>IFERROR(VLOOKUP($CH23,tblBD_PatronMasa[[Código Patrón]:[mN-(mpe–U95)]],13,FALSE),"")</f>
        <v/>
      </c>
      <c r="CL23" s="34" t="str">
        <f>IF(tblTrazabilidad[[#This Row],[Clase]]="F2",IFERROR(IF(VLOOKUP($CH23,tblBD_PatronMasa[[Código Patrón]:[mN-(mpe–U95)]],12,FALSE)=0,"",VLOOKUP($CH23,tblBD_PatronMasa[[Código Patrón]:[mN-(mpe–U95)]],12,FALSE)+731),""),IF(tblTrazabilidad[[#This Row],[Clase]]="F1",IFERROR(IF(VLOOKUP($CH23,tblBD_PatronMasa[[Código Patrón]:[mN-(mpe–U95)]],12,FALSE)=0,"",VLOOKUP($CH23,tblBD_PatronMasa[[Código Patrón]:[mN-(mpe–U95)]],12,FALSE)+731),""),IFERROR(IF(VLOOKUP($CH23,tblBD_PatronMasa[[Código Patrón]:[mN-(mpe–U95)]],12,FALSE)=0,"",VLOOKUP($CH23,tblBD_PatronMasa[[Código Patrón]:[mN-(mpe–U95)]],12,FALSE)+366),"")))</f>
        <v/>
      </c>
      <c r="CM23" s="33" t="str">
        <f>IFERROR(VLOOKUP($CH23,tblBD_PatronMasa[[Código Patrón]:[mN-(mpe–U95)]],3,FALSE),"")</f>
        <v/>
      </c>
      <c r="CP23" s="57" t="str">
        <f>IFERROR(VLOOKUP(CS23,tblTrazabilidad[[Código]:[Próxima calibración]],2,0),"")</f>
        <v/>
      </c>
      <c r="CQ23" s="58" t="str">
        <f>IFERROR(VLOOKUP(CS23,tblTrazabilidad[[Código]:[Clase]],6,0),"")</f>
        <v/>
      </c>
      <c r="CR23" s="57" t="str">
        <f>IFERROR(VLOOKUP(CS23,tblTrazabilidad[[Código]:[Próxima calibración]],3,0),"")</f>
        <v/>
      </c>
      <c r="CS23" s="56" t="str">
        <f t="shared" si="1"/>
        <v/>
      </c>
      <c r="CT23" s="55" t="str">
        <f>IFERROR(IF(VLOOKUP(CS23,tblTrazabilidad[[Código]:[Próxima calibración]],4,0)=0,"",VLOOKUP(CS23,tblTrazabilidad[[Código]:[Próxima calibración]],4,0)),"")</f>
        <v/>
      </c>
      <c r="CU23" s="54" t="str">
        <f>IFERROR(VLOOKUP(CS23,tblTrazabilidad[[Código]:[Próxima calibración]],5,0),"")</f>
        <v/>
      </c>
      <c r="CV23" s="53">
        <f t="shared" si="0"/>
        <v>0</v>
      </c>
      <c r="CW23" s="52" t="str">
        <f>IFERROR(LOOKUP(2,1/(COUNTIF($CW$4:CW22,tblTrazabilidad[Código])=0),tblTrazabilidad[Código]),"")</f>
        <v/>
      </c>
      <c r="DC23" s="1"/>
      <c r="DD23" s="1"/>
      <c r="DF23"/>
      <c r="DG23"/>
    </row>
    <row r="24" spans="2:111" x14ac:dyDescent="0.3">
      <c r="B24" s="84">
        <v>1</v>
      </c>
      <c r="C24" s="91">
        <f>IF(UnidadEscala="g",punto1,IF(UnidadEscala="kg",punto1/1000,punto1/453.592))</f>
        <v>0</v>
      </c>
      <c r="D24" s="93"/>
      <c r="E24" s="93"/>
      <c r="F24" s="82" t="str">
        <f t="shared" si="2"/>
        <v/>
      </c>
      <c r="G24" s="90" t="str">
        <f t="shared" si="3"/>
        <v/>
      </c>
      <c r="L24" s="8">
        <v>21</v>
      </c>
      <c r="M24" s="62"/>
      <c r="N24" s="59" t="str">
        <f>IFERROR(VLOOKUP(tblCompPuntosCal[[#This Row],[Punto 1]],tblBD_PatronMasa[[Código Patrón]:[mpe]],4,FALSE),"")</f>
        <v/>
      </c>
      <c r="O24" s="59" t="str">
        <f>IFERROR(VLOOKUP(tblCompPuntosCal[[#This Row],[Punto 1]],tblBD_PatronMasa[[Código Patrón]:[mpe]],6,FALSE),"")</f>
        <v/>
      </c>
      <c r="P24" s="55" t="str">
        <f>IFERROR(VLOOKUP(tblCompPuntosCal[[#This Row],[Punto 1]],tblBD_PatronMasa[[Código Patrón]:[mpe]],7,FALSE),"")</f>
        <v/>
      </c>
      <c r="Q24" s="55" t="str">
        <f>IFERROR(VLOOKUP(tblCompPuntosCal[[#This Row],[Punto 1]],tblBD_PatronMasa[[Código Patrón]:[mpe]],9,FALSE),"")</f>
        <v/>
      </c>
      <c r="R24" s="66" t="str">
        <f>IF(switch="Sí",IFERROR(VLOOKUP(tblCompPuntosCal[[#This Row],[Punto 1]],'kU(E)'!$AB$7:$AK$56,10,FALSE)*1000,""),IFERROR(VLOOKUP(tblCompPuntosCal[[#This Row],[Punto 1]],'kU(E)'!$AB$7:$AK$56*1000,8,FALSE),""))</f>
        <v/>
      </c>
      <c r="S24" s="55" t="str">
        <f>IFERROR(IF('kU(E)'!$E$6&lt;&gt;0,INDEX(deltaMconv,MATCH(tblCompPuntosCal[[#This Row],[mN1]],MnomDeltaT),MATCH('kU(E)'!$E$6,deltaT,-1))/SQRT(3),""),"")</f>
        <v/>
      </c>
      <c r="T24" s="62"/>
      <c r="U24" s="55" t="str">
        <f>IFERROR(VLOOKUP(tblCompPuntosCal[[#This Row],[Punto 2]],tblBD_PatronMasa[[Código Patrón]:[mpe]],4,FALSE),"")</f>
        <v/>
      </c>
      <c r="V24" s="55" t="str">
        <f>IFERROR(VLOOKUP(tblCompPuntosCal[[#This Row],[Punto 2]],tblBD_PatronMasa[[Código Patrón]:[mpe]],6,FALSE),"")</f>
        <v/>
      </c>
      <c r="W24" s="55" t="str">
        <f>IFERROR(VLOOKUP(tblCompPuntosCal[[#This Row],[Punto 2]],tblBD_PatronMasa[[Código Patrón]:[mpe]],7,FALSE),"")</f>
        <v/>
      </c>
      <c r="X24" s="55" t="str">
        <f>IFERROR(VLOOKUP(tblCompPuntosCal[[#This Row],[Punto 2]],tblBD_PatronMasa[[Código Patrón]:[mpe]],9,FALSE),"")</f>
        <v/>
      </c>
      <c r="Y24" s="66" t="str">
        <f>IF(switch="Sí",IFERROR(VLOOKUP(tblCompPuntosCal[[#This Row],[Punto 2]],'kU(E)'!$AB$7:$AK$56,10,FALSE)*1000,""),IFERROR(VLOOKUP(tblCompPuntosCal[[#This Row],[Punto 2]],'kU(E)'!$AB$7:$AK$56*1000,8,FALSE),""))</f>
        <v/>
      </c>
      <c r="Z24" s="55" t="str">
        <f>IFERROR(IF('kU(E)'!$E$6&lt;&gt;0,INDEX(deltaMconv,MATCH(tblCompPuntosCal[[#This Row],[mN2]],MnomDeltaT),MATCH('kU(E)'!$E$6,deltaT,-1))/SQRT(3),""),"")</f>
        <v/>
      </c>
      <c r="AA24" s="62"/>
      <c r="AB24" s="55" t="str">
        <f>IFERROR(VLOOKUP(tblCompPuntosCal[[#This Row],[Punto 3]],tblBD_PatronMasa[[Código Patrón]:[mpe]],4,FALSE),"")</f>
        <v/>
      </c>
      <c r="AC24" s="55" t="str">
        <f>IFERROR(VLOOKUP(tblCompPuntosCal[[#This Row],[Punto 3]],tblBD_PatronMasa[[Código Patrón]:[mpe]],6,FALSE),"")</f>
        <v/>
      </c>
      <c r="AD24" s="67" t="str">
        <f>IFERROR(VLOOKUP(tblCompPuntosCal[[#This Row],[Punto 3]],tblBD_PatronMasa[[Código Patrón]:[mpe]],7,FALSE),"")</f>
        <v/>
      </c>
      <c r="AE24" s="67" t="str">
        <f>IFERROR(VLOOKUP(tblCompPuntosCal[[#This Row],[Punto 3]],tblBD_PatronMasa[[Código Patrón]:[mpe]],9,FALSE),"")</f>
        <v/>
      </c>
      <c r="AF24" s="63" t="str">
        <f>IF(switch="Sí",IFERROR(VLOOKUP(tblCompPuntosCal[[#This Row],[Punto 3]],'kU(E)'!$AB$7:$AK$56,10,FALSE)*1000,""),IFERROR(VLOOKUP(tblCompPuntosCal[[#This Row],[Punto 3]],'kU(E)'!$AB$7:$AK$56*1000,8,FALSE),""))</f>
        <v/>
      </c>
      <c r="AG24" s="67" t="str">
        <f>IFERROR(IF('kU(E)'!$E$6&lt;&gt;0,INDEX(deltaMconv,MATCH(tblCompPuntosCal[[#This Row],[mN3]],MnomDeltaT),MATCH('kU(E)'!$E$6,deltaT,-1))/SQRT(3),""),"")</f>
        <v/>
      </c>
      <c r="AH24" s="62"/>
      <c r="AI24" s="67" t="str">
        <f>IFERROR(VLOOKUP(tblCompPuntosCal[[#This Row],[Punto 4]],tblBD_PatronMasa[[Código Patrón]:[mpe]],4,FALSE),"")</f>
        <v/>
      </c>
      <c r="AJ24" s="55" t="str">
        <f>IFERROR(VLOOKUP(tblCompPuntosCal[[#This Row],[Punto 4]],tblBD_PatronMasa[[Código Patrón]:[mpe]],6,FALSE),"")</f>
        <v/>
      </c>
      <c r="AK24" s="55" t="str">
        <f>IFERROR(VLOOKUP(tblCompPuntosCal[[#This Row],[Punto 4]],tblBD_PatronMasa[[Código Patrón]:[mpe]],7,FALSE),"")</f>
        <v/>
      </c>
      <c r="AL24" s="55" t="str">
        <f>IFERROR(VLOOKUP(tblCompPuntosCal[[#This Row],[Punto 4]],tblBD_PatronMasa[[Código Patrón]:[mpe]],9,FALSE),"")</f>
        <v/>
      </c>
      <c r="AM24" s="66" t="str">
        <f>IF(switch="Sí",IFERROR(VLOOKUP(tblCompPuntosCal[[#This Row],[Punto 4]],'kU(E)'!$AB$7:$AK$56,10,FALSE)*1000,""),IFERROR(VLOOKUP(tblCompPuntosCal[[#This Row],[Punto 4]],'kU(E)'!$AB$7:$AK$56,8,FALSE)*1000,""))</f>
        <v/>
      </c>
      <c r="AN24" s="55" t="str">
        <f>IFERROR(IF('kU(E)'!$E$6&lt;&gt;0,INDEX(deltaMconv,MATCH(tblCompPuntosCal[[#This Row],[mN4]],MnomDeltaT),MATCH('kU(E)'!$E$6,deltaT,-1))/SQRT(3),""),"")</f>
        <v/>
      </c>
      <c r="AO24" s="62"/>
      <c r="AP24" s="55" t="str">
        <f>IFERROR(VLOOKUP(tblCompPuntosCal[[#This Row],[Punto 5]],tblBD_PatronMasa[[Código Patrón]:[mpe]],4,FALSE),"")</f>
        <v/>
      </c>
      <c r="AQ24" s="55" t="str">
        <f>IFERROR(VLOOKUP(tblCompPuntosCal[[#This Row],[Punto 5]],tblBD_PatronMasa[[Código Patrón]:[mpe]],6,FALSE),"")</f>
        <v/>
      </c>
      <c r="AR24" s="55" t="str">
        <f>IFERROR(VLOOKUP(tblCompPuntosCal[[#This Row],[Punto 5]],tblBD_PatronMasa[[Código Patrón]:[mpe]],7,FALSE),"")</f>
        <v/>
      </c>
      <c r="AS24" s="55" t="str">
        <f>IFERROR(VLOOKUP(tblCompPuntosCal[[#This Row],[Punto 5]],tblBD_PatronMasa[[Código Patrón]:[mpe]],9,FALSE),"")</f>
        <v/>
      </c>
      <c r="AT24" s="66" t="str">
        <f>IF(switch="Sí",IFERROR(VLOOKUP(tblCompPuntosCal[[#This Row],[Punto 5]],'kU(E)'!$AB$7:$AK$56,10,FALSE)*1000,""),IFERROR(VLOOKUP(tblCompPuntosCal[[#This Row],[Punto 5]],'kU(E)'!$AB$7:$AK$56,8,FALSE)*1000,""))</f>
        <v/>
      </c>
      <c r="AU24" s="55" t="str">
        <f>IFERROR(IF('kU(E)'!$E$6&lt;&gt;0,INDEX(deltaMconv,MATCH(tblCompPuntosCal[[#This Row],[mN5]],MnomDeltaT),MATCH('kU(E)'!$E$6,deltaT,-1))/SQRT(3),""),"")</f>
        <v/>
      </c>
      <c r="AV24" s="62"/>
      <c r="AW24" s="55" t="str">
        <f>IFERROR(VLOOKUP(tblCompPuntosCal[[#This Row],[Punto 6]],tblBD_PatronMasa[[Código Patrón]:[mpe]],4,FALSE),"")</f>
        <v/>
      </c>
      <c r="AX24" s="55" t="str">
        <f>IFERROR(VLOOKUP(tblCompPuntosCal[[#This Row],[Punto 6]],tblBD_PatronMasa[[Código Patrón]:[mpe]],6,FALSE),"")</f>
        <v/>
      </c>
      <c r="AY24" s="55" t="str">
        <f>IFERROR(VLOOKUP(tblCompPuntosCal[[#This Row],[Punto 6]],tblBD_PatronMasa[[Código Patrón]:[mpe]],7,FALSE),"")</f>
        <v/>
      </c>
      <c r="AZ24" s="55" t="str">
        <f>IFERROR(VLOOKUP(tblCompPuntosCal[[#This Row],[Punto 6]],tblBD_PatronMasa[[Código Patrón]:[mpe]],9,FALSE),"")</f>
        <v/>
      </c>
      <c r="BA24" s="66" t="str">
        <f>IF(switch="Sí",IFERROR(VLOOKUP(tblCompPuntosCal[[#This Row],[Punto 6]],'kU(E)'!$AB$7:$AK$56,10,FALSE)*1000,""),IFERROR(VLOOKUP(tblCompPuntosCal[[#This Row],[Punto 6]],'kU(E)'!$AB$7:$AK$56,8,FALSE)*1000,""))</f>
        <v/>
      </c>
      <c r="BB24" s="55" t="str">
        <f>IFERROR(IF('kU(E)'!$E$6&lt;&gt;0,INDEX(deltaMconv,MATCH(tblCompPuntosCal[[#This Row],[mN6]],MnomDeltaT),MATCH('kU(E)'!$E$6,deltaT,-1))/SQRT(3),""),"")</f>
        <v/>
      </c>
      <c r="BC24" s="62"/>
      <c r="BD24" s="55" t="str">
        <f>IFERROR(VLOOKUP(tblCompPuntosCal[[#This Row],[Punto 7]],tblBD_PatronMasa[[Código Patrón]:[mpe]],4,FALSE),"")</f>
        <v/>
      </c>
      <c r="BE24" s="55" t="str">
        <f>IFERROR(VLOOKUP(tblCompPuntosCal[[#This Row],[Punto 7]],tblBD_PatronMasa[[Código Patrón]:[mpe]],6,FALSE),"")</f>
        <v/>
      </c>
      <c r="BF24" s="55" t="str">
        <f>IFERROR(VLOOKUP(tblCompPuntosCal[[#This Row],[Punto 7]],tblBD_PatronMasa[[Código Patrón]:[mpe]],7,FALSE),"")</f>
        <v/>
      </c>
      <c r="BG24" s="55" t="str">
        <f>IFERROR(VLOOKUP(tblCompPuntosCal[[#This Row],[Punto 7]],tblBD_PatronMasa[[Código Patrón]:[mpe]],9,FALSE),"")</f>
        <v/>
      </c>
      <c r="BH24" s="66" t="str">
        <f>IF(switch="Sí",IFERROR(VLOOKUP(tblCompPuntosCal[[#This Row],[Punto 7]],'kU(E)'!$AB$7:$AK$56,10,FALSE)*1000,""),IFERROR(VLOOKUP(tblCompPuntosCal[[#This Row],[Punto 7]],'kU(E)'!$AB$7:$AK$56,8,FALSE)*1000,""))</f>
        <v/>
      </c>
      <c r="BI24" s="55" t="str">
        <f>IFERROR(IF('kU(E)'!$E$6&lt;&gt;0,INDEX(deltaMconv,MATCH(tblCompPuntosCal[[#This Row],[mN7]],MnomDeltaT),MATCH('kU(E)'!$E$6,deltaT,-1))/SQRT(3),""),"")</f>
        <v/>
      </c>
      <c r="BJ24" s="62"/>
      <c r="BK24" s="55" t="str">
        <f>IFERROR(VLOOKUP(tblCompPuntosCal[[#This Row],[Punto 8]],tblBD_PatronMasa[[Código Patrón]:[mpe]],4,FALSE),"")</f>
        <v/>
      </c>
      <c r="BL24" s="55" t="str">
        <f>IFERROR(VLOOKUP(tblCompPuntosCal[[#This Row],[Punto 8]],tblBD_PatronMasa[[Código Patrón]:[mpe]],6,FALSE),"")</f>
        <v/>
      </c>
      <c r="BM24" s="55" t="str">
        <f>IFERROR(VLOOKUP(tblCompPuntosCal[[#This Row],[Punto 8]],tblBD_PatronMasa[[Código Patrón]:[mpe]],7,FALSE),"")</f>
        <v/>
      </c>
      <c r="BN24" s="55" t="str">
        <f>IFERROR(VLOOKUP(tblCompPuntosCal[[#This Row],[Punto 8]],tblBD_PatronMasa[[Código Patrón]:[mpe]],9,FALSE),"")</f>
        <v/>
      </c>
      <c r="BO24" s="66" t="str">
        <f>IF(switch="Sí",IFERROR(VLOOKUP(tblCompPuntosCal[[#This Row],[Punto 8]],'kU(E)'!$AB$7:$AK$56,10,FALSE)*1000,""),IFERROR(VLOOKUP(tblCompPuntosCal[[#This Row],[Punto 8]],'kU(E)'!$AB$7:$AK$56,8,FALSE)*1000,""))</f>
        <v/>
      </c>
      <c r="BP24" s="55" t="str">
        <f>IFERROR(IF('kU(E)'!$E$6&lt;&gt;0,INDEX(deltaMconv,MATCH(tblCompPuntosCal[[#This Row],[mN8]],MnomDeltaT),MATCH('kU(E)'!$E$6,deltaT,-1))/SQRT(3),""),"")</f>
        <v/>
      </c>
      <c r="BQ24" s="62"/>
      <c r="BR24" s="55" t="str">
        <f>IFERROR(VLOOKUP(tblCompPuntosCal[[#This Row],[Punto 9]],tblBD_PatronMasa[[Código Patrón]:[mpe]],4,FALSE),"")</f>
        <v/>
      </c>
      <c r="BS24" s="55" t="str">
        <f>IFERROR(VLOOKUP(tblCompPuntosCal[[#This Row],[Punto 9]],tblBD_PatronMasa[[Código Patrón]:[mpe]],6,FALSE),"")</f>
        <v/>
      </c>
      <c r="BT24" s="55" t="str">
        <f>IFERROR(VLOOKUP(tblCompPuntosCal[[#This Row],[Punto 9]],tblBD_PatronMasa[[Código Patrón]:[mpe]],7,FALSE),"")</f>
        <v/>
      </c>
      <c r="BU24" s="55" t="str">
        <f>IFERROR(VLOOKUP(tblCompPuntosCal[[#This Row],[Punto 9]],tblBD_PatronMasa[[Código Patrón]:[mpe]],9,FALSE),"")</f>
        <v/>
      </c>
      <c r="BV24" s="66" t="str">
        <f>IF(switch="Sí",IFERROR(VLOOKUP(tblCompPuntosCal[[#This Row],[Punto 9]],'kU(E)'!$AB$7:$AK$56,10,FALSE)*1000,""),IFERROR(VLOOKUP(tblCompPuntosCal[[#This Row],[Punto 9]],'kU(E)'!$AB$7:$AK$56,8,FALSE)*1000,""))</f>
        <v/>
      </c>
      <c r="BW24" s="55" t="str">
        <f>IFERROR(IF('kU(E)'!$E$6&lt;&gt;0,INDEX(deltaMconv,MATCH(tblCompPuntosCal[[#This Row],[mN9]],MnomDeltaT),MATCH('kU(E)'!$E$6,deltaT,-1))/SQRT(3),""),"")</f>
        <v/>
      </c>
      <c r="BX24" s="62"/>
      <c r="BY24" s="55" t="str">
        <f>IFERROR(VLOOKUP(tblCompPuntosCal[[#This Row],[Punto 10]],tblBD_PatronMasa[[Código Patrón]:[mpe]],4,FALSE),"")</f>
        <v/>
      </c>
      <c r="BZ24" s="55" t="str">
        <f>IFERROR(VLOOKUP(tblCompPuntosCal[[#This Row],[Punto 10]],tblBD_PatronMasa[[Código Patrón]:[mpe]],6,FALSE),"")</f>
        <v/>
      </c>
      <c r="CA24" s="59" t="str">
        <f>IFERROR(VLOOKUP(tblCompPuntosCal[[#This Row],[Punto 10]],tblBD_PatronMasa[[Código Patrón]:[mpe]],7,FALSE),"")</f>
        <v/>
      </c>
      <c r="CB24" s="59" t="str">
        <f>IFERROR(VLOOKUP(tblCompPuntosCal[[#This Row],[Punto 10]],tblBD_PatronMasa[[Código Patrón]:[mpe]],9,FALSE),"")</f>
        <v/>
      </c>
      <c r="CC24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24" s="59" t="str">
        <f>IFERROR(IF('kU(E)'!$E$6&lt;&gt;0,INDEX(deltaMconv,MATCH(tblCompPuntosCal[[#This Row],[mN10]],MnomDeltaT),MATCH('kU(E)'!$E$6,deltaT,-1))/SQRT(3),""),"")</f>
        <v/>
      </c>
      <c r="CG24" s="38">
        <v>20</v>
      </c>
      <c r="CH24" s="35">
        <f>tblCompPuntosCal[[#This Row],[Punto 1]]</f>
        <v>0</v>
      </c>
      <c r="CI24" s="35" t="str">
        <f>IF(tblTrazabilidad[[#This Row],[Código]]=0,"",IFERROR(IF(SEARCH("JM",tblTrazabilidad[[#This Row],[Código]])&gt;0,"Juego de pesas",),"Pesa"))</f>
        <v/>
      </c>
      <c r="CJ24" s="35" t="str">
        <f>IFERROR(VLOOKUP($CH24,tblBD_PatronMasa[[Código Patrón]:[mN-(mpe–U95)]],2,FALSE),"")</f>
        <v/>
      </c>
      <c r="CK24" s="35" t="str">
        <f>IFERROR(VLOOKUP($CH24,tblBD_PatronMasa[[Código Patrón]:[mN-(mpe–U95)]],13,FALSE),"")</f>
        <v/>
      </c>
      <c r="CL24" s="34" t="str">
        <f>IF(tblTrazabilidad[[#This Row],[Clase]]="F2",IFERROR(IF(VLOOKUP($CH24,tblBD_PatronMasa[[Código Patrón]:[mN-(mpe–U95)]],12,FALSE)=0,"",VLOOKUP($CH24,tblBD_PatronMasa[[Código Patrón]:[mN-(mpe–U95)]],12,FALSE)+731),""),IF(tblTrazabilidad[[#This Row],[Clase]]="F1",IFERROR(IF(VLOOKUP($CH24,tblBD_PatronMasa[[Código Patrón]:[mN-(mpe–U95)]],12,FALSE)=0,"",VLOOKUP($CH24,tblBD_PatronMasa[[Código Patrón]:[mN-(mpe–U95)]],12,FALSE)+731),""),IFERROR(IF(VLOOKUP($CH24,tblBD_PatronMasa[[Código Patrón]:[mN-(mpe–U95)]],12,FALSE)=0,"",VLOOKUP($CH24,tblBD_PatronMasa[[Código Patrón]:[mN-(mpe–U95)]],12,FALSE)+366),"")))</f>
        <v/>
      </c>
      <c r="CM24" s="33" t="str">
        <f>IFERROR(VLOOKUP($CH24,tblBD_PatronMasa[[Código Patrón]:[mN-(mpe–U95)]],3,FALSE),"")</f>
        <v/>
      </c>
      <c r="CO24" s="46"/>
      <c r="CP24" s="57" t="str">
        <f>IFERROR(VLOOKUP(CS24,tblTrazabilidad[[Código]:[Próxima calibración]],2,0),"")</f>
        <v/>
      </c>
      <c r="CQ24" s="58" t="str">
        <f>IFERROR(VLOOKUP(CS24,tblTrazabilidad[[Código]:[Clase]],6,0),"")</f>
        <v/>
      </c>
      <c r="CR24" s="57" t="str">
        <f>IFERROR(VLOOKUP(CS24,tblTrazabilidad[[Código]:[Próxima calibración]],3,0),"")</f>
        <v/>
      </c>
      <c r="CS24" s="56" t="str">
        <f t="shared" si="1"/>
        <v/>
      </c>
      <c r="CT24" s="55" t="str">
        <f>IFERROR(IF(VLOOKUP(CS24,tblTrazabilidad[[Código]:[Próxima calibración]],4,0)=0,"",VLOOKUP(CS24,tblTrazabilidad[[Código]:[Próxima calibración]],4,0)),"")</f>
        <v/>
      </c>
      <c r="CU24" s="54" t="str">
        <f>IFERROR(VLOOKUP(CS24,tblTrazabilidad[[Código]:[Próxima calibración]],5,0),"")</f>
        <v/>
      </c>
      <c r="CV24" s="53">
        <f t="shared" si="0"/>
        <v>0</v>
      </c>
      <c r="CW24" s="52" t="str">
        <f>IFERROR(LOOKUP(2,1/(COUNTIF($CW$4:CW23,tblTrazabilidad[Código])=0),tblTrazabilidad[Código]),"")</f>
        <v/>
      </c>
      <c r="DC24" s="1"/>
      <c r="DD24" s="1"/>
      <c r="DF24"/>
      <c r="DG24"/>
    </row>
    <row r="25" spans="2:111" x14ac:dyDescent="0.3">
      <c r="B25" s="84">
        <v>2</v>
      </c>
      <c r="C25" s="91">
        <f>IF(UnidadEscala="g",punto2,IF(UnidadEscala="kg",punto2/1000,punto2/453.592))</f>
        <v>0</v>
      </c>
      <c r="D25" s="93"/>
      <c r="E25" s="93"/>
      <c r="F25" s="82" t="str">
        <f t="shared" si="2"/>
        <v/>
      </c>
      <c r="G25" s="90" t="str">
        <f t="shared" si="3"/>
        <v/>
      </c>
      <c r="L25" s="8">
        <v>22</v>
      </c>
      <c r="M25" s="62"/>
      <c r="N25" s="59" t="str">
        <f>IFERROR(VLOOKUP(tblCompPuntosCal[[#This Row],[Punto 1]],tblBD_PatronMasa[[Código Patrón]:[mpe]],4,FALSE),"")</f>
        <v/>
      </c>
      <c r="O25" s="59" t="str">
        <f>IFERROR(VLOOKUP(tblCompPuntosCal[[#This Row],[Punto 1]],tblBD_PatronMasa[[Código Patrón]:[mpe]],6,FALSE),"")</f>
        <v/>
      </c>
      <c r="P25" s="55" t="str">
        <f>IFERROR(VLOOKUP(tblCompPuntosCal[[#This Row],[Punto 1]],tblBD_PatronMasa[[Código Patrón]:[mpe]],7,FALSE),"")</f>
        <v/>
      </c>
      <c r="Q25" s="55" t="str">
        <f>IFERROR(VLOOKUP(tblCompPuntosCal[[#This Row],[Punto 1]],tblBD_PatronMasa[[Código Patrón]:[mpe]],9,FALSE),"")</f>
        <v/>
      </c>
      <c r="R25" s="66" t="str">
        <f>IF(switch="Sí",IFERROR(VLOOKUP(tblCompPuntosCal[[#This Row],[Punto 1]],'kU(E)'!$AB$7:$AK$56,10,FALSE)*1000,""),IFERROR(VLOOKUP(tblCompPuntosCal[[#This Row],[Punto 1]],'kU(E)'!$AB$7:$AK$56*1000,8,FALSE),""))</f>
        <v/>
      </c>
      <c r="S25" s="55" t="str">
        <f>IFERROR(IF('kU(E)'!$E$6&lt;&gt;0,INDEX(deltaMconv,MATCH(tblCompPuntosCal[[#This Row],[mN1]],MnomDeltaT),MATCH('kU(E)'!$E$6,deltaT,-1))/SQRT(3),""),"")</f>
        <v/>
      </c>
      <c r="T25" s="62"/>
      <c r="U25" s="55" t="str">
        <f>IFERROR(VLOOKUP(tblCompPuntosCal[[#This Row],[Punto 2]],tblBD_PatronMasa[[Código Patrón]:[mpe]],4,FALSE),"")</f>
        <v/>
      </c>
      <c r="V25" s="55" t="str">
        <f>IFERROR(VLOOKUP(tblCompPuntosCal[[#This Row],[Punto 2]],tblBD_PatronMasa[[Código Patrón]:[mpe]],6,FALSE),"")</f>
        <v/>
      </c>
      <c r="W25" s="55" t="str">
        <f>IFERROR(VLOOKUP(tblCompPuntosCal[[#This Row],[Punto 2]],tblBD_PatronMasa[[Código Patrón]:[mpe]],7,FALSE),"")</f>
        <v/>
      </c>
      <c r="X25" s="55" t="str">
        <f>IFERROR(VLOOKUP(tblCompPuntosCal[[#This Row],[Punto 2]],tblBD_PatronMasa[[Código Patrón]:[mpe]],9,FALSE),"")</f>
        <v/>
      </c>
      <c r="Y25" s="66" t="str">
        <f>IF(switch="Sí",IFERROR(VLOOKUP(tblCompPuntosCal[[#This Row],[Punto 2]],'kU(E)'!$AB$7:$AK$56,10,FALSE)*1000,""),IFERROR(VLOOKUP(tblCompPuntosCal[[#This Row],[Punto 2]],'kU(E)'!$AB$7:$AK$56*1000,8,FALSE),""))</f>
        <v/>
      </c>
      <c r="Z25" s="55" t="str">
        <f>IFERROR(IF('kU(E)'!$E$6&lt;&gt;0,INDEX(deltaMconv,MATCH(tblCompPuntosCal[[#This Row],[mN2]],MnomDeltaT),MATCH('kU(E)'!$E$6,deltaT,-1))/SQRT(3),""),"")</f>
        <v/>
      </c>
      <c r="AA25" s="62"/>
      <c r="AB25" s="55" t="str">
        <f>IFERROR(VLOOKUP(tblCompPuntosCal[[#This Row],[Punto 3]],tblBD_PatronMasa[[Código Patrón]:[mpe]],4,FALSE),"")</f>
        <v/>
      </c>
      <c r="AC25" s="55" t="str">
        <f>IFERROR(VLOOKUP(tblCompPuntosCal[[#This Row],[Punto 3]],tblBD_PatronMasa[[Código Patrón]:[mpe]],6,FALSE),"")</f>
        <v/>
      </c>
      <c r="AD25" s="67" t="str">
        <f>IFERROR(VLOOKUP(tblCompPuntosCal[[#This Row],[Punto 3]],tblBD_PatronMasa[[Código Patrón]:[mpe]],7,FALSE),"")</f>
        <v/>
      </c>
      <c r="AE25" s="67" t="str">
        <f>IFERROR(VLOOKUP(tblCompPuntosCal[[#This Row],[Punto 3]],tblBD_PatronMasa[[Código Patrón]:[mpe]],9,FALSE),"")</f>
        <v/>
      </c>
      <c r="AF25" s="63" t="str">
        <f>IF(switch="Sí",IFERROR(VLOOKUP(tblCompPuntosCal[[#This Row],[Punto 3]],'kU(E)'!$AB$7:$AK$56,10,FALSE)*1000,""),IFERROR(VLOOKUP(tblCompPuntosCal[[#This Row],[Punto 3]],'kU(E)'!$AB$7:$AK$56*1000,8,FALSE),""))</f>
        <v/>
      </c>
      <c r="AG25" s="67" t="str">
        <f>IFERROR(IF('kU(E)'!$E$6&lt;&gt;0,INDEX(deltaMconv,MATCH(tblCompPuntosCal[[#This Row],[mN3]],MnomDeltaT),MATCH('kU(E)'!$E$6,deltaT,-1))/SQRT(3),""),"")</f>
        <v/>
      </c>
      <c r="AH25" s="62"/>
      <c r="AI25" s="67" t="str">
        <f>IFERROR(VLOOKUP(tblCompPuntosCal[[#This Row],[Punto 4]],tblBD_PatronMasa[[Código Patrón]:[mpe]],4,FALSE),"")</f>
        <v/>
      </c>
      <c r="AJ25" s="55" t="str">
        <f>IFERROR(VLOOKUP(tblCompPuntosCal[[#This Row],[Punto 4]],tblBD_PatronMasa[[Código Patrón]:[mpe]],6,FALSE),"")</f>
        <v/>
      </c>
      <c r="AK25" s="55" t="str">
        <f>IFERROR(VLOOKUP(tblCompPuntosCal[[#This Row],[Punto 4]],tblBD_PatronMasa[[Código Patrón]:[mpe]],7,FALSE),"")</f>
        <v/>
      </c>
      <c r="AL25" s="55" t="str">
        <f>IFERROR(VLOOKUP(tblCompPuntosCal[[#This Row],[Punto 4]],tblBD_PatronMasa[[Código Patrón]:[mpe]],9,FALSE),"")</f>
        <v/>
      </c>
      <c r="AM25" s="66" t="str">
        <f>IF(switch="Sí",IFERROR(VLOOKUP(tblCompPuntosCal[[#This Row],[Punto 4]],'kU(E)'!$AB$7:$AK$56,10,FALSE)*1000,""),IFERROR(VLOOKUP(tblCompPuntosCal[[#This Row],[Punto 4]],'kU(E)'!$AB$7:$AK$56,8,FALSE)*1000,""))</f>
        <v/>
      </c>
      <c r="AN25" s="55" t="str">
        <f>IFERROR(IF('kU(E)'!$E$6&lt;&gt;0,INDEX(deltaMconv,MATCH(tblCompPuntosCal[[#This Row],[mN4]],MnomDeltaT),MATCH('kU(E)'!$E$6,deltaT,-1))/SQRT(3),""),"")</f>
        <v/>
      </c>
      <c r="AO25" s="62"/>
      <c r="AP25" s="55" t="str">
        <f>IFERROR(VLOOKUP(tblCompPuntosCal[[#This Row],[Punto 5]],tblBD_PatronMasa[[Código Patrón]:[mpe]],4,FALSE),"")</f>
        <v/>
      </c>
      <c r="AQ25" s="55" t="str">
        <f>IFERROR(VLOOKUP(tblCompPuntosCal[[#This Row],[Punto 5]],tblBD_PatronMasa[[Código Patrón]:[mpe]],6,FALSE),"")</f>
        <v/>
      </c>
      <c r="AR25" s="55" t="str">
        <f>IFERROR(VLOOKUP(tblCompPuntosCal[[#This Row],[Punto 5]],tblBD_PatronMasa[[Código Patrón]:[mpe]],7,FALSE),"")</f>
        <v/>
      </c>
      <c r="AS25" s="55" t="str">
        <f>IFERROR(VLOOKUP(tblCompPuntosCal[[#This Row],[Punto 5]],tblBD_PatronMasa[[Código Patrón]:[mpe]],9,FALSE),"")</f>
        <v/>
      </c>
      <c r="AT25" s="66" t="str">
        <f>IF(switch="Sí",IFERROR(VLOOKUP(tblCompPuntosCal[[#This Row],[Punto 5]],'kU(E)'!$AB$7:$AK$56,10,FALSE)*1000,""),IFERROR(VLOOKUP(tblCompPuntosCal[[#This Row],[Punto 5]],'kU(E)'!$AB$7:$AK$56,8,FALSE)*1000,""))</f>
        <v/>
      </c>
      <c r="AU25" s="55" t="str">
        <f>IFERROR(IF('kU(E)'!$E$6&lt;&gt;0,INDEX(deltaMconv,MATCH(tblCompPuntosCal[[#This Row],[mN5]],MnomDeltaT),MATCH('kU(E)'!$E$6,deltaT,-1))/SQRT(3),""),"")</f>
        <v/>
      </c>
      <c r="AV25" s="62"/>
      <c r="AW25" s="55" t="str">
        <f>IFERROR(VLOOKUP(tblCompPuntosCal[[#This Row],[Punto 6]],tblBD_PatronMasa[[Código Patrón]:[mpe]],4,FALSE),"")</f>
        <v/>
      </c>
      <c r="AX25" s="55" t="str">
        <f>IFERROR(VLOOKUP(tblCompPuntosCal[[#This Row],[Punto 6]],tblBD_PatronMasa[[Código Patrón]:[mpe]],6,FALSE),"")</f>
        <v/>
      </c>
      <c r="AY25" s="55" t="str">
        <f>IFERROR(VLOOKUP(tblCompPuntosCal[[#This Row],[Punto 6]],tblBD_PatronMasa[[Código Patrón]:[mpe]],7,FALSE),"")</f>
        <v/>
      </c>
      <c r="AZ25" s="55" t="str">
        <f>IFERROR(VLOOKUP(tblCompPuntosCal[[#This Row],[Punto 6]],tblBD_PatronMasa[[Código Patrón]:[mpe]],9,FALSE),"")</f>
        <v/>
      </c>
      <c r="BA25" s="66" t="str">
        <f>IF(switch="Sí",IFERROR(VLOOKUP(tblCompPuntosCal[[#This Row],[Punto 6]],'kU(E)'!$AB$7:$AK$56,10,FALSE)*1000,""),IFERROR(VLOOKUP(tblCompPuntosCal[[#This Row],[Punto 6]],'kU(E)'!$AB$7:$AK$56,8,FALSE)*1000,""))</f>
        <v/>
      </c>
      <c r="BB25" s="55" t="str">
        <f>IFERROR(IF('kU(E)'!$E$6&lt;&gt;0,INDEX(deltaMconv,MATCH(tblCompPuntosCal[[#This Row],[mN6]],MnomDeltaT),MATCH('kU(E)'!$E$6,deltaT,-1))/SQRT(3),""),"")</f>
        <v/>
      </c>
      <c r="BC25" s="62"/>
      <c r="BD25" s="55" t="str">
        <f>IFERROR(VLOOKUP(tblCompPuntosCal[[#This Row],[Punto 7]],tblBD_PatronMasa[[Código Patrón]:[mpe]],4,FALSE),"")</f>
        <v/>
      </c>
      <c r="BE25" s="55" t="str">
        <f>IFERROR(VLOOKUP(tblCompPuntosCal[[#This Row],[Punto 7]],tblBD_PatronMasa[[Código Patrón]:[mpe]],6,FALSE),"")</f>
        <v/>
      </c>
      <c r="BF25" s="55" t="str">
        <f>IFERROR(VLOOKUP(tblCompPuntosCal[[#This Row],[Punto 7]],tblBD_PatronMasa[[Código Patrón]:[mpe]],7,FALSE),"")</f>
        <v/>
      </c>
      <c r="BG25" s="55" t="str">
        <f>IFERROR(VLOOKUP(tblCompPuntosCal[[#This Row],[Punto 7]],tblBD_PatronMasa[[Código Patrón]:[mpe]],9,FALSE),"")</f>
        <v/>
      </c>
      <c r="BH25" s="66" t="str">
        <f>IF(switch="Sí",IFERROR(VLOOKUP(tblCompPuntosCal[[#This Row],[Punto 7]],'kU(E)'!$AB$7:$AK$56,10,FALSE)*1000,""),IFERROR(VLOOKUP(tblCompPuntosCal[[#This Row],[Punto 7]],'kU(E)'!$AB$7:$AK$56,8,FALSE)*1000,""))</f>
        <v/>
      </c>
      <c r="BI25" s="55" t="str">
        <f>IFERROR(IF('kU(E)'!$E$6&lt;&gt;0,INDEX(deltaMconv,MATCH(tblCompPuntosCal[[#This Row],[mN7]],MnomDeltaT),MATCH('kU(E)'!$E$6,deltaT,-1))/SQRT(3),""),"")</f>
        <v/>
      </c>
      <c r="BJ25" s="62"/>
      <c r="BK25" s="55" t="str">
        <f>IFERROR(VLOOKUP(tblCompPuntosCal[[#This Row],[Punto 8]],tblBD_PatronMasa[[Código Patrón]:[mpe]],4,FALSE),"")</f>
        <v/>
      </c>
      <c r="BL25" s="55" t="str">
        <f>IFERROR(VLOOKUP(tblCompPuntosCal[[#This Row],[Punto 8]],tblBD_PatronMasa[[Código Patrón]:[mpe]],6,FALSE),"")</f>
        <v/>
      </c>
      <c r="BM25" s="55" t="str">
        <f>IFERROR(VLOOKUP(tblCompPuntosCal[[#This Row],[Punto 8]],tblBD_PatronMasa[[Código Patrón]:[mpe]],7,FALSE),"")</f>
        <v/>
      </c>
      <c r="BN25" s="55" t="str">
        <f>IFERROR(VLOOKUP(tblCompPuntosCal[[#This Row],[Punto 8]],tblBD_PatronMasa[[Código Patrón]:[mpe]],9,FALSE),"")</f>
        <v/>
      </c>
      <c r="BO25" s="66" t="str">
        <f>IF(switch="Sí",IFERROR(VLOOKUP(tblCompPuntosCal[[#This Row],[Punto 8]],'kU(E)'!$AB$7:$AK$56,10,FALSE)*1000,""),IFERROR(VLOOKUP(tblCompPuntosCal[[#This Row],[Punto 8]],'kU(E)'!$AB$7:$AK$56,8,FALSE)*1000,""))</f>
        <v/>
      </c>
      <c r="BP25" s="55" t="str">
        <f>IFERROR(IF('kU(E)'!$E$6&lt;&gt;0,INDEX(deltaMconv,MATCH(tblCompPuntosCal[[#This Row],[mN8]],MnomDeltaT),MATCH('kU(E)'!$E$6,deltaT,-1))/SQRT(3),""),"")</f>
        <v/>
      </c>
      <c r="BQ25" s="62"/>
      <c r="BR25" s="55" t="str">
        <f>IFERROR(VLOOKUP(tblCompPuntosCal[[#This Row],[Punto 9]],tblBD_PatronMasa[[Código Patrón]:[mpe]],4,FALSE),"")</f>
        <v/>
      </c>
      <c r="BS25" s="55" t="str">
        <f>IFERROR(VLOOKUP(tblCompPuntosCal[[#This Row],[Punto 9]],tblBD_PatronMasa[[Código Patrón]:[mpe]],6,FALSE),"")</f>
        <v/>
      </c>
      <c r="BT25" s="55" t="str">
        <f>IFERROR(VLOOKUP(tblCompPuntosCal[[#This Row],[Punto 9]],tblBD_PatronMasa[[Código Patrón]:[mpe]],7,FALSE),"")</f>
        <v/>
      </c>
      <c r="BU25" s="55" t="str">
        <f>IFERROR(VLOOKUP(tblCompPuntosCal[[#This Row],[Punto 9]],tblBD_PatronMasa[[Código Patrón]:[mpe]],9,FALSE),"")</f>
        <v/>
      </c>
      <c r="BV25" s="66" t="str">
        <f>IF(switch="Sí",IFERROR(VLOOKUP(tblCompPuntosCal[[#This Row],[Punto 9]],'kU(E)'!$AB$7:$AK$56,10,FALSE)*1000,""),IFERROR(VLOOKUP(tblCompPuntosCal[[#This Row],[Punto 9]],'kU(E)'!$AB$7:$AK$56,8,FALSE)*1000,""))</f>
        <v/>
      </c>
      <c r="BW25" s="55" t="str">
        <f>IFERROR(IF('kU(E)'!$E$6&lt;&gt;0,INDEX(deltaMconv,MATCH(tblCompPuntosCal[[#This Row],[mN9]],MnomDeltaT),MATCH('kU(E)'!$E$6,deltaT,-1))/SQRT(3),""),"")</f>
        <v/>
      </c>
      <c r="BX25" s="62"/>
      <c r="BY25" s="55" t="str">
        <f>IFERROR(VLOOKUP(tblCompPuntosCal[[#This Row],[Punto 10]],tblBD_PatronMasa[[Código Patrón]:[mpe]],4,FALSE),"")</f>
        <v/>
      </c>
      <c r="BZ25" s="55" t="str">
        <f>IFERROR(VLOOKUP(tblCompPuntosCal[[#This Row],[Punto 10]],tblBD_PatronMasa[[Código Patrón]:[mpe]],6,FALSE),"")</f>
        <v/>
      </c>
      <c r="CA25" s="59" t="str">
        <f>IFERROR(VLOOKUP(tblCompPuntosCal[[#This Row],[Punto 10]],tblBD_PatronMasa[[Código Patrón]:[mpe]],7,FALSE),"")</f>
        <v/>
      </c>
      <c r="CB25" s="59" t="str">
        <f>IFERROR(VLOOKUP(tblCompPuntosCal[[#This Row],[Punto 10]],tblBD_PatronMasa[[Código Patrón]:[mpe]],9,FALSE),"")</f>
        <v/>
      </c>
      <c r="CC25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25" s="59" t="str">
        <f>IFERROR(IF('kU(E)'!$E$6&lt;&gt;0,INDEX(deltaMconv,MATCH(tblCompPuntosCal[[#This Row],[mN10]],MnomDeltaT),MATCH('kU(E)'!$E$6,deltaT,-1))/SQRT(3),""),"")</f>
        <v/>
      </c>
      <c r="CG25" s="38">
        <v>21</v>
      </c>
      <c r="CH25" s="35">
        <f>tblCompPuntosCal[[#This Row],[Punto 1]]</f>
        <v>0</v>
      </c>
      <c r="CI25" s="35" t="str">
        <f>IF(tblTrazabilidad[[#This Row],[Código]]=0,"",IFERROR(IF(SEARCH("JM",tblTrazabilidad[[#This Row],[Código]])&gt;0,"Juego de pesas",),"Pesa"))</f>
        <v/>
      </c>
      <c r="CJ25" s="35" t="str">
        <f>IFERROR(VLOOKUP($CH25,tblBD_PatronMasa[[Código Patrón]:[mN-(mpe–U95)]],2,FALSE),"")</f>
        <v/>
      </c>
      <c r="CK25" s="35" t="str">
        <f>IFERROR(VLOOKUP($CH25,tblBD_PatronMasa[[Código Patrón]:[mN-(mpe–U95)]],13,FALSE),"")</f>
        <v/>
      </c>
      <c r="CL25" s="34" t="str">
        <f>IF(tblTrazabilidad[[#This Row],[Clase]]="F2",IFERROR(IF(VLOOKUP($CH25,tblBD_PatronMasa[[Código Patrón]:[mN-(mpe–U95)]],12,FALSE)=0,"",VLOOKUP($CH25,tblBD_PatronMasa[[Código Patrón]:[mN-(mpe–U95)]],12,FALSE)+731),""),IF(tblTrazabilidad[[#This Row],[Clase]]="F1",IFERROR(IF(VLOOKUP($CH25,tblBD_PatronMasa[[Código Patrón]:[mN-(mpe–U95)]],12,FALSE)=0,"",VLOOKUP($CH25,tblBD_PatronMasa[[Código Patrón]:[mN-(mpe–U95)]],12,FALSE)+731),""),IFERROR(IF(VLOOKUP($CH25,tblBD_PatronMasa[[Código Patrón]:[mN-(mpe–U95)]],12,FALSE)=0,"",VLOOKUP($CH25,tblBD_PatronMasa[[Código Patrón]:[mN-(mpe–U95)]],12,FALSE)+366),"")))</f>
        <v/>
      </c>
      <c r="CM25" s="33" t="str">
        <f>IFERROR(VLOOKUP($CH25,tblBD_PatronMasa[[Código Patrón]:[mN-(mpe–U95)]],3,FALSE),"")</f>
        <v/>
      </c>
      <c r="CO25" s="46"/>
      <c r="CP25" s="57" t="str">
        <f>IFERROR(VLOOKUP(CS25,tblTrazabilidad[[Código]:[Próxima calibración]],2,0),"")</f>
        <v/>
      </c>
      <c r="CQ25" s="58" t="str">
        <f>IFERROR(VLOOKUP(CS25,tblTrazabilidad[[Código]:[Clase]],6,0),"")</f>
        <v/>
      </c>
      <c r="CR25" s="57" t="str">
        <f>IFERROR(VLOOKUP(CS25,tblTrazabilidad[[Código]:[Próxima calibración]],3,0),"")</f>
        <v/>
      </c>
      <c r="CS25" s="56" t="str">
        <f t="shared" si="1"/>
        <v/>
      </c>
      <c r="CT25" s="55" t="str">
        <f>IFERROR(IF(VLOOKUP(CS25,tblTrazabilidad[[Código]:[Próxima calibración]],4,0)=0,"",VLOOKUP(CS25,tblTrazabilidad[[Código]:[Próxima calibración]],4,0)),"")</f>
        <v/>
      </c>
      <c r="CU25" s="54" t="str">
        <f>IFERROR(VLOOKUP(CS25,tblTrazabilidad[[Código]:[Próxima calibración]],5,0),"")</f>
        <v/>
      </c>
      <c r="CV25" s="53">
        <f t="shared" si="0"/>
        <v>0</v>
      </c>
      <c r="CW25" s="52" t="str">
        <f>IFERROR(LOOKUP(2,1/(COUNTIF($CW$4:CW24,tblTrazabilidad[Código])=0),tblTrazabilidad[Código]),"")</f>
        <v/>
      </c>
      <c r="DC25" s="1"/>
      <c r="DD25" s="1"/>
      <c r="DF25"/>
      <c r="DG25"/>
    </row>
    <row r="26" spans="2:111" x14ac:dyDescent="0.3">
      <c r="B26" s="84">
        <v>3</v>
      </c>
      <c r="C26" s="91">
        <f>IF(UnidadEscala="g",punto3,IF(UnidadEscala="kg",punto3/1000,punto3/453.592))</f>
        <v>0</v>
      </c>
      <c r="D26" s="93"/>
      <c r="E26" s="93"/>
      <c r="F26" s="82" t="str">
        <f t="shared" si="2"/>
        <v/>
      </c>
      <c r="G26" s="90" t="str">
        <f t="shared" si="3"/>
        <v/>
      </c>
      <c r="I26" s="70"/>
      <c r="L26" s="8">
        <v>23</v>
      </c>
      <c r="M26" s="62"/>
      <c r="N26" s="59" t="str">
        <f>IFERROR(VLOOKUP(tblCompPuntosCal[[#This Row],[Punto 1]],tblBD_PatronMasa[[Código Patrón]:[mpe]],4,FALSE),"")</f>
        <v/>
      </c>
      <c r="O26" s="59" t="str">
        <f>IFERROR(VLOOKUP(tblCompPuntosCal[[#This Row],[Punto 1]],tblBD_PatronMasa[[Código Patrón]:[mpe]],6,FALSE),"")</f>
        <v/>
      </c>
      <c r="P26" s="55" t="str">
        <f>IFERROR(VLOOKUP(tblCompPuntosCal[[#This Row],[Punto 1]],tblBD_PatronMasa[[Código Patrón]:[mpe]],7,FALSE),"")</f>
        <v/>
      </c>
      <c r="Q26" s="55" t="str">
        <f>IFERROR(VLOOKUP(tblCompPuntosCal[[#This Row],[Punto 1]],tblBD_PatronMasa[[Código Patrón]:[mpe]],9,FALSE),"")</f>
        <v/>
      </c>
      <c r="R26" s="66" t="str">
        <f>IF(switch="Sí",IFERROR(VLOOKUP(tblCompPuntosCal[[#This Row],[Punto 1]],'kU(E)'!$AB$7:$AK$56,10,FALSE)*1000,""),IFERROR(VLOOKUP(tblCompPuntosCal[[#This Row],[Punto 1]],'kU(E)'!$AB$7:$AK$56*1000,8,FALSE),""))</f>
        <v/>
      </c>
      <c r="S26" s="55" t="str">
        <f>IFERROR(IF('kU(E)'!$E$6&lt;&gt;0,INDEX(deltaMconv,MATCH(tblCompPuntosCal[[#This Row],[mN1]],MnomDeltaT),MATCH('kU(E)'!$E$6,deltaT,-1))/SQRT(3),""),"")</f>
        <v/>
      </c>
      <c r="T26" s="62"/>
      <c r="U26" s="55" t="str">
        <f>IFERROR(VLOOKUP(tblCompPuntosCal[[#This Row],[Punto 2]],tblBD_PatronMasa[[Código Patrón]:[mpe]],4,FALSE),"")</f>
        <v/>
      </c>
      <c r="V26" s="55" t="str">
        <f>IFERROR(VLOOKUP(tblCompPuntosCal[[#This Row],[Punto 2]],tblBD_PatronMasa[[Código Patrón]:[mpe]],6,FALSE),"")</f>
        <v/>
      </c>
      <c r="W26" s="55" t="str">
        <f>IFERROR(VLOOKUP(tblCompPuntosCal[[#This Row],[Punto 2]],tblBD_PatronMasa[[Código Patrón]:[mpe]],7,FALSE),"")</f>
        <v/>
      </c>
      <c r="X26" s="55" t="str">
        <f>IFERROR(VLOOKUP(tblCompPuntosCal[[#This Row],[Punto 2]],tblBD_PatronMasa[[Código Patrón]:[mpe]],9,FALSE),"")</f>
        <v/>
      </c>
      <c r="Y26" s="66" t="str">
        <f>IF(switch="Sí",IFERROR(VLOOKUP(tblCompPuntosCal[[#This Row],[Punto 2]],'kU(E)'!$AB$7:$AK$56,10,FALSE)*1000,""),IFERROR(VLOOKUP(tblCompPuntosCal[[#This Row],[Punto 2]],'kU(E)'!$AB$7:$AK$56*1000,8,FALSE),""))</f>
        <v/>
      </c>
      <c r="Z26" s="55" t="str">
        <f>IFERROR(IF('kU(E)'!$E$6&lt;&gt;0,INDEX(deltaMconv,MATCH(tblCompPuntosCal[[#This Row],[mN2]],MnomDeltaT),MATCH('kU(E)'!$E$6,deltaT,-1))/SQRT(3),""),"")</f>
        <v/>
      </c>
      <c r="AA26" s="62"/>
      <c r="AB26" s="55" t="str">
        <f>IFERROR(VLOOKUP(tblCompPuntosCal[[#This Row],[Punto 3]],tblBD_PatronMasa[[Código Patrón]:[mpe]],4,FALSE),"")</f>
        <v/>
      </c>
      <c r="AC26" s="55" t="str">
        <f>IFERROR(VLOOKUP(tblCompPuntosCal[[#This Row],[Punto 3]],tblBD_PatronMasa[[Código Patrón]:[mpe]],6,FALSE),"")</f>
        <v/>
      </c>
      <c r="AD26" s="67" t="str">
        <f>IFERROR(VLOOKUP(tblCompPuntosCal[[#This Row],[Punto 3]],tblBD_PatronMasa[[Código Patrón]:[mpe]],7,FALSE),"")</f>
        <v/>
      </c>
      <c r="AE26" s="67" t="str">
        <f>IFERROR(VLOOKUP(tblCompPuntosCal[[#This Row],[Punto 3]],tblBD_PatronMasa[[Código Patrón]:[mpe]],9,FALSE),"")</f>
        <v/>
      </c>
      <c r="AF26" s="63" t="str">
        <f>IF(switch="Sí",IFERROR(VLOOKUP(tblCompPuntosCal[[#This Row],[Punto 3]],'kU(E)'!$AB$7:$AK$56,10,FALSE)*1000,""),IFERROR(VLOOKUP(tblCompPuntosCal[[#This Row],[Punto 3]],'kU(E)'!$AB$7:$AK$56*1000,8,FALSE),""))</f>
        <v/>
      </c>
      <c r="AG26" s="67" t="str">
        <f>IFERROR(IF('kU(E)'!$E$6&lt;&gt;0,INDEX(deltaMconv,MATCH(tblCompPuntosCal[[#This Row],[mN3]],MnomDeltaT),MATCH('kU(E)'!$E$6,deltaT,-1))/SQRT(3),""),"")</f>
        <v/>
      </c>
      <c r="AH26" s="62"/>
      <c r="AI26" s="67" t="str">
        <f>IFERROR(VLOOKUP(tblCompPuntosCal[[#This Row],[Punto 4]],tblBD_PatronMasa[[Código Patrón]:[mpe]],4,FALSE),"")</f>
        <v/>
      </c>
      <c r="AJ26" s="55" t="str">
        <f>IFERROR(VLOOKUP(tblCompPuntosCal[[#This Row],[Punto 4]],tblBD_PatronMasa[[Código Patrón]:[mpe]],6,FALSE),"")</f>
        <v/>
      </c>
      <c r="AK26" s="55" t="str">
        <f>IFERROR(VLOOKUP(tblCompPuntosCal[[#This Row],[Punto 4]],tblBD_PatronMasa[[Código Patrón]:[mpe]],7,FALSE),"")</f>
        <v/>
      </c>
      <c r="AL26" s="55" t="str">
        <f>IFERROR(VLOOKUP(tblCompPuntosCal[[#This Row],[Punto 4]],tblBD_PatronMasa[[Código Patrón]:[mpe]],9,FALSE),"")</f>
        <v/>
      </c>
      <c r="AM26" s="66" t="str">
        <f>IF(switch="Sí",IFERROR(VLOOKUP(tblCompPuntosCal[[#This Row],[Punto 4]],'kU(E)'!$AB$7:$AK$56,10,FALSE)*1000,""),IFERROR(VLOOKUP(tblCompPuntosCal[[#This Row],[Punto 4]],'kU(E)'!$AB$7:$AK$56,8,FALSE)*1000,""))</f>
        <v/>
      </c>
      <c r="AN26" s="55" t="str">
        <f>IFERROR(IF('kU(E)'!$E$6&lt;&gt;0,INDEX(deltaMconv,MATCH(tblCompPuntosCal[[#This Row],[mN4]],MnomDeltaT),MATCH('kU(E)'!$E$6,deltaT,-1))/SQRT(3),""),"")</f>
        <v/>
      </c>
      <c r="AO26" s="62"/>
      <c r="AP26" s="55" t="str">
        <f>IFERROR(VLOOKUP(tblCompPuntosCal[[#This Row],[Punto 5]],tblBD_PatronMasa[[Código Patrón]:[mpe]],4,FALSE),"")</f>
        <v/>
      </c>
      <c r="AQ26" s="55" t="str">
        <f>IFERROR(VLOOKUP(tblCompPuntosCal[[#This Row],[Punto 5]],tblBD_PatronMasa[[Código Patrón]:[mpe]],6,FALSE),"")</f>
        <v/>
      </c>
      <c r="AR26" s="55" t="str">
        <f>IFERROR(VLOOKUP(tblCompPuntosCal[[#This Row],[Punto 5]],tblBD_PatronMasa[[Código Patrón]:[mpe]],7,FALSE),"")</f>
        <v/>
      </c>
      <c r="AS26" s="55" t="str">
        <f>IFERROR(VLOOKUP(tblCompPuntosCal[[#This Row],[Punto 5]],tblBD_PatronMasa[[Código Patrón]:[mpe]],9,FALSE),"")</f>
        <v/>
      </c>
      <c r="AT26" s="66" t="str">
        <f>IF(switch="Sí",IFERROR(VLOOKUP(tblCompPuntosCal[[#This Row],[Punto 5]],'kU(E)'!$AB$7:$AK$56,10,FALSE)*1000,""),IFERROR(VLOOKUP(tblCompPuntosCal[[#This Row],[Punto 5]],'kU(E)'!$AB$7:$AK$56,8,FALSE)*1000,""))</f>
        <v/>
      </c>
      <c r="AU26" s="55" t="str">
        <f>IFERROR(IF('kU(E)'!$E$6&lt;&gt;0,INDEX(deltaMconv,MATCH(tblCompPuntosCal[[#This Row],[mN5]],MnomDeltaT),MATCH('kU(E)'!$E$6,deltaT,-1))/SQRT(3),""),"")</f>
        <v/>
      </c>
      <c r="AV26" s="62"/>
      <c r="AW26" s="55" t="str">
        <f>IFERROR(VLOOKUP(tblCompPuntosCal[[#This Row],[Punto 6]],tblBD_PatronMasa[[Código Patrón]:[mpe]],4,FALSE),"")</f>
        <v/>
      </c>
      <c r="AX26" s="55" t="str">
        <f>IFERROR(VLOOKUP(tblCompPuntosCal[[#This Row],[Punto 6]],tblBD_PatronMasa[[Código Patrón]:[mpe]],6,FALSE),"")</f>
        <v/>
      </c>
      <c r="AY26" s="55" t="str">
        <f>IFERROR(VLOOKUP(tblCompPuntosCal[[#This Row],[Punto 6]],tblBD_PatronMasa[[Código Patrón]:[mpe]],7,FALSE),"")</f>
        <v/>
      </c>
      <c r="AZ26" s="55" t="str">
        <f>IFERROR(VLOOKUP(tblCompPuntosCal[[#This Row],[Punto 6]],tblBD_PatronMasa[[Código Patrón]:[mpe]],9,FALSE),"")</f>
        <v/>
      </c>
      <c r="BA26" s="66" t="str">
        <f>IF(switch="Sí",IFERROR(VLOOKUP(tblCompPuntosCal[[#This Row],[Punto 6]],'kU(E)'!$AB$7:$AK$56,10,FALSE)*1000,""),IFERROR(VLOOKUP(tblCompPuntosCal[[#This Row],[Punto 6]],'kU(E)'!$AB$7:$AK$56,8,FALSE)*1000,""))</f>
        <v/>
      </c>
      <c r="BB26" s="55" t="str">
        <f>IFERROR(IF('kU(E)'!$E$6&lt;&gt;0,INDEX(deltaMconv,MATCH(tblCompPuntosCal[[#This Row],[mN6]],MnomDeltaT),MATCH('kU(E)'!$E$6,deltaT,-1))/SQRT(3),""),"")</f>
        <v/>
      </c>
      <c r="BC26" s="62"/>
      <c r="BD26" s="55" t="str">
        <f>IFERROR(VLOOKUP(tblCompPuntosCal[[#This Row],[Punto 7]],tblBD_PatronMasa[[Código Patrón]:[mpe]],4,FALSE),"")</f>
        <v/>
      </c>
      <c r="BE26" s="55" t="str">
        <f>IFERROR(VLOOKUP(tblCompPuntosCal[[#This Row],[Punto 7]],tblBD_PatronMasa[[Código Patrón]:[mpe]],6,FALSE),"")</f>
        <v/>
      </c>
      <c r="BF26" s="55" t="str">
        <f>IFERROR(VLOOKUP(tblCompPuntosCal[[#This Row],[Punto 7]],tblBD_PatronMasa[[Código Patrón]:[mpe]],7,FALSE),"")</f>
        <v/>
      </c>
      <c r="BG26" s="55" t="str">
        <f>IFERROR(VLOOKUP(tblCompPuntosCal[[#This Row],[Punto 7]],tblBD_PatronMasa[[Código Patrón]:[mpe]],9,FALSE),"")</f>
        <v/>
      </c>
      <c r="BH26" s="66" t="str">
        <f>IF(switch="Sí",IFERROR(VLOOKUP(tblCompPuntosCal[[#This Row],[Punto 7]],'kU(E)'!$AB$7:$AK$56,10,FALSE)*1000,""),IFERROR(VLOOKUP(tblCompPuntosCal[[#This Row],[Punto 7]],'kU(E)'!$AB$7:$AK$56,8,FALSE)*1000,""))</f>
        <v/>
      </c>
      <c r="BI26" s="55" t="str">
        <f>IFERROR(IF('kU(E)'!$E$6&lt;&gt;0,INDEX(deltaMconv,MATCH(tblCompPuntosCal[[#This Row],[mN7]],MnomDeltaT),MATCH('kU(E)'!$E$6,deltaT,-1))/SQRT(3),""),"")</f>
        <v/>
      </c>
      <c r="BJ26" s="62"/>
      <c r="BK26" s="55" t="str">
        <f>IFERROR(VLOOKUP(tblCompPuntosCal[[#This Row],[Punto 8]],tblBD_PatronMasa[[Código Patrón]:[mpe]],4,FALSE),"")</f>
        <v/>
      </c>
      <c r="BL26" s="55" t="str">
        <f>IFERROR(VLOOKUP(tblCompPuntosCal[[#This Row],[Punto 8]],tblBD_PatronMasa[[Código Patrón]:[mpe]],6,FALSE),"")</f>
        <v/>
      </c>
      <c r="BM26" s="55" t="str">
        <f>IFERROR(VLOOKUP(tblCompPuntosCal[[#This Row],[Punto 8]],tblBD_PatronMasa[[Código Patrón]:[mpe]],7,FALSE),"")</f>
        <v/>
      </c>
      <c r="BN26" s="55" t="str">
        <f>IFERROR(VLOOKUP(tblCompPuntosCal[[#This Row],[Punto 8]],tblBD_PatronMasa[[Código Patrón]:[mpe]],9,FALSE),"")</f>
        <v/>
      </c>
      <c r="BO26" s="66" t="str">
        <f>IF(switch="Sí",IFERROR(VLOOKUP(tblCompPuntosCal[[#This Row],[Punto 8]],'kU(E)'!$AB$7:$AK$56,10,FALSE)*1000,""),IFERROR(VLOOKUP(tblCompPuntosCal[[#This Row],[Punto 8]],'kU(E)'!$AB$7:$AK$56,8,FALSE)*1000,""))</f>
        <v/>
      </c>
      <c r="BP26" s="55" t="str">
        <f>IFERROR(IF('kU(E)'!$E$6&lt;&gt;0,INDEX(deltaMconv,MATCH(tblCompPuntosCal[[#This Row],[mN8]],MnomDeltaT),MATCH('kU(E)'!$E$6,deltaT,-1))/SQRT(3),""),"")</f>
        <v/>
      </c>
      <c r="BQ26" s="62"/>
      <c r="BR26" s="55" t="str">
        <f>IFERROR(VLOOKUP(tblCompPuntosCal[[#This Row],[Punto 9]],tblBD_PatronMasa[[Código Patrón]:[mpe]],4,FALSE),"")</f>
        <v/>
      </c>
      <c r="BS26" s="55" t="str">
        <f>IFERROR(VLOOKUP(tblCompPuntosCal[[#This Row],[Punto 9]],tblBD_PatronMasa[[Código Patrón]:[mpe]],6,FALSE),"")</f>
        <v/>
      </c>
      <c r="BT26" s="55" t="str">
        <f>IFERROR(VLOOKUP(tblCompPuntosCal[[#This Row],[Punto 9]],tblBD_PatronMasa[[Código Patrón]:[mpe]],7,FALSE),"")</f>
        <v/>
      </c>
      <c r="BU26" s="55" t="str">
        <f>IFERROR(VLOOKUP(tblCompPuntosCal[[#This Row],[Punto 9]],tblBD_PatronMasa[[Código Patrón]:[mpe]],9,FALSE),"")</f>
        <v/>
      </c>
      <c r="BV26" s="66" t="str">
        <f>IF(switch="Sí",IFERROR(VLOOKUP(tblCompPuntosCal[[#This Row],[Punto 9]],'kU(E)'!$AB$7:$AK$56,10,FALSE)*1000,""),IFERROR(VLOOKUP(tblCompPuntosCal[[#This Row],[Punto 9]],'kU(E)'!$AB$7:$AK$56,8,FALSE)*1000,""))</f>
        <v/>
      </c>
      <c r="BW26" s="55" t="str">
        <f>IFERROR(IF('kU(E)'!$E$6&lt;&gt;0,INDEX(deltaMconv,MATCH(tblCompPuntosCal[[#This Row],[mN9]],MnomDeltaT),MATCH('kU(E)'!$E$6,deltaT,-1))/SQRT(3),""),"")</f>
        <v/>
      </c>
      <c r="BX26" s="62"/>
      <c r="BY26" s="55" t="str">
        <f>IFERROR(VLOOKUP(tblCompPuntosCal[[#This Row],[Punto 10]],tblBD_PatronMasa[[Código Patrón]:[mpe]],4,FALSE),"")</f>
        <v/>
      </c>
      <c r="BZ26" s="55" t="str">
        <f>IFERROR(VLOOKUP(tblCompPuntosCal[[#This Row],[Punto 10]],tblBD_PatronMasa[[Código Patrón]:[mpe]],6,FALSE),"")</f>
        <v/>
      </c>
      <c r="CA26" s="59" t="str">
        <f>IFERROR(VLOOKUP(tblCompPuntosCal[[#This Row],[Punto 10]],tblBD_PatronMasa[[Código Patrón]:[mpe]],7,FALSE),"")</f>
        <v/>
      </c>
      <c r="CB26" s="59" t="str">
        <f>IFERROR(VLOOKUP(tblCompPuntosCal[[#This Row],[Punto 10]],tblBD_PatronMasa[[Código Patrón]:[mpe]],9,FALSE),"")</f>
        <v/>
      </c>
      <c r="CC26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26" s="59" t="str">
        <f>IFERROR(IF('kU(E)'!$E$6&lt;&gt;0,INDEX(deltaMconv,MATCH(tblCompPuntosCal[[#This Row],[mN10]],MnomDeltaT),MATCH('kU(E)'!$E$6,deltaT,-1))/SQRT(3),""),"")</f>
        <v/>
      </c>
      <c r="CG26" s="38">
        <v>22</v>
      </c>
      <c r="CH26" s="35">
        <f>tblCompPuntosCal[[#This Row],[Punto 1]]</f>
        <v>0</v>
      </c>
      <c r="CI26" s="35" t="str">
        <f>IF(tblTrazabilidad[[#This Row],[Código]]=0,"",IFERROR(IF(SEARCH("JM",tblTrazabilidad[[#This Row],[Código]])&gt;0,"Juego de pesas",),"Pesa"))</f>
        <v/>
      </c>
      <c r="CJ26" s="35" t="str">
        <f>IFERROR(VLOOKUP($CH26,tblBD_PatronMasa[[Código Patrón]:[mN-(mpe–U95)]],2,FALSE),"")</f>
        <v/>
      </c>
      <c r="CK26" s="35" t="str">
        <f>IFERROR(VLOOKUP($CH26,tblBD_PatronMasa[[Código Patrón]:[mN-(mpe–U95)]],13,FALSE),"")</f>
        <v/>
      </c>
      <c r="CL26" s="34" t="str">
        <f>IF(tblTrazabilidad[[#This Row],[Clase]]="F2",IFERROR(IF(VLOOKUP($CH26,tblBD_PatronMasa[[Código Patrón]:[mN-(mpe–U95)]],12,FALSE)=0,"",VLOOKUP($CH26,tblBD_PatronMasa[[Código Patrón]:[mN-(mpe–U95)]],12,FALSE)+731),""),IF(tblTrazabilidad[[#This Row],[Clase]]="F1",IFERROR(IF(VLOOKUP($CH26,tblBD_PatronMasa[[Código Patrón]:[mN-(mpe–U95)]],12,FALSE)=0,"",VLOOKUP($CH26,tblBD_PatronMasa[[Código Patrón]:[mN-(mpe–U95)]],12,FALSE)+731),""),IFERROR(IF(VLOOKUP($CH26,tblBD_PatronMasa[[Código Patrón]:[mN-(mpe–U95)]],12,FALSE)=0,"",VLOOKUP($CH26,tblBD_PatronMasa[[Código Patrón]:[mN-(mpe–U95)]],12,FALSE)+366),"")))</f>
        <v/>
      </c>
      <c r="CM26" s="33" t="str">
        <f>IFERROR(VLOOKUP($CH26,tblBD_PatronMasa[[Código Patrón]:[mN-(mpe–U95)]],3,FALSE),"")</f>
        <v/>
      </c>
      <c r="CO26" s="46"/>
      <c r="CP26" s="57" t="str">
        <f>IFERROR(VLOOKUP(CS26,tblTrazabilidad[[Código]:[Próxima calibración]],2,0),"")</f>
        <v/>
      </c>
      <c r="CQ26" s="58" t="str">
        <f>IFERROR(VLOOKUP(CS26,tblTrazabilidad[[Código]:[Clase]],6,0),"")</f>
        <v/>
      </c>
      <c r="CR26" s="57" t="str">
        <f>IFERROR(VLOOKUP(CS26,tblTrazabilidad[[Código]:[Próxima calibración]],3,0),"")</f>
        <v/>
      </c>
      <c r="CS26" s="56" t="str">
        <f t="shared" si="1"/>
        <v/>
      </c>
      <c r="CT26" s="55" t="str">
        <f>IFERROR(IF(VLOOKUP(CS26,tblTrazabilidad[[Código]:[Próxima calibración]],4,0)=0,"",VLOOKUP(CS26,tblTrazabilidad[[Código]:[Próxima calibración]],4,0)),"")</f>
        <v/>
      </c>
      <c r="CU26" s="54" t="str">
        <f>IFERROR(VLOOKUP(CS26,tblTrazabilidad[[Código]:[Próxima calibración]],5,0),"")</f>
        <v/>
      </c>
      <c r="CV26" s="53">
        <f t="shared" si="0"/>
        <v>0</v>
      </c>
      <c r="CW26" s="52" t="str">
        <f>IFERROR(LOOKUP(2,1/(COUNTIF($CW$4:CW25,tblTrazabilidad[Código])=0),tblTrazabilidad[Código]),"")</f>
        <v/>
      </c>
      <c r="DC26" s="1"/>
      <c r="DD26" s="1"/>
      <c r="DF26"/>
      <c r="DG26"/>
    </row>
    <row r="27" spans="2:111" x14ac:dyDescent="0.3">
      <c r="B27" s="84">
        <v>4</v>
      </c>
      <c r="C27" s="91">
        <f>IF(UnidadEscala="g",punto4,IF(UnidadEscala="kg",punto4/1000,punto4/453.592))</f>
        <v>0</v>
      </c>
      <c r="D27" s="93"/>
      <c r="E27" s="93"/>
      <c r="F27" s="82" t="str">
        <f t="shared" si="2"/>
        <v/>
      </c>
      <c r="G27" s="90" t="str">
        <f t="shared" si="3"/>
        <v/>
      </c>
      <c r="I27" s="92"/>
      <c r="L27" s="8">
        <v>24</v>
      </c>
      <c r="M27" s="62"/>
      <c r="N27" s="59" t="str">
        <f>IFERROR(VLOOKUP(tblCompPuntosCal[[#This Row],[Punto 1]],tblBD_PatronMasa[[Código Patrón]:[mpe]],4,FALSE),"")</f>
        <v/>
      </c>
      <c r="O27" s="59" t="str">
        <f>IFERROR(VLOOKUP(tblCompPuntosCal[[#This Row],[Punto 1]],tblBD_PatronMasa[[Código Patrón]:[mpe]],6,FALSE),"")</f>
        <v/>
      </c>
      <c r="P27" s="55" t="str">
        <f>IFERROR(VLOOKUP(tblCompPuntosCal[[#This Row],[Punto 1]],tblBD_PatronMasa[[Código Patrón]:[mpe]],7,FALSE),"")</f>
        <v/>
      </c>
      <c r="Q27" s="55" t="str">
        <f>IFERROR(VLOOKUP(tblCompPuntosCal[[#This Row],[Punto 1]],tblBD_PatronMasa[[Código Patrón]:[mpe]],9,FALSE),"")</f>
        <v/>
      </c>
      <c r="R27" s="66" t="str">
        <f>IF(switch="Sí",IFERROR(VLOOKUP(tblCompPuntosCal[[#This Row],[Punto 1]],'kU(E)'!$AB$7:$AK$56,10,FALSE)*1000,""),IFERROR(VLOOKUP(tblCompPuntosCal[[#This Row],[Punto 1]],'kU(E)'!$AB$7:$AK$56*1000,8,FALSE),""))</f>
        <v/>
      </c>
      <c r="S27" s="55" t="str">
        <f>IFERROR(IF('kU(E)'!$E$6&lt;&gt;0,INDEX(deltaMconv,MATCH(tblCompPuntosCal[[#This Row],[mN1]],MnomDeltaT),MATCH('kU(E)'!$E$6,deltaT,-1))/SQRT(3),""),"")</f>
        <v/>
      </c>
      <c r="T27" s="62"/>
      <c r="U27" s="55" t="str">
        <f>IFERROR(VLOOKUP(tblCompPuntosCal[[#This Row],[Punto 2]],tblBD_PatronMasa[[Código Patrón]:[mpe]],4,FALSE),"")</f>
        <v/>
      </c>
      <c r="V27" s="55" t="str">
        <f>IFERROR(VLOOKUP(tblCompPuntosCal[[#This Row],[Punto 2]],tblBD_PatronMasa[[Código Patrón]:[mpe]],6,FALSE),"")</f>
        <v/>
      </c>
      <c r="W27" s="55" t="str">
        <f>IFERROR(VLOOKUP(tblCompPuntosCal[[#This Row],[Punto 2]],tblBD_PatronMasa[[Código Patrón]:[mpe]],7,FALSE),"")</f>
        <v/>
      </c>
      <c r="X27" s="55" t="str">
        <f>IFERROR(VLOOKUP(tblCompPuntosCal[[#This Row],[Punto 2]],tblBD_PatronMasa[[Código Patrón]:[mpe]],9,FALSE),"")</f>
        <v/>
      </c>
      <c r="Y27" s="66" t="str">
        <f>IF(switch="Sí",IFERROR(VLOOKUP(tblCompPuntosCal[[#This Row],[Punto 2]],'kU(E)'!$AB$7:$AK$56,10,FALSE)*1000,""),IFERROR(VLOOKUP(tblCompPuntosCal[[#This Row],[Punto 2]],'kU(E)'!$AB$7:$AK$56*1000,8,FALSE),""))</f>
        <v/>
      </c>
      <c r="Z27" s="55" t="str">
        <f>IFERROR(IF('kU(E)'!$E$6&lt;&gt;0,INDEX(deltaMconv,MATCH(tblCompPuntosCal[[#This Row],[mN2]],MnomDeltaT),MATCH('kU(E)'!$E$6,deltaT,-1))/SQRT(3),""),"")</f>
        <v/>
      </c>
      <c r="AA27" s="62"/>
      <c r="AB27" s="55" t="str">
        <f>IFERROR(VLOOKUP(tblCompPuntosCal[[#This Row],[Punto 3]],tblBD_PatronMasa[[Código Patrón]:[mpe]],4,FALSE),"")</f>
        <v/>
      </c>
      <c r="AC27" s="55" t="str">
        <f>IFERROR(VLOOKUP(tblCompPuntosCal[[#This Row],[Punto 3]],tblBD_PatronMasa[[Código Patrón]:[mpe]],6,FALSE),"")</f>
        <v/>
      </c>
      <c r="AD27" s="67" t="str">
        <f>IFERROR(VLOOKUP(tblCompPuntosCal[[#This Row],[Punto 3]],tblBD_PatronMasa[[Código Patrón]:[mpe]],7,FALSE),"")</f>
        <v/>
      </c>
      <c r="AE27" s="67" t="str">
        <f>IFERROR(VLOOKUP(tblCompPuntosCal[[#This Row],[Punto 3]],tblBD_PatronMasa[[Código Patrón]:[mpe]],9,FALSE),"")</f>
        <v/>
      </c>
      <c r="AF27" s="63" t="str">
        <f>IF(switch="Sí",IFERROR(VLOOKUP(tblCompPuntosCal[[#This Row],[Punto 3]],'kU(E)'!$AB$7:$AK$56,10,FALSE)*1000,""),IFERROR(VLOOKUP(tblCompPuntosCal[[#This Row],[Punto 3]],'kU(E)'!$AB$7:$AK$56*1000,8,FALSE),""))</f>
        <v/>
      </c>
      <c r="AG27" s="67" t="str">
        <f>IFERROR(IF('kU(E)'!$E$6&lt;&gt;0,INDEX(deltaMconv,MATCH(tblCompPuntosCal[[#This Row],[mN3]],MnomDeltaT),MATCH('kU(E)'!$E$6,deltaT,-1))/SQRT(3),""),"")</f>
        <v/>
      </c>
      <c r="AH27" s="62"/>
      <c r="AI27" s="67" t="str">
        <f>IFERROR(VLOOKUP(tblCompPuntosCal[[#This Row],[Punto 4]],tblBD_PatronMasa[[Código Patrón]:[mpe]],4,FALSE),"")</f>
        <v/>
      </c>
      <c r="AJ27" s="55" t="str">
        <f>IFERROR(VLOOKUP(tblCompPuntosCal[[#This Row],[Punto 4]],tblBD_PatronMasa[[Código Patrón]:[mpe]],6,FALSE),"")</f>
        <v/>
      </c>
      <c r="AK27" s="55" t="str">
        <f>IFERROR(VLOOKUP(tblCompPuntosCal[[#This Row],[Punto 4]],tblBD_PatronMasa[[Código Patrón]:[mpe]],7,FALSE),"")</f>
        <v/>
      </c>
      <c r="AL27" s="55" t="str">
        <f>IFERROR(VLOOKUP(tblCompPuntosCal[[#This Row],[Punto 4]],tblBD_PatronMasa[[Código Patrón]:[mpe]],9,FALSE),"")</f>
        <v/>
      </c>
      <c r="AM27" s="66" t="str">
        <f>IF(switch="Sí",IFERROR(VLOOKUP(tblCompPuntosCal[[#This Row],[Punto 4]],'kU(E)'!$AB$7:$AK$56,10,FALSE)*1000,""),IFERROR(VLOOKUP(tblCompPuntosCal[[#This Row],[Punto 4]],'kU(E)'!$AB$7:$AK$56,8,FALSE)*1000,""))</f>
        <v/>
      </c>
      <c r="AN27" s="55" t="str">
        <f>IFERROR(IF('kU(E)'!$E$6&lt;&gt;0,INDEX(deltaMconv,MATCH(tblCompPuntosCal[[#This Row],[mN4]],MnomDeltaT),MATCH('kU(E)'!$E$6,deltaT,-1))/SQRT(3),""),"")</f>
        <v/>
      </c>
      <c r="AO27" s="62"/>
      <c r="AP27" s="55" t="str">
        <f>IFERROR(VLOOKUP(tblCompPuntosCal[[#This Row],[Punto 5]],tblBD_PatronMasa[[Código Patrón]:[mpe]],4,FALSE),"")</f>
        <v/>
      </c>
      <c r="AQ27" s="55" t="str">
        <f>IFERROR(VLOOKUP(tblCompPuntosCal[[#This Row],[Punto 5]],tblBD_PatronMasa[[Código Patrón]:[mpe]],6,FALSE),"")</f>
        <v/>
      </c>
      <c r="AR27" s="55" t="str">
        <f>IFERROR(VLOOKUP(tblCompPuntosCal[[#This Row],[Punto 5]],tblBD_PatronMasa[[Código Patrón]:[mpe]],7,FALSE),"")</f>
        <v/>
      </c>
      <c r="AS27" s="55" t="str">
        <f>IFERROR(VLOOKUP(tblCompPuntosCal[[#This Row],[Punto 5]],tblBD_PatronMasa[[Código Patrón]:[mpe]],9,FALSE),"")</f>
        <v/>
      </c>
      <c r="AT27" s="66" t="str">
        <f>IF(switch="Sí",IFERROR(VLOOKUP(tblCompPuntosCal[[#This Row],[Punto 5]],'kU(E)'!$AB$7:$AK$56,10,FALSE)*1000,""),IFERROR(VLOOKUP(tblCompPuntosCal[[#This Row],[Punto 5]],'kU(E)'!$AB$7:$AK$56,8,FALSE)*1000,""))</f>
        <v/>
      </c>
      <c r="AU27" s="55" t="str">
        <f>IFERROR(IF('kU(E)'!$E$6&lt;&gt;0,INDEX(deltaMconv,MATCH(tblCompPuntosCal[[#This Row],[mN5]],MnomDeltaT),MATCH('kU(E)'!$E$6,deltaT,-1))/SQRT(3),""),"")</f>
        <v/>
      </c>
      <c r="AV27" s="62"/>
      <c r="AW27" s="55" t="str">
        <f>IFERROR(VLOOKUP(tblCompPuntosCal[[#This Row],[Punto 6]],tblBD_PatronMasa[[Código Patrón]:[mpe]],4,FALSE),"")</f>
        <v/>
      </c>
      <c r="AX27" s="55" t="str">
        <f>IFERROR(VLOOKUP(tblCompPuntosCal[[#This Row],[Punto 6]],tblBD_PatronMasa[[Código Patrón]:[mpe]],6,FALSE),"")</f>
        <v/>
      </c>
      <c r="AY27" s="55" t="str">
        <f>IFERROR(VLOOKUP(tblCompPuntosCal[[#This Row],[Punto 6]],tblBD_PatronMasa[[Código Patrón]:[mpe]],7,FALSE),"")</f>
        <v/>
      </c>
      <c r="AZ27" s="55" t="str">
        <f>IFERROR(VLOOKUP(tblCompPuntosCal[[#This Row],[Punto 6]],tblBD_PatronMasa[[Código Patrón]:[mpe]],9,FALSE),"")</f>
        <v/>
      </c>
      <c r="BA27" s="66" t="str">
        <f>IF(switch="Sí",IFERROR(VLOOKUP(tblCompPuntosCal[[#This Row],[Punto 6]],'kU(E)'!$AB$7:$AK$56,10,FALSE)*1000,""),IFERROR(VLOOKUP(tblCompPuntosCal[[#This Row],[Punto 6]],'kU(E)'!$AB$7:$AK$56,8,FALSE)*1000,""))</f>
        <v/>
      </c>
      <c r="BB27" s="55" t="str">
        <f>IFERROR(IF('kU(E)'!$E$6&lt;&gt;0,INDEX(deltaMconv,MATCH(tblCompPuntosCal[[#This Row],[mN6]],MnomDeltaT),MATCH('kU(E)'!$E$6,deltaT,-1))/SQRT(3),""),"")</f>
        <v/>
      </c>
      <c r="BC27" s="62"/>
      <c r="BD27" s="55" t="str">
        <f>IFERROR(VLOOKUP(tblCompPuntosCal[[#This Row],[Punto 7]],tblBD_PatronMasa[[Código Patrón]:[mpe]],4,FALSE),"")</f>
        <v/>
      </c>
      <c r="BE27" s="55" t="str">
        <f>IFERROR(VLOOKUP(tblCompPuntosCal[[#This Row],[Punto 7]],tblBD_PatronMasa[[Código Patrón]:[mpe]],6,FALSE),"")</f>
        <v/>
      </c>
      <c r="BF27" s="55" t="str">
        <f>IFERROR(VLOOKUP(tblCompPuntosCal[[#This Row],[Punto 7]],tblBD_PatronMasa[[Código Patrón]:[mpe]],7,FALSE),"")</f>
        <v/>
      </c>
      <c r="BG27" s="55" t="str">
        <f>IFERROR(VLOOKUP(tblCompPuntosCal[[#This Row],[Punto 7]],tblBD_PatronMasa[[Código Patrón]:[mpe]],9,FALSE),"")</f>
        <v/>
      </c>
      <c r="BH27" s="66" t="str">
        <f>IF(switch="Sí",IFERROR(VLOOKUP(tblCompPuntosCal[[#This Row],[Punto 7]],'kU(E)'!$AB$7:$AK$56,10,FALSE)*1000,""),IFERROR(VLOOKUP(tblCompPuntosCal[[#This Row],[Punto 7]],'kU(E)'!$AB$7:$AK$56,8,FALSE)*1000,""))</f>
        <v/>
      </c>
      <c r="BI27" s="55" t="str">
        <f>IFERROR(IF('kU(E)'!$E$6&lt;&gt;0,INDEX(deltaMconv,MATCH(tblCompPuntosCal[[#This Row],[mN7]],MnomDeltaT),MATCH('kU(E)'!$E$6,deltaT,-1))/SQRT(3),""),"")</f>
        <v/>
      </c>
      <c r="BJ27" s="62"/>
      <c r="BK27" s="55" t="str">
        <f>IFERROR(VLOOKUP(tblCompPuntosCal[[#This Row],[Punto 8]],tblBD_PatronMasa[[Código Patrón]:[mpe]],4,FALSE),"")</f>
        <v/>
      </c>
      <c r="BL27" s="55" t="str">
        <f>IFERROR(VLOOKUP(tblCompPuntosCal[[#This Row],[Punto 8]],tblBD_PatronMasa[[Código Patrón]:[mpe]],6,FALSE),"")</f>
        <v/>
      </c>
      <c r="BM27" s="55" t="str">
        <f>IFERROR(VLOOKUP(tblCompPuntosCal[[#This Row],[Punto 8]],tblBD_PatronMasa[[Código Patrón]:[mpe]],7,FALSE),"")</f>
        <v/>
      </c>
      <c r="BN27" s="55" t="str">
        <f>IFERROR(VLOOKUP(tblCompPuntosCal[[#This Row],[Punto 8]],tblBD_PatronMasa[[Código Patrón]:[mpe]],9,FALSE),"")</f>
        <v/>
      </c>
      <c r="BO27" s="66" t="str">
        <f>IF(switch="Sí",IFERROR(VLOOKUP(tblCompPuntosCal[[#This Row],[Punto 8]],'kU(E)'!$AB$7:$AK$56,10,FALSE)*1000,""),IFERROR(VLOOKUP(tblCompPuntosCal[[#This Row],[Punto 8]],'kU(E)'!$AB$7:$AK$56,8,FALSE)*1000,""))</f>
        <v/>
      </c>
      <c r="BP27" s="55" t="str">
        <f>IFERROR(IF('kU(E)'!$E$6&lt;&gt;0,INDEX(deltaMconv,MATCH(tblCompPuntosCal[[#This Row],[mN8]],MnomDeltaT),MATCH('kU(E)'!$E$6,deltaT,-1))/SQRT(3),""),"")</f>
        <v/>
      </c>
      <c r="BQ27" s="62"/>
      <c r="BR27" s="55" t="str">
        <f>IFERROR(VLOOKUP(tblCompPuntosCal[[#This Row],[Punto 9]],tblBD_PatronMasa[[Código Patrón]:[mpe]],4,FALSE),"")</f>
        <v/>
      </c>
      <c r="BS27" s="55" t="str">
        <f>IFERROR(VLOOKUP(tblCompPuntosCal[[#This Row],[Punto 9]],tblBD_PatronMasa[[Código Patrón]:[mpe]],6,FALSE),"")</f>
        <v/>
      </c>
      <c r="BT27" s="55" t="str">
        <f>IFERROR(VLOOKUP(tblCompPuntosCal[[#This Row],[Punto 9]],tblBD_PatronMasa[[Código Patrón]:[mpe]],7,FALSE),"")</f>
        <v/>
      </c>
      <c r="BU27" s="55" t="str">
        <f>IFERROR(VLOOKUP(tblCompPuntosCal[[#This Row],[Punto 9]],tblBD_PatronMasa[[Código Patrón]:[mpe]],9,FALSE),"")</f>
        <v/>
      </c>
      <c r="BV27" s="66" t="str">
        <f>IF(switch="Sí",IFERROR(VLOOKUP(tblCompPuntosCal[[#This Row],[Punto 9]],'kU(E)'!$AB$7:$AK$56,10,FALSE)*1000,""),IFERROR(VLOOKUP(tblCompPuntosCal[[#This Row],[Punto 9]],'kU(E)'!$AB$7:$AK$56,8,FALSE)*1000,""))</f>
        <v/>
      </c>
      <c r="BW27" s="55" t="str">
        <f>IFERROR(IF('kU(E)'!$E$6&lt;&gt;0,INDEX(deltaMconv,MATCH(tblCompPuntosCal[[#This Row],[mN9]],MnomDeltaT),MATCH('kU(E)'!$E$6,deltaT,-1))/SQRT(3),""),"")</f>
        <v/>
      </c>
      <c r="BX27" s="62"/>
      <c r="BY27" s="55" t="str">
        <f>IFERROR(VLOOKUP(tblCompPuntosCal[[#This Row],[Punto 10]],tblBD_PatronMasa[[Código Patrón]:[mpe]],4,FALSE),"")</f>
        <v/>
      </c>
      <c r="BZ27" s="55" t="str">
        <f>IFERROR(VLOOKUP(tblCompPuntosCal[[#This Row],[Punto 10]],tblBD_PatronMasa[[Código Patrón]:[mpe]],6,FALSE),"")</f>
        <v/>
      </c>
      <c r="CA27" s="59" t="str">
        <f>IFERROR(VLOOKUP(tblCompPuntosCal[[#This Row],[Punto 10]],tblBD_PatronMasa[[Código Patrón]:[mpe]],7,FALSE),"")</f>
        <v/>
      </c>
      <c r="CB27" s="59" t="str">
        <f>IFERROR(VLOOKUP(tblCompPuntosCal[[#This Row],[Punto 10]],tblBD_PatronMasa[[Código Patrón]:[mpe]],9,FALSE),"")</f>
        <v/>
      </c>
      <c r="CC27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27" s="59" t="str">
        <f>IFERROR(IF('kU(E)'!$E$6&lt;&gt;0,INDEX(deltaMconv,MATCH(tblCompPuntosCal[[#This Row],[mN10]],MnomDeltaT),MATCH('kU(E)'!$E$6,deltaT,-1))/SQRT(3),""),"")</f>
        <v/>
      </c>
      <c r="CG27" s="38">
        <v>23</v>
      </c>
      <c r="CH27" s="35">
        <f>tblCompPuntosCal[[#This Row],[Punto 1]]</f>
        <v>0</v>
      </c>
      <c r="CI27" s="35" t="str">
        <f>IF(tblTrazabilidad[[#This Row],[Código]]=0,"",IFERROR(IF(SEARCH("JM",tblTrazabilidad[[#This Row],[Código]])&gt;0,"Juego de pesas",),"Pesa"))</f>
        <v/>
      </c>
      <c r="CJ27" s="35" t="str">
        <f>IFERROR(VLOOKUP($CH27,tblBD_PatronMasa[[Código Patrón]:[mN-(mpe–U95)]],2,FALSE),"")</f>
        <v/>
      </c>
      <c r="CK27" s="35" t="str">
        <f>IFERROR(VLOOKUP($CH27,tblBD_PatronMasa[[Código Patrón]:[mN-(mpe–U95)]],13,FALSE),"")</f>
        <v/>
      </c>
      <c r="CL27" s="34" t="str">
        <f>IF(tblTrazabilidad[[#This Row],[Clase]]="F2",IFERROR(IF(VLOOKUP($CH27,tblBD_PatronMasa[[Código Patrón]:[mN-(mpe–U95)]],12,FALSE)=0,"",VLOOKUP($CH27,tblBD_PatronMasa[[Código Patrón]:[mN-(mpe–U95)]],12,FALSE)+731),""),IF(tblTrazabilidad[[#This Row],[Clase]]="F1",IFERROR(IF(VLOOKUP($CH27,tblBD_PatronMasa[[Código Patrón]:[mN-(mpe–U95)]],12,FALSE)=0,"",VLOOKUP($CH27,tblBD_PatronMasa[[Código Patrón]:[mN-(mpe–U95)]],12,FALSE)+731),""),IFERROR(IF(VLOOKUP($CH27,tblBD_PatronMasa[[Código Patrón]:[mN-(mpe–U95)]],12,FALSE)=0,"",VLOOKUP($CH27,tblBD_PatronMasa[[Código Patrón]:[mN-(mpe–U95)]],12,FALSE)+366),"")))</f>
        <v/>
      </c>
      <c r="CM27" s="33" t="str">
        <f>IFERROR(VLOOKUP($CH27,tblBD_PatronMasa[[Código Patrón]:[mN-(mpe–U95)]],3,FALSE),"")</f>
        <v/>
      </c>
      <c r="CO27" s="46"/>
      <c r="CP27" s="57" t="str">
        <f>IFERROR(VLOOKUP(CS27,tblTrazabilidad[[Código]:[Próxima calibración]],2,0),"")</f>
        <v/>
      </c>
      <c r="CQ27" s="58" t="str">
        <f>IFERROR(VLOOKUP(CS27,tblTrazabilidad[[Código]:[Clase]],6,0),"")</f>
        <v/>
      </c>
      <c r="CR27" s="57" t="str">
        <f>IFERROR(VLOOKUP(CS27,tblTrazabilidad[[Código]:[Próxima calibración]],3,0),"")</f>
        <v/>
      </c>
      <c r="CS27" s="56" t="str">
        <f t="shared" si="1"/>
        <v/>
      </c>
      <c r="CT27" s="55" t="str">
        <f>IFERROR(IF(VLOOKUP(CS27,tblTrazabilidad[[Código]:[Próxima calibración]],4,0)=0,"",VLOOKUP(CS27,tblTrazabilidad[[Código]:[Próxima calibración]],4,0)),"")</f>
        <v/>
      </c>
      <c r="CU27" s="54" t="str">
        <f>IFERROR(VLOOKUP(CS27,tblTrazabilidad[[Código]:[Próxima calibración]],5,0),"")</f>
        <v/>
      </c>
      <c r="CV27" s="53">
        <f t="shared" si="0"/>
        <v>0</v>
      </c>
      <c r="CW27" s="52" t="str">
        <f>IFERROR(LOOKUP(2,1/(COUNTIF($CW$4:CW26,tblTrazabilidad[Código])=0),tblTrazabilidad[Código]),"")</f>
        <v/>
      </c>
      <c r="DC27" s="1"/>
      <c r="DD27" s="1"/>
      <c r="DF27"/>
      <c r="DG27"/>
    </row>
    <row r="28" spans="2:111" x14ac:dyDescent="0.3">
      <c r="B28" s="84">
        <v>5</v>
      </c>
      <c r="C28" s="91">
        <f>IF(UnidadEscala="g",punto5,IF(UnidadEscala="kg",punto5/1000,punto5/453.592))</f>
        <v>0</v>
      </c>
      <c r="D28" s="93"/>
      <c r="E28" s="93"/>
      <c r="F28" s="82" t="str">
        <f t="shared" si="2"/>
        <v/>
      </c>
      <c r="G28" s="90" t="str">
        <f t="shared" si="3"/>
        <v/>
      </c>
      <c r="L28" s="8">
        <v>25</v>
      </c>
      <c r="M28" s="62"/>
      <c r="N28" s="59" t="str">
        <f>IFERROR(VLOOKUP(tblCompPuntosCal[[#This Row],[Punto 1]],tblBD_PatronMasa[[Código Patrón]:[mpe]],4,FALSE),"")</f>
        <v/>
      </c>
      <c r="O28" s="59" t="str">
        <f>IFERROR(VLOOKUP(tblCompPuntosCal[[#This Row],[Punto 1]],tblBD_PatronMasa[[Código Patrón]:[mpe]],6,FALSE),"")</f>
        <v/>
      </c>
      <c r="P28" s="55" t="str">
        <f>IFERROR(VLOOKUP(tblCompPuntosCal[[#This Row],[Punto 1]],tblBD_PatronMasa[[Código Patrón]:[mpe]],7,FALSE),"")</f>
        <v/>
      </c>
      <c r="Q28" s="55" t="str">
        <f>IFERROR(VLOOKUP(tblCompPuntosCal[[#This Row],[Punto 1]],tblBD_PatronMasa[[Código Patrón]:[mpe]],9,FALSE),"")</f>
        <v/>
      </c>
      <c r="R28" s="66" t="str">
        <f>IF(switch="Sí",IFERROR(VLOOKUP(tblCompPuntosCal[[#This Row],[Punto 1]],'kU(E)'!$AB$7:$AK$56,10,FALSE)*1000,""),IFERROR(VLOOKUP(tblCompPuntosCal[[#This Row],[Punto 1]],'kU(E)'!$AB$7:$AK$56*1000,8,FALSE),""))</f>
        <v/>
      </c>
      <c r="S28" s="55" t="str">
        <f>IFERROR(IF('kU(E)'!$E$6&lt;&gt;0,INDEX(deltaMconv,MATCH(tblCompPuntosCal[[#This Row],[mN1]],MnomDeltaT),MATCH('kU(E)'!$E$6,deltaT,-1))/SQRT(3),""),"")</f>
        <v/>
      </c>
      <c r="T28" s="62"/>
      <c r="U28" s="55" t="str">
        <f>IFERROR(VLOOKUP(tblCompPuntosCal[[#This Row],[Punto 2]],tblBD_PatronMasa[[Código Patrón]:[mpe]],4,FALSE),"")</f>
        <v/>
      </c>
      <c r="V28" s="55" t="str">
        <f>IFERROR(VLOOKUP(tblCompPuntosCal[[#This Row],[Punto 2]],tblBD_PatronMasa[[Código Patrón]:[mpe]],6,FALSE),"")</f>
        <v/>
      </c>
      <c r="W28" s="55" t="str">
        <f>IFERROR(VLOOKUP(tblCompPuntosCal[[#This Row],[Punto 2]],tblBD_PatronMasa[[Código Patrón]:[mpe]],7,FALSE),"")</f>
        <v/>
      </c>
      <c r="X28" s="55" t="str">
        <f>IFERROR(VLOOKUP(tblCompPuntosCal[[#This Row],[Punto 2]],tblBD_PatronMasa[[Código Patrón]:[mpe]],9,FALSE),"")</f>
        <v/>
      </c>
      <c r="Y28" s="66" t="str">
        <f>IF(switch="Sí",IFERROR(VLOOKUP(tblCompPuntosCal[[#This Row],[Punto 2]],'kU(E)'!$AB$7:$AK$56,10,FALSE)*1000,""),IFERROR(VLOOKUP(tblCompPuntosCal[[#This Row],[Punto 2]],'kU(E)'!$AB$7:$AK$56*1000,8,FALSE),""))</f>
        <v/>
      </c>
      <c r="Z28" s="55" t="str">
        <f>IFERROR(IF('kU(E)'!$E$6&lt;&gt;0,INDEX(deltaMconv,MATCH(tblCompPuntosCal[[#This Row],[mN2]],MnomDeltaT),MATCH('kU(E)'!$E$6,deltaT,-1))/SQRT(3),""),"")</f>
        <v/>
      </c>
      <c r="AA28" s="62"/>
      <c r="AB28" s="55" t="str">
        <f>IFERROR(VLOOKUP(tblCompPuntosCal[[#This Row],[Punto 3]],tblBD_PatronMasa[[Código Patrón]:[mpe]],4,FALSE),"")</f>
        <v/>
      </c>
      <c r="AC28" s="55" t="str">
        <f>IFERROR(VLOOKUP(tblCompPuntosCal[[#This Row],[Punto 3]],tblBD_PatronMasa[[Código Patrón]:[mpe]],6,FALSE),"")</f>
        <v/>
      </c>
      <c r="AD28" s="67" t="str">
        <f>IFERROR(VLOOKUP(tblCompPuntosCal[[#This Row],[Punto 3]],tblBD_PatronMasa[[Código Patrón]:[mpe]],7,FALSE),"")</f>
        <v/>
      </c>
      <c r="AE28" s="67" t="str">
        <f>IFERROR(VLOOKUP(tblCompPuntosCal[[#This Row],[Punto 3]],tblBD_PatronMasa[[Código Patrón]:[mpe]],9,FALSE),"")</f>
        <v/>
      </c>
      <c r="AF28" s="63" t="str">
        <f>IF(switch="Sí",IFERROR(VLOOKUP(tblCompPuntosCal[[#This Row],[Punto 3]],'kU(E)'!$AB$7:$AK$56,10,FALSE)*1000,""),IFERROR(VLOOKUP(tblCompPuntosCal[[#This Row],[Punto 3]],'kU(E)'!$AB$7:$AK$56*1000,8,FALSE),""))</f>
        <v/>
      </c>
      <c r="AG28" s="67" t="str">
        <f>IFERROR(IF('kU(E)'!$E$6&lt;&gt;0,INDEX(deltaMconv,MATCH(tblCompPuntosCal[[#This Row],[mN3]],MnomDeltaT),MATCH('kU(E)'!$E$6,deltaT,-1))/SQRT(3),""),"")</f>
        <v/>
      </c>
      <c r="AH28" s="62"/>
      <c r="AI28" s="67" t="str">
        <f>IFERROR(VLOOKUP(tblCompPuntosCal[[#This Row],[Punto 4]],tblBD_PatronMasa[[Código Patrón]:[mpe]],4,FALSE),"")</f>
        <v/>
      </c>
      <c r="AJ28" s="55" t="str">
        <f>IFERROR(VLOOKUP(tblCompPuntosCal[[#This Row],[Punto 4]],tblBD_PatronMasa[[Código Patrón]:[mpe]],6,FALSE),"")</f>
        <v/>
      </c>
      <c r="AK28" s="55" t="str">
        <f>IFERROR(VLOOKUP(tblCompPuntosCal[[#This Row],[Punto 4]],tblBD_PatronMasa[[Código Patrón]:[mpe]],7,FALSE),"")</f>
        <v/>
      </c>
      <c r="AL28" s="55" t="str">
        <f>IFERROR(VLOOKUP(tblCompPuntosCal[[#This Row],[Punto 4]],tblBD_PatronMasa[[Código Patrón]:[mpe]],9,FALSE),"")</f>
        <v/>
      </c>
      <c r="AM28" s="66" t="str">
        <f>IF(switch="Sí",IFERROR(VLOOKUP(tblCompPuntosCal[[#This Row],[Punto 4]],'kU(E)'!$AB$7:$AK$56,10,FALSE)*1000,""),IFERROR(VLOOKUP(tblCompPuntosCal[[#This Row],[Punto 4]],'kU(E)'!$AB$7:$AK$56,8,FALSE)*1000,""))</f>
        <v/>
      </c>
      <c r="AN28" s="55" t="str">
        <f>IFERROR(IF('kU(E)'!$E$6&lt;&gt;0,INDEX(deltaMconv,MATCH(tblCompPuntosCal[[#This Row],[mN4]],MnomDeltaT),MATCH('kU(E)'!$E$6,deltaT,-1))/SQRT(3),""),"")</f>
        <v/>
      </c>
      <c r="AO28" s="62"/>
      <c r="AP28" s="55" t="str">
        <f>IFERROR(VLOOKUP(tblCompPuntosCal[[#This Row],[Punto 5]],tblBD_PatronMasa[[Código Patrón]:[mpe]],4,FALSE),"")</f>
        <v/>
      </c>
      <c r="AQ28" s="55" t="str">
        <f>IFERROR(VLOOKUP(tblCompPuntosCal[[#This Row],[Punto 5]],tblBD_PatronMasa[[Código Patrón]:[mpe]],6,FALSE),"")</f>
        <v/>
      </c>
      <c r="AR28" s="55" t="str">
        <f>IFERROR(VLOOKUP(tblCompPuntosCal[[#This Row],[Punto 5]],tblBD_PatronMasa[[Código Patrón]:[mpe]],7,FALSE),"")</f>
        <v/>
      </c>
      <c r="AS28" s="55" t="str">
        <f>IFERROR(VLOOKUP(tblCompPuntosCal[[#This Row],[Punto 5]],tblBD_PatronMasa[[Código Patrón]:[mpe]],9,FALSE),"")</f>
        <v/>
      </c>
      <c r="AT28" s="66" t="str">
        <f>IF(switch="Sí",IFERROR(VLOOKUP(tblCompPuntosCal[[#This Row],[Punto 5]],'kU(E)'!$AB$7:$AK$56,10,FALSE)*1000,""),IFERROR(VLOOKUP(tblCompPuntosCal[[#This Row],[Punto 5]],'kU(E)'!$AB$7:$AK$56,8,FALSE)*1000,""))</f>
        <v/>
      </c>
      <c r="AU28" s="55" t="str">
        <f>IFERROR(IF('kU(E)'!$E$6&lt;&gt;0,INDEX(deltaMconv,MATCH(tblCompPuntosCal[[#This Row],[mN5]],MnomDeltaT),MATCH('kU(E)'!$E$6,deltaT,-1))/SQRT(3),""),"")</f>
        <v/>
      </c>
      <c r="AV28" s="62"/>
      <c r="AW28" s="55" t="str">
        <f>IFERROR(VLOOKUP(tblCompPuntosCal[[#This Row],[Punto 6]],tblBD_PatronMasa[[Código Patrón]:[mpe]],4,FALSE),"")</f>
        <v/>
      </c>
      <c r="AX28" s="55" t="str">
        <f>IFERROR(VLOOKUP(tblCompPuntosCal[[#This Row],[Punto 6]],tblBD_PatronMasa[[Código Patrón]:[mpe]],6,FALSE),"")</f>
        <v/>
      </c>
      <c r="AY28" s="55" t="str">
        <f>IFERROR(VLOOKUP(tblCompPuntosCal[[#This Row],[Punto 6]],tblBD_PatronMasa[[Código Patrón]:[mpe]],7,FALSE),"")</f>
        <v/>
      </c>
      <c r="AZ28" s="55" t="str">
        <f>IFERROR(VLOOKUP(tblCompPuntosCal[[#This Row],[Punto 6]],tblBD_PatronMasa[[Código Patrón]:[mpe]],9,FALSE),"")</f>
        <v/>
      </c>
      <c r="BA28" s="66" t="str">
        <f>IF(switch="Sí",IFERROR(VLOOKUP(tblCompPuntosCal[[#This Row],[Punto 6]],'kU(E)'!$AB$7:$AK$56,10,FALSE)*1000,""),IFERROR(VLOOKUP(tblCompPuntosCal[[#This Row],[Punto 6]],'kU(E)'!$AB$7:$AK$56,8,FALSE)*1000,""))</f>
        <v/>
      </c>
      <c r="BB28" s="55" t="str">
        <f>IFERROR(IF('kU(E)'!$E$6&lt;&gt;0,INDEX(deltaMconv,MATCH(tblCompPuntosCal[[#This Row],[mN6]],MnomDeltaT),MATCH('kU(E)'!$E$6,deltaT,-1))/SQRT(3),""),"")</f>
        <v/>
      </c>
      <c r="BC28" s="62"/>
      <c r="BD28" s="55" t="str">
        <f>IFERROR(VLOOKUP(tblCompPuntosCal[[#This Row],[Punto 7]],tblBD_PatronMasa[[Código Patrón]:[mpe]],4,FALSE),"")</f>
        <v/>
      </c>
      <c r="BE28" s="55" t="str">
        <f>IFERROR(VLOOKUP(tblCompPuntosCal[[#This Row],[Punto 7]],tblBD_PatronMasa[[Código Patrón]:[mpe]],6,FALSE),"")</f>
        <v/>
      </c>
      <c r="BF28" s="55" t="str">
        <f>IFERROR(VLOOKUP(tblCompPuntosCal[[#This Row],[Punto 7]],tblBD_PatronMasa[[Código Patrón]:[mpe]],7,FALSE),"")</f>
        <v/>
      </c>
      <c r="BG28" s="55" t="str">
        <f>IFERROR(VLOOKUP(tblCompPuntosCal[[#This Row],[Punto 7]],tblBD_PatronMasa[[Código Patrón]:[mpe]],9,FALSE),"")</f>
        <v/>
      </c>
      <c r="BH28" s="66" t="str">
        <f>IF(switch="Sí",IFERROR(VLOOKUP(tblCompPuntosCal[[#This Row],[Punto 7]],'kU(E)'!$AB$7:$AK$56,10,FALSE)*1000,""),IFERROR(VLOOKUP(tblCompPuntosCal[[#This Row],[Punto 7]],'kU(E)'!$AB$7:$AK$56,8,FALSE)*1000,""))</f>
        <v/>
      </c>
      <c r="BI28" s="55" t="str">
        <f>IFERROR(IF('kU(E)'!$E$6&lt;&gt;0,INDEX(deltaMconv,MATCH(tblCompPuntosCal[[#This Row],[mN7]],MnomDeltaT),MATCH('kU(E)'!$E$6,deltaT,-1))/SQRT(3),""),"")</f>
        <v/>
      </c>
      <c r="BJ28" s="62"/>
      <c r="BK28" s="55" t="str">
        <f>IFERROR(VLOOKUP(tblCompPuntosCal[[#This Row],[Punto 8]],tblBD_PatronMasa[[Código Patrón]:[mpe]],4,FALSE),"")</f>
        <v/>
      </c>
      <c r="BL28" s="55" t="str">
        <f>IFERROR(VLOOKUP(tblCompPuntosCal[[#This Row],[Punto 8]],tblBD_PatronMasa[[Código Patrón]:[mpe]],6,FALSE),"")</f>
        <v/>
      </c>
      <c r="BM28" s="55" t="str">
        <f>IFERROR(VLOOKUP(tblCompPuntosCal[[#This Row],[Punto 8]],tblBD_PatronMasa[[Código Patrón]:[mpe]],7,FALSE),"")</f>
        <v/>
      </c>
      <c r="BN28" s="55" t="str">
        <f>IFERROR(VLOOKUP(tblCompPuntosCal[[#This Row],[Punto 8]],tblBD_PatronMasa[[Código Patrón]:[mpe]],9,FALSE),"")</f>
        <v/>
      </c>
      <c r="BO28" s="66" t="str">
        <f>IF(switch="Sí",IFERROR(VLOOKUP(tblCompPuntosCal[[#This Row],[Punto 8]],'kU(E)'!$AB$7:$AK$56,10,FALSE)*1000,""),IFERROR(VLOOKUP(tblCompPuntosCal[[#This Row],[Punto 8]],'kU(E)'!$AB$7:$AK$56,8,FALSE)*1000,""))</f>
        <v/>
      </c>
      <c r="BP28" s="55" t="str">
        <f>IFERROR(IF('kU(E)'!$E$6&lt;&gt;0,INDEX(deltaMconv,MATCH(tblCompPuntosCal[[#This Row],[mN8]],MnomDeltaT),MATCH('kU(E)'!$E$6,deltaT,-1))/SQRT(3),""),"")</f>
        <v/>
      </c>
      <c r="BQ28" s="62"/>
      <c r="BR28" s="55" t="str">
        <f>IFERROR(VLOOKUP(tblCompPuntosCal[[#This Row],[Punto 9]],tblBD_PatronMasa[[Código Patrón]:[mpe]],4,FALSE),"")</f>
        <v/>
      </c>
      <c r="BS28" s="55" t="str">
        <f>IFERROR(VLOOKUP(tblCompPuntosCal[[#This Row],[Punto 9]],tblBD_PatronMasa[[Código Patrón]:[mpe]],6,FALSE),"")</f>
        <v/>
      </c>
      <c r="BT28" s="55" t="str">
        <f>IFERROR(VLOOKUP(tblCompPuntosCal[[#This Row],[Punto 9]],tblBD_PatronMasa[[Código Patrón]:[mpe]],7,FALSE),"")</f>
        <v/>
      </c>
      <c r="BU28" s="55" t="str">
        <f>IFERROR(VLOOKUP(tblCompPuntosCal[[#This Row],[Punto 9]],tblBD_PatronMasa[[Código Patrón]:[mpe]],9,FALSE),"")</f>
        <v/>
      </c>
      <c r="BV28" s="66" t="str">
        <f>IF(switch="Sí",IFERROR(VLOOKUP(tblCompPuntosCal[[#This Row],[Punto 9]],'kU(E)'!$AB$7:$AK$56,10,FALSE)*1000,""),IFERROR(VLOOKUP(tblCompPuntosCal[[#This Row],[Punto 9]],'kU(E)'!$AB$7:$AK$56,8,FALSE)*1000,""))</f>
        <v/>
      </c>
      <c r="BW28" s="55" t="str">
        <f>IFERROR(IF('kU(E)'!$E$6&lt;&gt;0,INDEX(deltaMconv,MATCH(tblCompPuntosCal[[#This Row],[mN9]],MnomDeltaT),MATCH('kU(E)'!$E$6,deltaT,-1))/SQRT(3),""),"")</f>
        <v/>
      </c>
      <c r="BX28" s="62"/>
      <c r="BY28" s="55" t="str">
        <f>IFERROR(VLOOKUP(tblCompPuntosCal[[#This Row],[Punto 10]],tblBD_PatronMasa[[Código Patrón]:[mpe]],4,FALSE),"")</f>
        <v/>
      </c>
      <c r="BZ28" s="55" t="str">
        <f>IFERROR(VLOOKUP(tblCompPuntosCal[[#This Row],[Punto 10]],tblBD_PatronMasa[[Código Patrón]:[mpe]],6,FALSE),"")</f>
        <v/>
      </c>
      <c r="CA28" s="59" t="str">
        <f>IFERROR(VLOOKUP(tblCompPuntosCal[[#This Row],[Punto 10]],tblBD_PatronMasa[[Código Patrón]:[mpe]],7,FALSE),"")</f>
        <v/>
      </c>
      <c r="CB28" s="59" t="str">
        <f>IFERROR(VLOOKUP(tblCompPuntosCal[[#This Row],[Punto 10]],tblBD_PatronMasa[[Código Patrón]:[mpe]],9,FALSE),"")</f>
        <v/>
      </c>
      <c r="CC28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28" s="59" t="str">
        <f>IFERROR(IF('kU(E)'!$E$6&lt;&gt;0,INDEX(deltaMconv,MATCH(tblCompPuntosCal[[#This Row],[mN10]],MnomDeltaT),MATCH('kU(E)'!$E$6,deltaT,-1))/SQRT(3),""),"")</f>
        <v/>
      </c>
      <c r="CG28" s="38">
        <v>24</v>
      </c>
      <c r="CH28" s="35">
        <f>tblCompPuntosCal[[#This Row],[Punto 1]]</f>
        <v>0</v>
      </c>
      <c r="CI28" s="35" t="str">
        <f>IF(tblTrazabilidad[[#This Row],[Código]]=0,"",IFERROR(IF(SEARCH("JM",tblTrazabilidad[[#This Row],[Código]])&gt;0,"Juego de pesas",),"Pesa"))</f>
        <v/>
      </c>
      <c r="CJ28" s="35" t="str">
        <f>IFERROR(VLOOKUP($CH28,tblBD_PatronMasa[[Código Patrón]:[mN-(mpe–U95)]],2,FALSE),"")</f>
        <v/>
      </c>
      <c r="CK28" s="35" t="str">
        <f>IFERROR(VLOOKUP($CH28,tblBD_PatronMasa[[Código Patrón]:[mN-(mpe–U95)]],13,FALSE),"")</f>
        <v/>
      </c>
      <c r="CL28" s="34" t="str">
        <f>IF(tblTrazabilidad[[#This Row],[Clase]]="F2",IFERROR(IF(VLOOKUP($CH28,tblBD_PatronMasa[[Código Patrón]:[mN-(mpe–U95)]],12,FALSE)=0,"",VLOOKUP($CH28,tblBD_PatronMasa[[Código Patrón]:[mN-(mpe–U95)]],12,FALSE)+731),""),IF(tblTrazabilidad[[#This Row],[Clase]]="F1",IFERROR(IF(VLOOKUP($CH28,tblBD_PatronMasa[[Código Patrón]:[mN-(mpe–U95)]],12,FALSE)=0,"",VLOOKUP($CH28,tblBD_PatronMasa[[Código Patrón]:[mN-(mpe–U95)]],12,FALSE)+731),""),IFERROR(IF(VLOOKUP($CH28,tblBD_PatronMasa[[Código Patrón]:[mN-(mpe–U95)]],12,FALSE)=0,"",VLOOKUP($CH28,tblBD_PatronMasa[[Código Patrón]:[mN-(mpe–U95)]],12,FALSE)+366),"")))</f>
        <v/>
      </c>
      <c r="CM28" s="33" t="str">
        <f>IFERROR(VLOOKUP($CH28,tblBD_PatronMasa[[Código Patrón]:[mN-(mpe–U95)]],3,FALSE),"")</f>
        <v/>
      </c>
      <c r="CO28" s="46"/>
      <c r="CP28" s="57" t="str">
        <f>IFERROR(VLOOKUP(CS28,tblTrazabilidad[[Código]:[Próxima calibración]],2,0),"")</f>
        <v/>
      </c>
      <c r="CQ28" s="58" t="str">
        <f>IFERROR(VLOOKUP(CS28,tblTrazabilidad[[Código]:[Clase]],6,0),"")</f>
        <v/>
      </c>
      <c r="CR28" s="57" t="str">
        <f>IFERROR(VLOOKUP(CS28,tblTrazabilidad[[Código]:[Próxima calibración]],3,0),"")</f>
        <v/>
      </c>
      <c r="CS28" s="56" t="str">
        <f t="shared" si="1"/>
        <v/>
      </c>
      <c r="CT28" s="55" t="str">
        <f>IFERROR(IF(VLOOKUP(CS28,tblTrazabilidad[[Código]:[Próxima calibración]],4,0)=0,"",VLOOKUP(CS28,tblTrazabilidad[[Código]:[Próxima calibración]],4,0)),"")</f>
        <v/>
      </c>
      <c r="CU28" s="54" t="str">
        <f>IFERROR(VLOOKUP(CS28,tblTrazabilidad[[Código]:[Próxima calibración]],5,0),"")</f>
        <v/>
      </c>
      <c r="CV28" s="53">
        <f t="shared" si="0"/>
        <v>0</v>
      </c>
      <c r="CW28" s="52" t="str">
        <f>IFERROR(LOOKUP(2,1/(COUNTIF($CW$4:CW27,tblTrazabilidad[Código])=0),tblTrazabilidad[Código]),"")</f>
        <v/>
      </c>
      <c r="DC28" s="1"/>
      <c r="DD28" s="1"/>
      <c r="DF28"/>
      <c r="DG28"/>
    </row>
    <row r="29" spans="2:111" x14ac:dyDescent="0.3">
      <c r="B29" s="84">
        <v>6</v>
      </c>
      <c r="C29" s="91">
        <f>IF(UnidadEscala="g",punto6,IF(UnidadEscala="kg",punto6/1000,punto6/453.592))</f>
        <v>0</v>
      </c>
      <c r="D29" s="93"/>
      <c r="E29" s="93"/>
      <c r="F29" s="82" t="str">
        <f t="shared" si="2"/>
        <v/>
      </c>
      <c r="G29" s="90" t="str">
        <f t="shared" si="3"/>
        <v/>
      </c>
      <c r="I29" s="45"/>
      <c r="J29" s="45"/>
      <c r="K29" s="92"/>
      <c r="L29" s="8">
        <v>26</v>
      </c>
      <c r="M29" s="62"/>
      <c r="N29" s="59" t="str">
        <f>IFERROR(VLOOKUP(tblCompPuntosCal[[#This Row],[Punto 1]],tblBD_PatronMasa[[Código Patrón]:[mpe]],4,FALSE),"")</f>
        <v/>
      </c>
      <c r="O29" s="59" t="str">
        <f>IFERROR(VLOOKUP(tblCompPuntosCal[[#This Row],[Punto 1]],tblBD_PatronMasa[[Código Patrón]:[mpe]],6,FALSE),"")</f>
        <v/>
      </c>
      <c r="P29" s="55" t="str">
        <f>IFERROR(VLOOKUP(tblCompPuntosCal[[#This Row],[Punto 1]],tblBD_PatronMasa[[Código Patrón]:[mpe]],7,FALSE),"")</f>
        <v/>
      </c>
      <c r="Q29" s="55" t="str">
        <f>IFERROR(VLOOKUP(tblCompPuntosCal[[#This Row],[Punto 1]],tblBD_PatronMasa[[Código Patrón]:[mpe]],9,FALSE),"")</f>
        <v/>
      </c>
      <c r="R29" s="66" t="str">
        <f>IF(switch="Sí",IFERROR(VLOOKUP(tblCompPuntosCal[[#This Row],[Punto 1]],'kU(E)'!$AB$7:$AK$56,10,FALSE)*1000,""),IFERROR(VLOOKUP(tblCompPuntosCal[[#This Row],[Punto 1]],'kU(E)'!$AB$7:$AK$56*1000,8,FALSE),""))</f>
        <v/>
      </c>
      <c r="S29" s="55" t="str">
        <f>IFERROR(IF('kU(E)'!$E$6&lt;&gt;0,INDEX(deltaMconv,MATCH(tblCompPuntosCal[[#This Row],[mN1]],MnomDeltaT),MATCH('kU(E)'!$E$6,deltaT,-1))/SQRT(3),""),"")</f>
        <v/>
      </c>
      <c r="T29" s="62"/>
      <c r="U29" s="55" t="str">
        <f>IFERROR(VLOOKUP(tblCompPuntosCal[[#This Row],[Punto 2]],tblBD_PatronMasa[[Código Patrón]:[mpe]],4,FALSE),"")</f>
        <v/>
      </c>
      <c r="V29" s="55" t="str">
        <f>IFERROR(VLOOKUP(tblCompPuntosCal[[#This Row],[Punto 2]],tblBD_PatronMasa[[Código Patrón]:[mpe]],6,FALSE),"")</f>
        <v/>
      </c>
      <c r="W29" s="55" t="str">
        <f>IFERROR(VLOOKUP(tblCompPuntosCal[[#This Row],[Punto 2]],tblBD_PatronMasa[[Código Patrón]:[mpe]],7,FALSE),"")</f>
        <v/>
      </c>
      <c r="X29" s="55" t="str">
        <f>IFERROR(VLOOKUP(tblCompPuntosCal[[#This Row],[Punto 2]],tblBD_PatronMasa[[Código Patrón]:[mpe]],9,FALSE),"")</f>
        <v/>
      </c>
      <c r="Y29" s="66" t="str">
        <f>IF(switch="Sí",IFERROR(VLOOKUP(tblCompPuntosCal[[#This Row],[Punto 2]],'kU(E)'!$AB$7:$AK$56,10,FALSE)*1000,""),IFERROR(VLOOKUP(tblCompPuntosCal[[#This Row],[Punto 2]],'kU(E)'!$AB$7:$AK$56*1000,8,FALSE),""))</f>
        <v/>
      </c>
      <c r="Z29" s="55" t="str">
        <f>IFERROR(IF('kU(E)'!$E$6&lt;&gt;0,INDEX(deltaMconv,MATCH(tblCompPuntosCal[[#This Row],[mN2]],MnomDeltaT),MATCH('kU(E)'!$E$6,deltaT,-1))/SQRT(3),""),"")</f>
        <v/>
      </c>
      <c r="AA29" s="62"/>
      <c r="AB29" s="55" t="str">
        <f>IFERROR(VLOOKUP(tblCompPuntosCal[[#This Row],[Punto 3]],tblBD_PatronMasa[[Código Patrón]:[mpe]],4,FALSE),"")</f>
        <v/>
      </c>
      <c r="AC29" s="55" t="str">
        <f>IFERROR(VLOOKUP(tblCompPuntosCal[[#This Row],[Punto 3]],tblBD_PatronMasa[[Código Patrón]:[mpe]],6,FALSE),"")</f>
        <v/>
      </c>
      <c r="AD29" s="67" t="str">
        <f>IFERROR(VLOOKUP(tblCompPuntosCal[[#This Row],[Punto 3]],tblBD_PatronMasa[[Código Patrón]:[mpe]],7,FALSE),"")</f>
        <v/>
      </c>
      <c r="AE29" s="67" t="str">
        <f>IFERROR(VLOOKUP(tblCompPuntosCal[[#This Row],[Punto 3]],tblBD_PatronMasa[[Código Patrón]:[mpe]],9,FALSE),"")</f>
        <v/>
      </c>
      <c r="AF29" s="63" t="str">
        <f>IF(switch="Sí",IFERROR(VLOOKUP(tblCompPuntosCal[[#This Row],[Punto 3]],'kU(E)'!$AB$7:$AK$56,10,FALSE)*1000,""),IFERROR(VLOOKUP(tblCompPuntosCal[[#This Row],[Punto 3]],'kU(E)'!$AB$7:$AK$56*1000,8,FALSE),""))</f>
        <v/>
      </c>
      <c r="AG29" s="67" t="str">
        <f>IFERROR(IF('kU(E)'!$E$6&lt;&gt;0,INDEX(deltaMconv,MATCH(tblCompPuntosCal[[#This Row],[mN3]],MnomDeltaT),MATCH('kU(E)'!$E$6,deltaT,-1))/SQRT(3),""),"")</f>
        <v/>
      </c>
      <c r="AH29" s="62"/>
      <c r="AI29" s="67" t="str">
        <f>IFERROR(VLOOKUP(tblCompPuntosCal[[#This Row],[Punto 4]],tblBD_PatronMasa[[Código Patrón]:[mpe]],4,FALSE),"")</f>
        <v/>
      </c>
      <c r="AJ29" s="55" t="str">
        <f>IFERROR(VLOOKUP(tblCompPuntosCal[[#This Row],[Punto 4]],tblBD_PatronMasa[[Código Patrón]:[mpe]],6,FALSE),"")</f>
        <v/>
      </c>
      <c r="AK29" s="55" t="str">
        <f>IFERROR(VLOOKUP(tblCompPuntosCal[[#This Row],[Punto 4]],tblBD_PatronMasa[[Código Patrón]:[mpe]],7,FALSE),"")</f>
        <v/>
      </c>
      <c r="AL29" s="55" t="str">
        <f>IFERROR(VLOOKUP(tblCompPuntosCal[[#This Row],[Punto 4]],tblBD_PatronMasa[[Código Patrón]:[mpe]],9,FALSE),"")</f>
        <v/>
      </c>
      <c r="AM29" s="66" t="str">
        <f>IF(switch="Sí",IFERROR(VLOOKUP(tblCompPuntosCal[[#This Row],[Punto 4]],'kU(E)'!$AB$7:$AK$56,10,FALSE)*1000,""),IFERROR(VLOOKUP(tblCompPuntosCal[[#This Row],[Punto 4]],'kU(E)'!$AB$7:$AK$56,8,FALSE)*1000,""))</f>
        <v/>
      </c>
      <c r="AN29" s="55" t="str">
        <f>IFERROR(IF('kU(E)'!$E$6&lt;&gt;0,INDEX(deltaMconv,MATCH(tblCompPuntosCal[[#This Row],[mN4]],MnomDeltaT),MATCH('kU(E)'!$E$6,deltaT,-1))/SQRT(3),""),"")</f>
        <v/>
      </c>
      <c r="AO29" s="62"/>
      <c r="AP29" s="55" t="str">
        <f>IFERROR(VLOOKUP(tblCompPuntosCal[[#This Row],[Punto 5]],tblBD_PatronMasa[[Código Patrón]:[mpe]],4,FALSE),"")</f>
        <v/>
      </c>
      <c r="AQ29" s="55" t="str">
        <f>IFERROR(VLOOKUP(tblCompPuntosCal[[#This Row],[Punto 5]],tblBD_PatronMasa[[Código Patrón]:[mpe]],6,FALSE),"")</f>
        <v/>
      </c>
      <c r="AR29" s="55" t="str">
        <f>IFERROR(VLOOKUP(tblCompPuntosCal[[#This Row],[Punto 5]],tblBD_PatronMasa[[Código Patrón]:[mpe]],7,FALSE),"")</f>
        <v/>
      </c>
      <c r="AS29" s="55" t="str">
        <f>IFERROR(VLOOKUP(tblCompPuntosCal[[#This Row],[Punto 5]],tblBD_PatronMasa[[Código Patrón]:[mpe]],9,FALSE),"")</f>
        <v/>
      </c>
      <c r="AT29" s="66" t="str">
        <f>IF(switch="Sí",IFERROR(VLOOKUP(tblCompPuntosCal[[#This Row],[Punto 5]],'kU(E)'!$AB$7:$AK$56,10,FALSE)*1000,""),IFERROR(VLOOKUP(tblCompPuntosCal[[#This Row],[Punto 5]],'kU(E)'!$AB$7:$AK$56,8,FALSE)*1000,""))</f>
        <v/>
      </c>
      <c r="AU29" s="55" t="str">
        <f>IFERROR(IF('kU(E)'!$E$6&lt;&gt;0,INDEX(deltaMconv,MATCH(tblCompPuntosCal[[#This Row],[mN5]],MnomDeltaT),MATCH('kU(E)'!$E$6,deltaT,-1))/SQRT(3),""),"")</f>
        <v/>
      </c>
      <c r="AV29" s="62"/>
      <c r="AW29" s="55" t="str">
        <f>IFERROR(VLOOKUP(tblCompPuntosCal[[#This Row],[Punto 6]],tblBD_PatronMasa[[Código Patrón]:[mpe]],4,FALSE),"")</f>
        <v/>
      </c>
      <c r="AX29" s="55" t="str">
        <f>IFERROR(VLOOKUP(tblCompPuntosCal[[#This Row],[Punto 6]],tblBD_PatronMasa[[Código Patrón]:[mpe]],6,FALSE),"")</f>
        <v/>
      </c>
      <c r="AY29" s="55" t="str">
        <f>IFERROR(VLOOKUP(tblCompPuntosCal[[#This Row],[Punto 6]],tblBD_PatronMasa[[Código Patrón]:[mpe]],7,FALSE),"")</f>
        <v/>
      </c>
      <c r="AZ29" s="55" t="str">
        <f>IFERROR(VLOOKUP(tblCompPuntosCal[[#This Row],[Punto 6]],tblBD_PatronMasa[[Código Patrón]:[mpe]],9,FALSE),"")</f>
        <v/>
      </c>
      <c r="BA29" s="66" t="str">
        <f>IF(switch="Sí",IFERROR(VLOOKUP(tblCompPuntosCal[[#This Row],[Punto 6]],'kU(E)'!$AB$7:$AK$56,10,FALSE)*1000,""),IFERROR(VLOOKUP(tblCompPuntosCal[[#This Row],[Punto 6]],'kU(E)'!$AB$7:$AK$56,8,FALSE)*1000,""))</f>
        <v/>
      </c>
      <c r="BB29" s="55" t="str">
        <f>IFERROR(IF('kU(E)'!$E$6&lt;&gt;0,INDEX(deltaMconv,MATCH(tblCompPuntosCal[[#This Row],[mN6]],MnomDeltaT),MATCH('kU(E)'!$E$6,deltaT,-1))/SQRT(3),""),"")</f>
        <v/>
      </c>
      <c r="BC29" s="62"/>
      <c r="BD29" s="55" t="str">
        <f>IFERROR(VLOOKUP(tblCompPuntosCal[[#This Row],[Punto 7]],tblBD_PatronMasa[[Código Patrón]:[mpe]],4,FALSE),"")</f>
        <v/>
      </c>
      <c r="BE29" s="55" t="str">
        <f>IFERROR(VLOOKUP(tblCompPuntosCal[[#This Row],[Punto 7]],tblBD_PatronMasa[[Código Patrón]:[mpe]],6,FALSE),"")</f>
        <v/>
      </c>
      <c r="BF29" s="55" t="str">
        <f>IFERROR(VLOOKUP(tblCompPuntosCal[[#This Row],[Punto 7]],tblBD_PatronMasa[[Código Patrón]:[mpe]],7,FALSE),"")</f>
        <v/>
      </c>
      <c r="BG29" s="55" t="str">
        <f>IFERROR(VLOOKUP(tblCompPuntosCal[[#This Row],[Punto 7]],tblBD_PatronMasa[[Código Patrón]:[mpe]],9,FALSE),"")</f>
        <v/>
      </c>
      <c r="BH29" s="66" t="str">
        <f>IF(switch="Sí",IFERROR(VLOOKUP(tblCompPuntosCal[[#This Row],[Punto 7]],'kU(E)'!$AB$7:$AK$56,10,FALSE)*1000,""),IFERROR(VLOOKUP(tblCompPuntosCal[[#This Row],[Punto 7]],'kU(E)'!$AB$7:$AK$56,8,FALSE)*1000,""))</f>
        <v/>
      </c>
      <c r="BI29" s="55" t="str">
        <f>IFERROR(IF('kU(E)'!$E$6&lt;&gt;0,INDEX(deltaMconv,MATCH(tblCompPuntosCal[[#This Row],[mN7]],MnomDeltaT),MATCH('kU(E)'!$E$6,deltaT,-1))/SQRT(3),""),"")</f>
        <v/>
      </c>
      <c r="BJ29" s="62"/>
      <c r="BK29" s="55" t="str">
        <f>IFERROR(VLOOKUP(tblCompPuntosCal[[#This Row],[Punto 8]],tblBD_PatronMasa[[Código Patrón]:[mpe]],4,FALSE),"")</f>
        <v/>
      </c>
      <c r="BL29" s="55" t="str">
        <f>IFERROR(VLOOKUP(tblCompPuntosCal[[#This Row],[Punto 8]],tblBD_PatronMasa[[Código Patrón]:[mpe]],6,FALSE),"")</f>
        <v/>
      </c>
      <c r="BM29" s="55" t="str">
        <f>IFERROR(VLOOKUP(tblCompPuntosCal[[#This Row],[Punto 8]],tblBD_PatronMasa[[Código Patrón]:[mpe]],7,FALSE),"")</f>
        <v/>
      </c>
      <c r="BN29" s="55" t="str">
        <f>IFERROR(VLOOKUP(tblCompPuntosCal[[#This Row],[Punto 8]],tblBD_PatronMasa[[Código Patrón]:[mpe]],9,FALSE),"")</f>
        <v/>
      </c>
      <c r="BO29" s="66" t="str">
        <f>IF(switch="Sí",IFERROR(VLOOKUP(tblCompPuntosCal[[#This Row],[Punto 8]],'kU(E)'!$AB$7:$AK$56,10,FALSE)*1000,""),IFERROR(VLOOKUP(tblCompPuntosCal[[#This Row],[Punto 8]],'kU(E)'!$AB$7:$AK$56,8,FALSE)*1000,""))</f>
        <v/>
      </c>
      <c r="BP29" s="55" t="str">
        <f>IFERROR(IF('kU(E)'!$E$6&lt;&gt;0,INDEX(deltaMconv,MATCH(tblCompPuntosCal[[#This Row],[mN8]],MnomDeltaT),MATCH('kU(E)'!$E$6,deltaT,-1))/SQRT(3),""),"")</f>
        <v/>
      </c>
      <c r="BQ29" s="62"/>
      <c r="BR29" s="55" t="str">
        <f>IFERROR(VLOOKUP(tblCompPuntosCal[[#This Row],[Punto 9]],tblBD_PatronMasa[[Código Patrón]:[mpe]],4,FALSE),"")</f>
        <v/>
      </c>
      <c r="BS29" s="55" t="str">
        <f>IFERROR(VLOOKUP(tblCompPuntosCal[[#This Row],[Punto 9]],tblBD_PatronMasa[[Código Patrón]:[mpe]],6,FALSE),"")</f>
        <v/>
      </c>
      <c r="BT29" s="55" t="str">
        <f>IFERROR(VLOOKUP(tblCompPuntosCal[[#This Row],[Punto 9]],tblBD_PatronMasa[[Código Patrón]:[mpe]],7,FALSE),"")</f>
        <v/>
      </c>
      <c r="BU29" s="55" t="str">
        <f>IFERROR(VLOOKUP(tblCompPuntosCal[[#This Row],[Punto 9]],tblBD_PatronMasa[[Código Patrón]:[mpe]],9,FALSE),"")</f>
        <v/>
      </c>
      <c r="BV29" s="66" t="str">
        <f>IF(switch="Sí",IFERROR(VLOOKUP(tblCompPuntosCal[[#This Row],[Punto 9]],'kU(E)'!$AB$7:$AK$56,10,FALSE)*1000,""),IFERROR(VLOOKUP(tblCompPuntosCal[[#This Row],[Punto 9]],'kU(E)'!$AB$7:$AK$56,8,FALSE)*1000,""))</f>
        <v/>
      </c>
      <c r="BW29" s="55" t="str">
        <f>IFERROR(IF('kU(E)'!$E$6&lt;&gt;0,INDEX(deltaMconv,MATCH(tblCompPuntosCal[[#This Row],[mN9]],MnomDeltaT),MATCH('kU(E)'!$E$6,deltaT,-1))/SQRT(3),""),"")</f>
        <v/>
      </c>
      <c r="BX29" s="62"/>
      <c r="BY29" s="55" t="str">
        <f>IFERROR(VLOOKUP(tblCompPuntosCal[[#This Row],[Punto 10]],tblBD_PatronMasa[[Código Patrón]:[mpe]],4,FALSE),"")</f>
        <v/>
      </c>
      <c r="BZ29" s="55" t="str">
        <f>IFERROR(VLOOKUP(tblCompPuntosCal[[#This Row],[Punto 10]],tblBD_PatronMasa[[Código Patrón]:[mpe]],6,FALSE),"")</f>
        <v/>
      </c>
      <c r="CA29" s="59" t="str">
        <f>IFERROR(VLOOKUP(tblCompPuntosCal[[#This Row],[Punto 10]],tblBD_PatronMasa[[Código Patrón]:[mpe]],7,FALSE),"")</f>
        <v/>
      </c>
      <c r="CB29" s="59" t="str">
        <f>IFERROR(VLOOKUP(tblCompPuntosCal[[#This Row],[Punto 10]],tblBD_PatronMasa[[Código Patrón]:[mpe]],9,FALSE),"")</f>
        <v/>
      </c>
      <c r="CC29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29" s="59" t="str">
        <f>IFERROR(IF('kU(E)'!$E$6&lt;&gt;0,INDEX(deltaMconv,MATCH(tblCompPuntosCal[[#This Row],[mN10]],MnomDeltaT),MATCH('kU(E)'!$E$6,deltaT,-1))/SQRT(3),""),"")</f>
        <v/>
      </c>
      <c r="CG29" s="38">
        <v>25</v>
      </c>
      <c r="CH29" s="35">
        <f>tblCompPuntosCal[[#This Row],[Punto 1]]</f>
        <v>0</v>
      </c>
      <c r="CI29" s="35" t="str">
        <f>IF(tblTrazabilidad[[#This Row],[Código]]=0,"",IFERROR(IF(SEARCH("JM",tblTrazabilidad[[#This Row],[Código]])&gt;0,"Juego de pesas",),"Pesa"))</f>
        <v/>
      </c>
      <c r="CJ29" s="35" t="str">
        <f>IFERROR(VLOOKUP($CH29,tblBD_PatronMasa[[Código Patrón]:[mN-(mpe–U95)]],2,FALSE),"")</f>
        <v/>
      </c>
      <c r="CK29" s="35" t="str">
        <f>IFERROR(VLOOKUP($CH29,tblBD_PatronMasa[[Código Patrón]:[mN-(mpe–U95)]],13,FALSE),"")</f>
        <v/>
      </c>
      <c r="CL29" s="34" t="str">
        <f>IF(tblTrazabilidad[[#This Row],[Clase]]="F2",IFERROR(IF(VLOOKUP($CH29,tblBD_PatronMasa[[Código Patrón]:[mN-(mpe–U95)]],12,FALSE)=0,"",VLOOKUP($CH29,tblBD_PatronMasa[[Código Patrón]:[mN-(mpe–U95)]],12,FALSE)+731),""),IF(tblTrazabilidad[[#This Row],[Clase]]="F1",IFERROR(IF(VLOOKUP($CH29,tblBD_PatronMasa[[Código Patrón]:[mN-(mpe–U95)]],12,FALSE)=0,"",VLOOKUP($CH29,tblBD_PatronMasa[[Código Patrón]:[mN-(mpe–U95)]],12,FALSE)+731),""),IFERROR(IF(VLOOKUP($CH29,tblBD_PatronMasa[[Código Patrón]:[mN-(mpe–U95)]],12,FALSE)=0,"",VLOOKUP($CH29,tblBD_PatronMasa[[Código Patrón]:[mN-(mpe–U95)]],12,FALSE)+366),"")))</f>
        <v/>
      </c>
      <c r="CM29" s="33" t="str">
        <f>IFERROR(VLOOKUP($CH29,tblBD_PatronMasa[[Código Patrón]:[mN-(mpe–U95)]],3,FALSE),"")</f>
        <v/>
      </c>
      <c r="CO29" s="46"/>
      <c r="CP29" s="57" t="str">
        <f>IFERROR(VLOOKUP(CS29,tblTrazabilidad[[Código]:[Próxima calibración]],2,0),"")</f>
        <v/>
      </c>
      <c r="CQ29" s="58" t="str">
        <f>IFERROR(VLOOKUP(CS29,tblTrazabilidad[[Código]:[Clase]],6,0),"")</f>
        <v/>
      </c>
      <c r="CR29" s="57" t="str">
        <f>IFERROR(VLOOKUP(CS29,tblTrazabilidad[[Código]:[Próxima calibración]],3,0),"")</f>
        <v/>
      </c>
      <c r="CS29" s="56" t="str">
        <f t="shared" si="1"/>
        <v/>
      </c>
      <c r="CT29" s="55" t="str">
        <f>IFERROR(IF(VLOOKUP(CS29,tblTrazabilidad[[Código]:[Próxima calibración]],4,0)=0,"",VLOOKUP(CS29,tblTrazabilidad[[Código]:[Próxima calibración]],4,0)),"")</f>
        <v/>
      </c>
      <c r="CU29" s="54" t="str">
        <f>IFERROR(VLOOKUP(CS29,tblTrazabilidad[[Código]:[Próxima calibración]],5,0),"")</f>
        <v/>
      </c>
      <c r="CV29" s="53">
        <f t="shared" si="0"/>
        <v>0</v>
      </c>
      <c r="CW29" s="52" t="str">
        <f>IFERROR(LOOKUP(2,1/(COUNTIF($CW$4:CW28,tblTrazabilidad[Código])=0),tblTrazabilidad[Código]),"")</f>
        <v/>
      </c>
      <c r="DC29" s="1"/>
      <c r="DD29" s="1"/>
      <c r="DF29"/>
      <c r="DG29"/>
    </row>
    <row r="30" spans="2:111" x14ac:dyDescent="0.3">
      <c r="B30" s="84">
        <v>7</v>
      </c>
      <c r="C30" s="91">
        <f>IF(UnidadEscala="g",punto7,IF(UnidadEscala="kg",punto7/1000,punto7/453.592))</f>
        <v>0</v>
      </c>
      <c r="D30" s="50"/>
      <c r="E30" s="50"/>
      <c r="F30" s="82" t="str">
        <f t="shared" si="2"/>
        <v/>
      </c>
      <c r="G30" s="90" t="str">
        <f t="shared" si="3"/>
        <v/>
      </c>
      <c r="I30" s="45"/>
      <c r="J30" s="45"/>
      <c r="K30" s="92"/>
      <c r="L30" s="8">
        <v>27</v>
      </c>
      <c r="M30" s="62"/>
      <c r="N30" s="59" t="str">
        <f>IFERROR(VLOOKUP(tblCompPuntosCal[[#This Row],[Punto 1]],tblBD_PatronMasa[[Código Patrón]:[mpe]],4,FALSE),"")</f>
        <v/>
      </c>
      <c r="O30" s="59" t="str">
        <f>IFERROR(VLOOKUP(tblCompPuntosCal[[#This Row],[Punto 1]],tblBD_PatronMasa[[Código Patrón]:[mpe]],6,FALSE),"")</f>
        <v/>
      </c>
      <c r="P30" s="55" t="str">
        <f>IFERROR(VLOOKUP(tblCompPuntosCal[[#This Row],[Punto 1]],tblBD_PatronMasa[[Código Patrón]:[mpe]],7,FALSE),"")</f>
        <v/>
      </c>
      <c r="Q30" s="55" t="str">
        <f>IFERROR(VLOOKUP(tblCompPuntosCal[[#This Row],[Punto 1]],tblBD_PatronMasa[[Código Patrón]:[mpe]],9,FALSE),"")</f>
        <v/>
      </c>
      <c r="R30" s="66" t="str">
        <f>IF(switch="Sí",IFERROR(VLOOKUP(tblCompPuntosCal[[#This Row],[Punto 1]],'kU(E)'!$AB$7:$AK$56,10,FALSE)*1000,""),IFERROR(VLOOKUP(tblCompPuntosCal[[#This Row],[Punto 1]],'kU(E)'!$AB$7:$AK$56*1000,8,FALSE),""))</f>
        <v/>
      </c>
      <c r="S30" s="55" t="str">
        <f>IFERROR(IF('kU(E)'!$E$6&lt;&gt;0,INDEX(deltaMconv,MATCH(tblCompPuntosCal[[#This Row],[mN1]],MnomDeltaT),MATCH('kU(E)'!$E$6,deltaT,-1))/SQRT(3),""),"")</f>
        <v/>
      </c>
      <c r="T30" s="62"/>
      <c r="U30" s="55" t="str">
        <f>IFERROR(VLOOKUP(tblCompPuntosCal[[#This Row],[Punto 2]],tblBD_PatronMasa[[Código Patrón]:[mpe]],4,FALSE),"")</f>
        <v/>
      </c>
      <c r="V30" s="55" t="str">
        <f>IFERROR(VLOOKUP(tblCompPuntosCal[[#This Row],[Punto 2]],tblBD_PatronMasa[[Código Patrón]:[mpe]],6,FALSE),"")</f>
        <v/>
      </c>
      <c r="W30" s="55" t="str">
        <f>IFERROR(VLOOKUP(tblCompPuntosCal[[#This Row],[Punto 2]],tblBD_PatronMasa[[Código Patrón]:[mpe]],7,FALSE),"")</f>
        <v/>
      </c>
      <c r="X30" s="55" t="str">
        <f>IFERROR(VLOOKUP(tblCompPuntosCal[[#This Row],[Punto 2]],tblBD_PatronMasa[[Código Patrón]:[mpe]],9,FALSE),"")</f>
        <v/>
      </c>
      <c r="Y30" s="66" t="str">
        <f>IF(switch="Sí",IFERROR(VLOOKUP(tblCompPuntosCal[[#This Row],[Punto 2]],'kU(E)'!$AB$7:$AK$56,10,FALSE)*1000,""),IFERROR(VLOOKUP(tblCompPuntosCal[[#This Row],[Punto 2]],'kU(E)'!$AB$7:$AK$56*1000,8,FALSE),""))</f>
        <v/>
      </c>
      <c r="Z30" s="55" t="str">
        <f>IFERROR(IF('kU(E)'!$E$6&lt;&gt;0,INDEX(deltaMconv,MATCH(tblCompPuntosCal[[#This Row],[mN2]],MnomDeltaT),MATCH('kU(E)'!$E$6,deltaT,-1))/SQRT(3),""),"")</f>
        <v/>
      </c>
      <c r="AA30" s="62"/>
      <c r="AB30" s="55" t="str">
        <f>IFERROR(VLOOKUP(tblCompPuntosCal[[#This Row],[Punto 3]],tblBD_PatronMasa[[Código Patrón]:[mpe]],4,FALSE),"")</f>
        <v/>
      </c>
      <c r="AC30" s="55" t="str">
        <f>IFERROR(VLOOKUP(tblCompPuntosCal[[#This Row],[Punto 3]],tblBD_PatronMasa[[Código Patrón]:[mpe]],6,FALSE),"")</f>
        <v/>
      </c>
      <c r="AD30" s="67" t="str">
        <f>IFERROR(VLOOKUP(tblCompPuntosCal[[#This Row],[Punto 3]],tblBD_PatronMasa[[Código Patrón]:[mpe]],7,FALSE),"")</f>
        <v/>
      </c>
      <c r="AE30" s="67" t="str">
        <f>IFERROR(VLOOKUP(tblCompPuntosCal[[#This Row],[Punto 3]],tblBD_PatronMasa[[Código Patrón]:[mpe]],9,FALSE),"")</f>
        <v/>
      </c>
      <c r="AF30" s="63" t="str">
        <f>IF(switch="Sí",IFERROR(VLOOKUP(tblCompPuntosCal[[#This Row],[Punto 3]],'kU(E)'!$AB$7:$AK$56,10,FALSE)*1000,""),IFERROR(VLOOKUP(tblCompPuntosCal[[#This Row],[Punto 3]],'kU(E)'!$AB$7:$AK$56*1000,8,FALSE),""))</f>
        <v/>
      </c>
      <c r="AG30" s="67" t="str">
        <f>IFERROR(IF('kU(E)'!$E$6&lt;&gt;0,INDEX(deltaMconv,MATCH(tblCompPuntosCal[[#This Row],[mN3]],MnomDeltaT),MATCH('kU(E)'!$E$6,deltaT,-1))/SQRT(3),""),"")</f>
        <v/>
      </c>
      <c r="AH30" s="62"/>
      <c r="AI30" s="67" t="str">
        <f>IFERROR(VLOOKUP(tblCompPuntosCal[[#This Row],[Punto 4]],tblBD_PatronMasa[[Código Patrón]:[mpe]],4,FALSE),"")</f>
        <v/>
      </c>
      <c r="AJ30" s="55" t="str">
        <f>IFERROR(VLOOKUP(tblCompPuntosCal[[#This Row],[Punto 4]],tblBD_PatronMasa[[Código Patrón]:[mpe]],6,FALSE),"")</f>
        <v/>
      </c>
      <c r="AK30" s="55" t="str">
        <f>IFERROR(VLOOKUP(tblCompPuntosCal[[#This Row],[Punto 4]],tblBD_PatronMasa[[Código Patrón]:[mpe]],7,FALSE),"")</f>
        <v/>
      </c>
      <c r="AL30" s="55" t="str">
        <f>IFERROR(VLOOKUP(tblCompPuntosCal[[#This Row],[Punto 4]],tblBD_PatronMasa[[Código Patrón]:[mpe]],9,FALSE),"")</f>
        <v/>
      </c>
      <c r="AM30" s="66" t="str">
        <f>IF(switch="Sí",IFERROR(VLOOKUP(tblCompPuntosCal[[#This Row],[Punto 4]],'kU(E)'!$AB$7:$AK$56,10,FALSE)*1000,""),IFERROR(VLOOKUP(tblCompPuntosCal[[#This Row],[Punto 4]],'kU(E)'!$AB$7:$AK$56,8,FALSE)*1000,""))</f>
        <v/>
      </c>
      <c r="AN30" s="55" t="str">
        <f>IFERROR(IF('kU(E)'!$E$6&lt;&gt;0,INDEX(deltaMconv,MATCH(tblCompPuntosCal[[#This Row],[mN4]],MnomDeltaT),MATCH('kU(E)'!$E$6,deltaT,-1))/SQRT(3),""),"")</f>
        <v/>
      </c>
      <c r="AO30" s="62"/>
      <c r="AP30" s="55" t="str">
        <f>IFERROR(VLOOKUP(tblCompPuntosCal[[#This Row],[Punto 5]],tblBD_PatronMasa[[Código Patrón]:[mpe]],4,FALSE),"")</f>
        <v/>
      </c>
      <c r="AQ30" s="55" t="str">
        <f>IFERROR(VLOOKUP(tblCompPuntosCal[[#This Row],[Punto 5]],tblBD_PatronMasa[[Código Patrón]:[mpe]],6,FALSE),"")</f>
        <v/>
      </c>
      <c r="AR30" s="55" t="str">
        <f>IFERROR(VLOOKUP(tblCompPuntosCal[[#This Row],[Punto 5]],tblBD_PatronMasa[[Código Patrón]:[mpe]],7,FALSE),"")</f>
        <v/>
      </c>
      <c r="AS30" s="55" t="str">
        <f>IFERROR(VLOOKUP(tblCompPuntosCal[[#This Row],[Punto 5]],tblBD_PatronMasa[[Código Patrón]:[mpe]],9,FALSE),"")</f>
        <v/>
      </c>
      <c r="AT30" s="66" t="str">
        <f>IF(switch="Sí",IFERROR(VLOOKUP(tblCompPuntosCal[[#This Row],[Punto 5]],'kU(E)'!$AB$7:$AK$56,10,FALSE)*1000,""),IFERROR(VLOOKUP(tblCompPuntosCal[[#This Row],[Punto 5]],'kU(E)'!$AB$7:$AK$56,8,FALSE)*1000,""))</f>
        <v/>
      </c>
      <c r="AU30" s="55" t="str">
        <f>IFERROR(IF('kU(E)'!$E$6&lt;&gt;0,INDEX(deltaMconv,MATCH(tblCompPuntosCal[[#This Row],[mN5]],MnomDeltaT),MATCH('kU(E)'!$E$6,deltaT,-1))/SQRT(3),""),"")</f>
        <v/>
      </c>
      <c r="AV30" s="62"/>
      <c r="AW30" s="55" t="str">
        <f>IFERROR(VLOOKUP(tblCompPuntosCal[[#This Row],[Punto 6]],tblBD_PatronMasa[[Código Patrón]:[mpe]],4,FALSE),"")</f>
        <v/>
      </c>
      <c r="AX30" s="55" t="str">
        <f>IFERROR(VLOOKUP(tblCompPuntosCal[[#This Row],[Punto 6]],tblBD_PatronMasa[[Código Patrón]:[mpe]],6,FALSE),"")</f>
        <v/>
      </c>
      <c r="AY30" s="55" t="str">
        <f>IFERROR(VLOOKUP(tblCompPuntosCal[[#This Row],[Punto 6]],tblBD_PatronMasa[[Código Patrón]:[mpe]],7,FALSE),"")</f>
        <v/>
      </c>
      <c r="AZ30" s="55" t="str">
        <f>IFERROR(VLOOKUP(tblCompPuntosCal[[#This Row],[Punto 6]],tblBD_PatronMasa[[Código Patrón]:[mpe]],9,FALSE),"")</f>
        <v/>
      </c>
      <c r="BA30" s="66" t="str">
        <f>IF(switch="Sí",IFERROR(VLOOKUP(tblCompPuntosCal[[#This Row],[Punto 6]],'kU(E)'!$AB$7:$AK$56,10,FALSE)*1000,""),IFERROR(VLOOKUP(tblCompPuntosCal[[#This Row],[Punto 6]],'kU(E)'!$AB$7:$AK$56,8,FALSE)*1000,""))</f>
        <v/>
      </c>
      <c r="BB30" s="55" t="str">
        <f>IFERROR(IF('kU(E)'!$E$6&lt;&gt;0,INDEX(deltaMconv,MATCH(tblCompPuntosCal[[#This Row],[mN6]],MnomDeltaT),MATCH('kU(E)'!$E$6,deltaT,-1))/SQRT(3),""),"")</f>
        <v/>
      </c>
      <c r="BC30" s="62"/>
      <c r="BD30" s="55" t="str">
        <f>IFERROR(VLOOKUP(tblCompPuntosCal[[#This Row],[Punto 7]],tblBD_PatronMasa[[Código Patrón]:[mpe]],4,FALSE),"")</f>
        <v/>
      </c>
      <c r="BE30" s="55" t="str">
        <f>IFERROR(VLOOKUP(tblCompPuntosCal[[#This Row],[Punto 7]],tblBD_PatronMasa[[Código Patrón]:[mpe]],6,FALSE),"")</f>
        <v/>
      </c>
      <c r="BF30" s="55" t="str">
        <f>IFERROR(VLOOKUP(tblCompPuntosCal[[#This Row],[Punto 7]],tblBD_PatronMasa[[Código Patrón]:[mpe]],7,FALSE),"")</f>
        <v/>
      </c>
      <c r="BG30" s="55" t="str">
        <f>IFERROR(VLOOKUP(tblCompPuntosCal[[#This Row],[Punto 7]],tblBD_PatronMasa[[Código Patrón]:[mpe]],9,FALSE),"")</f>
        <v/>
      </c>
      <c r="BH30" s="66" t="str">
        <f>IF(switch="Sí",IFERROR(VLOOKUP(tblCompPuntosCal[[#This Row],[Punto 7]],'kU(E)'!$AB$7:$AK$56,10,FALSE)*1000,""),IFERROR(VLOOKUP(tblCompPuntosCal[[#This Row],[Punto 7]],'kU(E)'!$AB$7:$AK$56,8,FALSE)*1000,""))</f>
        <v/>
      </c>
      <c r="BI30" s="55" t="str">
        <f>IFERROR(IF('kU(E)'!$E$6&lt;&gt;0,INDEX(deltaMconv,MATCH(tblCompPuntosCal[[#This Row],[mN7]],MnomDeltaT),MATCH('kU(E)'!$E$6,deltaT,-1))/SQRT(3),""),"")</f>
        <v/>
      </c>
      <c r="BJ30" s="62"/>
      <c r="BK30" s="55" t="str">
        <f>IFERROR(VLOOKUP(tblCompPuntosCal[[#This Row],[Punto 8]],tblBD_PatronMasa[[Código Patrón]:[mpe]],4,FALSE),"")</f>
        <v/>
      </c>
      <c r="BL30" s="55" t="str">
        <f>IFERROR(VLOOKUP(tblCompPuntosCal[[#This Row],[Punto 8]],tblBD_PatronMasa[[Código Patrón]:[mpe]],6,FALSE),"")</f>
        <v/>
      </c>
      <c r="BM30" s="55" t="str">
        <f>IFERROR(VLOOKUP(tblCompPuntosCal[[#This Row],[Punto 8]],tblBD_PatronMasa[[Código Patrón]:[mpe]],7,FALSE),"")</f>
        <v/>
      </c>
      <c r="BN30" s="55" t="str">
        <f>IFERROR(VLOOKUP(tblCompPuntosCal[[#This Row],[Punto 8]],tblBD_PatronMasa[[Código Patrón]:[mpe]],9,FALSE),"")</f>
        <v/>
      </c>
      <c r="BO30" s="66" t="str">
        <f>IF(switch="Sí",IFERROR(VLOOKUP(tblCompPuntosCal[[#This Row],[Punto 8]],'kU(E)'!$AB$7:$AK$56,10,FALSE)*1000,""),IFERROR(VLOOKUP(tblCompPuntosCal[[#This Row],[Punto 8]],'kU(E)'!$AB$7:$AK$56,8,FALSE)*1000,""))</f>
        <v/>
      </c>
      <c r="BP30" s="55" t="str">
        <f>IFERROR(IF('kU(E)'!$E$6&lt;&gt;0,INDEX(deltaMconv,MATCH(tblCompPuntosCal[[#This Row],[mN8]],MnomDeltaT),MATCH('kU(E)'!$E$6,deltaT,-1))/SQRT(3),""),"")</f>
        <v/>
      </c>
      <c r="BQ30" s="62"/>
      <c r="BR30" s="55" t="str">
        <f>IFERROR(VLOOKUP(tblCompPuntosCal[[#This Row],[Punto 9]],tblBD_PatronMasa[[Código Patrón]:[mpe]],4,FALSE),"")</f>
        <v/>
      </c>
      <c r="BS30" s="55" t="str">
        <f>IFERROR(VLOOKUP(tblCompPuntosCal[[#This Row],[Punto 9]],tblBD_PatronMasa[[Código Patrón]:[mpe]],6,FALSE),"")</f>
        <v/>
      </c>
      <c r="BT30" s="55" t="str">
        <f>IFERROR(VLOOKUP(tblCompPuntosCal[[#This Row],[Punto 9]],tblBD_PatronMasa[[Código Patrón]:[mpe]],7,FALSE),"")</f>
        <v/>
      </c>
      <c r="BU30" s="55" t="str">
        <f>IFERROR(VLOOKUP(tblCompPuntosCal[[#This Row],[Punto 9]],tblBD_PatronMasa[[Código Patrón]:[mpe]],9,FALSE),"")</f>
        <v/>
      </c>
      <c r="BV30" s="66" t="str">
        <f>IF(switch="Sí",IFERROR(VLOOKUP(tblCompPuntosCal[[#This Row],[Punto 9]],'kU(E)'!$AB$7:$AK$56,10,FALSE)*1000,""),IFERROR(VLOOKUP(tblCompPuntosCal[[#This Row],[Punto 9]],'kU(E)'!$AB$7:$AK$56,8,FALSE)*1000,""))</f>
        <v/>
      </c>
      <c r="BW30" s="55" t="str">
        <f>IFERROR(IF('kU(E)'!$E$6&lt;&gt;0,INDEX(deltaMconv,MATCH(tblCompPuntosCal[[#This Row],[mN9]],MnomDeltaT),MATCH('kU(E)'!$E$6,deltaT,-1))/SQRT(3),""),"")</f>
        <v/>
      </c>
      <c r="BX30" s="62"/>
      <c r="BY30" s="55" t="str">
        <f>IFERROR(VLOOKUP(tblCompPuntosCal[[#This Row],[Punto 10]],tblBD_PatronMasa[[Código Patrón]:[mpe]],4,FALSE),"")</f>
        <v/>
      </c>
      <c r="BZ30" s="55" t="str">
        <f>IFERROR(VLOOKUP(tblCompPuntosCal[[#This Row],[Punto 10]],tblBD_PatronMasa[[Código Patrón]:[mpe]],6,FALSE),"")</f>
        <v/>
      </c>
      <c r="CA30" s="59" t="str">
        <f>IFERROR(VLOOKUP(tblCompPuntosCal[[#This Row],[Punto 10]],tblBD_PatronMasa[[Código Patrón]:[mpe]],7,FALSE),"")</f>
        <v/>
      </c>
      <c r="CB30" s="59" t="str">
        <f>IFERROR(VLOOKUP(tblCompPuntosCal[[#This Row],[Punto 10]],tblBD_PatronMasa[[Código Patrón]:[mpe]],9,FALSE),"")</f>
        <v/>
      </c>
      <c r="CC30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30" s="59" t="str">
        <f>IFERROR(IF('kU(E)'!$E$6&lt;&gt;0,INDEX(deltaMconv,MATCH(tblCompPuntosCal[[#This Row],[mN10]],MnomDeltaT),MATCH('kU(E)'!$E$6,deltaT,-1))/SQRT(3),""),"")</f>
        <v/>
      </c>
      <c r="CG30" s="38">
        <v>26</v>
      </c>
      <c r="CH30" s="35">
        <f>tblCompPuntosCal[[#This Row],[Punto 1]]</f>
        <v>0</v>
      </c>
      <c r="CI30" s="35" t="str">
        <f>IF(tblTrazabilidad[[#This Row],[Código]]=0,"",IFERROR(IF(SEARCH("JM",tblTrazabilidad[[#This Row],[Código]])&gt;0,"Juego de pesas",),"Pesa"))</f>
        <v/>
      </c>
      <c r="CJ30" s="35" t="str">
        <f>IFERROR(VLOOKUP($CH30,tblBD_PatronMasa[[Código Patrón]:[mN-(mpe–U95)]],2,FALSE),"")</f>
        <v/>
      </c>
      <c r="CK30" s="35" t="str">
        <f>IFERROR(VLOOKUP($CH30,tblBD_PatronMasa[[Código Patrón]:[mN-(mpe–U95)]],13,FALSE),"")</f>
        <v/>
      </c>
      <c r="CL30" s="34" t="str">
        <f>IF(tblTrazabilidad[[#This Row],[Clase]]="F2",IFERROR(IF(VLOOKUP($CH30,tblBD_PatronMasa[[Código Patrón]:[mN-(mpe–U95)]],12,FALSE)=0,"",VLOOKUP($CH30,tblBD_PatronMasa[[Código Patrón]:[mN-(mpe–U95)]],12,FALSE)+731),""),IF(tblTrazabilidad[[#This Row],[Clase]]="F1",IFERROR(IF(VLOOKUP($CH30,tblBD_PatronMasa[[Código Patrón]:[mN-(mpe–U95)]],12,FALSE)=0,"",VLOOKUP($CH30,tblBD_PatronMasa[[Código Patrón]:[mN-(mpe–U95)]],12,FALSE)+731),""),IFERROR(IF(VLOOKUP($CH30,tblBD_PatronMasa[[Código Patrón]:[mN-(mpe–U95)]],12,FALSE)=0,"",VLOOKUP($CH30,tblBD_PatronMasa[[Código Patrón]:[mN-(mpe–U95)]],12,FALSE)+366),"")))</f>
        <v/>
      </c>
      <c r="CM30" s="33" t="str">
        <f>IFERROR(VLOOKUP($CH30,tblBD_PatronMasa[[Código Patrón]:[mN-(mpe–U95)]],3,FALSE),"")</f>
        <v/>
      </c>
      <c r="CO30" s="46"/>
      <c r="CP30" s="57" t="str">
        <f>IFERROR(VLOOKUP(CS30,tblTrazabilidad[[Código]:[Próxima calibración]],2,0),"")</f>
        <v/>
      </c>
      <c r="CQ30" s="58" t="str">
        <f>IFERROR(VLOOKUP(CS30,tblTrazabilidad[[Código]:[Clase]],6,0),"")</f>
        <v/>
      </c>
      <c r="CR30" s="57" t="str">
        <f>IFERROR(VLOOKUP(CS30,tblTrazabilidad[[Código]:[Próxima calibración]],3,0),"")</f>
        <v/>
      </c>
      <c r="CS30" s="56" t="str">
        <f t="shared" si="1"/>
        <v/>
      </c>
      <c r="CT30" s="55" t="str">
        <f>IFERROR(IF(VLOOKUP(CS30,tblTrazabilidad[[Código]:[Próxima calibración]],4,0)=0,"",VLOOKUP(CS30,tblTrazabilidad[[Código]:[Próxima calibración]],4,0)),"")</f>
        <v/>
      </c>
      <c r="CU30" s="54" t="str">
        <f>IFERROR(VLOOKUP(CS30,tblTrazabilidad[[Código]:[Próxima calibración]],5,0),"")</f>
        <v/>
      </c>
      <c r="CV30" s="53">
        <f t="shared" si="0"/>
        <v>0</v>
      </c>
      <c r="CW30" s="52" t="str">
        <f>IFERROR(LOOKUP(2,1/(COUNTIF($CW$4:CW29,tblTrazabilidad[Código])=0),tblTrazabilidad[Código]),"")</f>
        <v/>
      </c>
      <c r="DC30" s="1"/>
      <c r="DD30" s="1"/>
      <c r="DF30"/>
      <c r="DG30"/>
    </row>
    <row r="31" spans="2:111" x14ac:dyDescent="0.3">
      <c r="B31" s="84">
        <v>8</v>
      </c>
      <c r="C31" s="91">
        <f>IF(UnidadEscala="g",punto8,IF(UnidadEscala="kg",punto8/1000,punto8/453.592))</f>
        <v>0</v>
      </c>
      <c r="D31" s="50"/>
      <c r="E31" s="50"/>
      <c r="F31" s="82" t="str">
        <f t="shared" si="2"/>
        <v/>
      </c>
      <c r="G31" s="90" t="str">
        <f t="shared" si="3"/>
        <v/>
      </c>
      <c r="I31" s="45"/>
      <c r="J31" s="45"/>
      <c r="L31" s="8">
        <v>28</v>
      </c>
      <c r="M31" s="62"/>
      <c r="N31" s="59" t="str">
        <f>IFERROR(VLOOKUP(tblCompPuntosCal[[#This Row],[Punto 1]],tblBD_PatronMasa[[Código Patrón]:[mpe]],4,FALSE),"")</f>
        <v/>
      </c>
      <c r="O31" s="59" t="str">
        <f>IFERROR(VLOOKUP(tblCompPuntosCal[[#This Row],[Punto 1]],tblBD_PatronMasa[[Código Patrón]:[mpe]],6,FALSE),"")</f>
        <v/>
      </c>
      <c r="P31" s="55" t="str">
        <f>IFERROR(VLOOKUP(tblCompPuntosCal[[#This Row],[Punto 1]],tblBD_PatronMasa[[Código Patrón]:[mpe]],7,FALSE),"")</f>
        <v/>
      </c>
      <c r="Q31" s="55" t="str">
        <f>IFERROR(VLOOKUP(tblCompPuntosCal[[#This Row],[Punto 1]],tblBD_PatronMasa[[Código Patrón]:[mpe]],9,FALSE),"")</f>
        <v/>
      </c>
      <c r="R31" s="66" t="str">
        <f>IF(switch="Sí",IFERROR(VLOOKUP(tblCompPuntosCal[[#This Row],[Punto 1]],'kU(E)'!$AB$7:$AK$56,10,FALSE)*1000,""),IFERROR(VLOOKUP(tblCompPuntosCal[[#This Row],[Punto 1]],'kU(E)'!$AB$7:$AK$56*1000,8,FALSE),""))</f>
        <v/>
      </c>
      <c r="S31" s="55" t="str">
        <f>IFERROR(IF('kU(E)'!$E$6&lt;&gt;0,INDEX(deltaMconv,MATCH(tblCompPuntosCal[[#This Row],[mN1]],MnomDeltaT),MATCH('kU(E)'!$E$6,deltaT,-1))/SQRT(3),""),"")</f>
        <v/>
      </c>
      <c r="T31" s="62"/>
      <c r="U31" s="55" t="str">
        <f>IFERROR(VLOOKUP(tblCompPuntosCal[[#This Row],[Punto 2]],tblBD_PatronMasa[[Código Patrón]:[mpe]],4,FALSE),"")</f>
        <v/>
      </c>
      <c r="V31" s="55" t="str">
        <f>IFERROR(VLOOKUP(tblCompPuntosCal[[#This Row],[Punto 2]],tblBD_PatronMasa[[Código Patrón]:[mpe]],6,FALSE),"")</f>
        <v/>
      </c>
      <c r="W31" s="55" t="str">
        <f>IFERROR(VLOOKUP(tblCompPuntosCal[[#This Row],[Punto 2]],tblBD_PatronMasa[[Código Patrón]:[mpe]],7,FALSE),"")</f>
        <v/>
      </c>
      <c r="X31" s="55" t="str">
        <f>IFERROR(VLOOKUP(tblCompPuntosCal[[#This Row],[Punto 2]],tblBD_PatronMasa[[Código Patrón]:[mpe]],9,FALSE),"")</f>
        <v/>
      </c>
      <c r="Y31" s="66" t="str">
        <f>IF(switch="Sí",IFERROR(VLOOKUP(tblCompPuntosCal[[#This Row],[Punto 2]],'kU(E)'!$AB$7:$AK$56,10,FALSE)*1000,""),IFERROR(VLOOKUP(tblCompPuntosCal[[#This Row],[Punto 2]],'kU(E)'!$AB$7:$AK$56*1000,8,FALSE),""))</f>
        <v/>
      </c>
      <c r="Z31" s="55" t="str">
        <f>IFERROR(IF('kU(E)'!$E$6&lt;&gt;0,INDEX(deltaMconv,MATCH(tblCompPuntosCal[[#This Row],[mN2]],MnomDeltaT),MATCH('kU(E)'!$E$6,deltaT,-1))/SQRT(3),""),"")</f>
        <v/>
      </c>
      <c r="AA31" s="62"/>
      <c r="AB31" s="55" t="str">
        <f>IFERROR(VLOOKUP(tblCompPuntosCal[[#This Row],[Punto 3]],tblBD_PatronMasa[[Código Patrón]:[mpe]],4,FALSE),"")</f>
        <v/>
      </c>
      <c r="AC31" s="55" t="str">
        <f>IFERROR(VLOOKUP(tblCompPuntosCal[[#This Row],[Punto 3]],tblBD_PatronMasa[[Código Patrón]:[mpe]],6,FALSE),"")</f>
        <v/>
      </c>
      <c r="AD31" s="67" t="str">
        <f>IFERROR(VLOOKUP(tblCompPuntosCal[[#This Row],[Punto 3]],tblBD_PatronMasa[[Código Patrón]:[mpe]],7,FALSE),"")</f>
        <v/>
      </c>
      <c r="AE31" s="67" t="str">
        <f>IFERROR(VLOOKUP(tblCompPuntosCal[[#This Row],[Punto 3]],tblBD_PatronMasa[[Código Patrón]:[mpe]],9,FALSE),"")</f>
        <v/>
      </c>
      <c r="AF31" s="63" t="str">
        <f>IF(switch="Sí",IFERROR(VLOOKUP(tblCompPuntosCal[[#This Row],[Punto 3]],'kU(E)'!$AB$7:$AK$56,10,FALSE)*1000,""),IFERROR(VLOOKUP(tblCompPuntosCal[[#This Row],[Punto 3]],'kU(E)'!$AB$7:$AK$56*1000,8,FALSE),""))</f>
        <v/>
      </c>
      <c r="AG31" s="67" t="str">
        <f>IFERROR(IF('kU(E)'!$E$6&lt;&gt;0,INDEX(deltaMconv,MATCH(tblCompPuntosCal[[#This Row],[mN3]],MnomDeltaT),MATCH('kU(E)'!$E$6,deltaT,-1))/SQRT(3),""),"")</f>
        <v/>
      </c>
      <c r="AH31" s="62"/>
      <c r="AI31" s="67" t="str">
        <f>IFERROR(VLOOKUP(tblCompPuntosCal[[#This Row],[Punto 4]],tblBD_PatronMasa[[Código Patrón]:[mpe]],4,FALSE),"")</f>
        <v/>
      </c>
      <c r="AJ31" s="55" t="str">
        <f>IFERROR(VLOOKUP(tblCompPuntosCal[[#This Row],[Punto 4]],tblBD_PatronMasa[[Código Patrón]:[mpe]],6,FALSE),"")</f>
        <v/>
      </c>
      <c r="AK31" s="55" t="str">
        <f>IFERROR(VLOOKUP(tblCompPuntosCal[[#This Row],[Punto 4]],tblBD_PatronMasa[[Código Patrón]:[mpe]],7,FALSE),"")</f>
        <v/>
      </c>
      <c r="AL31" s="55" t="str">
        <f>IFERROR(VLOOKUP(tblCompPuntosCal[[#This Row],[Punto 4]],tblBD_PatronMasa[[Código Patrón]:[mpe]],9,FALSE),"")</f>
        <v/>
      </c>
      <c r="AM31" s="66" t="str">
        <f>IF(switch="Sí",IFERROR(VLOOKUP(tblCompPuntosCal[[#This Row],[Punto 4]],'kU(E)'!$AB$7:$AK$56,10,FALSE)*1000,""),IFERROR(VLOOKUP(tblCompPuntosCal[[#This Row],[Punto 4]],'kU(E)'!$AB$7:$AK$56,8,FALSE)*1000,""))</f>
        <v/>
      </c>
      <c r="AN31" s="55" t="str">
        <f>IFERROR(IF('kU(E)'!$E$6&lt;&gt;0,INDEX(deltaMconv,MATCH(tblCompPuntosCal[[#This Row],[mN4]],MnomDeltaT),MATCH('kU(E)'!$E$6,deltaT,-1))/SQRT(3),""),"")</f>
        <v/>
      </c>
      <c r="AO31" s="62"/>
      <c r="AP31" s="55" t="str">
        <f>IFERROR(VLOOKUP(tblCompPuntosCal[[#This Row],[Punto 5]],tblBD_PatronMasa[[Código Patrón]:[mpe]],4,FALSE),"")</f>
        <v/>
      </c>
      <c r="AQ31" s="55" t="str">
        <f>IFERROR(VLOOKUP(tblCompPuntosCal[[#This Row],[Punto 5]],tblBD_PatronMasa[[Código Patrón]:[mpe]],6,FALSE),"")</f>
        <v/>
      </c>
      <c r="AR31" s="55" t="str">
        <f>IFERROR(VLOOKUP(tblCompPuntosCal[[#This Row],[Punto 5]],tblBD_PatronMasa[[Código Patrón]:[mpe]],7,FALSE),"")</f>
        <v/>
      </c>
      <c r="AS31" s="55" t="str">
        <f>IFERROR(VLOOKUP(tblCompPuntosCal[[#This Row],[Punto 5]],tblBD_PatronMasa[[Código Patrón]:[mpe]],9,FALSE),"")</f>
        <v/>
      </c>
      <c r="AT31" s="66" t="str">
        <f>IF(switch="Sí",IFERROR(VLOOKUP(tblCompPuntosCal[[#This Row],[Punto 5]],'kU(E)'!$AB$7:$AK$56,10,FALSE)*1000,""),IFERROR(VLOOKUP(tblCompPuntosCal[[#This Row],[Punto 5]],'kU(E)'!$AB$7:$AK$56,8,FALSE)*1000,""))</f>
        <v/>
      </c>
      <c r="AU31" s="55" t="str">
        <f>IFERROR(IF('kU(E)'!$E$6&lt;&gt;0,INDEX(deltaMconv,MATCH(tblCompPuntosCal[[#This Row],[mN5]],MnomDeltaT),MATCH('kU(E)'!$E$6,deltaT,-1))/SQRT(3),""),"")</f>
        <v/>
      </c>
      <c r="AV31" s="62"/>
      <c r="AW31" s="55" t="str">
        <f>IFERROR(VLOOKUP(tblCompPuntosCal[[#This Row],[Punto 6]],tblBD_PatronMasa[[Código Patrón]:[mpe]],4,FALSE),"")</f>
        <v/>
      </c>
      <c r="AX31" s="55" t="str">
        <f>IFERROR(VLOOKUP(tblCompPuntosCal[[#This Row],[Punto 6]],tblBD_PatronMasa[[Código Patrón]:[mpe]],6,FALSE),"")</f>
        <v/>
      </c>
      <c r="AY31" s="55" t="str">
        <f>IFERROR(VLOOKUP(tblCompPuntosCal[[#This Row],[Punto 6]],tblBD_PatronMasa[[Código Patrón]:[mpe]],7,FALSE),"")</f>
        <v/>
      </c>
      <c r="AZ31" s="55" t="str">
        <f>IFERROR(VLOOKUP(tblCompPuntosCal[[#This Row],[Punto 6]],tblBD_PatronMasa[[Código Patrón]:[mpe]],9,FALSE),"")</f>
        <v/>
      </c>
      <c r="BA31" s="66" t="str">
        <f>IF(switch="Sí",IFERROR(VLOOKUP(tblCompPuntosCal[[#This Row],[Punto 6]],'kU(E)'!$AB$7:$AK$56,10,FALSE)*1000,""),IFERROR(VLOOKUP(tblCompPuntosCal[[#This Row],[Punto 6]],'kU(E)'!$AB$7:$AK$56,8,FALSE)*1000,""))</f>
        <v/>
      </c>
      <c r="BB31" s="55" t="str">
        <f>IFERROR(IF('kU(E)'!$E$6&lt;&gt;0,INDEX(deltaMconv,MATCH(tblCompPuntosCal[[#This Row],[mN6]],MnomDeltaT),MATCH('kU(E)'!$E$6,deltaT,-1))/SQRT(3),""),"")</f>
        <v/>
      </c>
      <c r="BC31" s="62"/>
      <c r="BD31" s="55" t="str">
        <f>IFERROR(VLOOKUP(tblCompPuntosCal[[#This Row],[Punto 7]],tblBD_PatronMasa[[Código Patrón]:[mpe]],4,FALSE),"")</f>
        <v/>
      </c>
      <c r="BE31" s="55" t="str">
        <f>IFERROR(VLOOKUP(tblCompPuntosCal[[#This Row],[Punto 7]],tblBD_PatronMasa[[Código Patrón]:[mpe]],6,FALSE),"")</f>
        <v/>
      </c>
      <c r="BF31" s="55" t="str">
        <f>IFERROR(VLOOKUP(tblCompPuntosCal[[#This Row],[Punto 7]],tblBD_PatronMasa[[Código Patrón]:[mpe]],7,FALSE),"")</f>
        <v/>
      </c>
      <c r="BG31" s="55" t="str">
        <f>IFERROR(VLOOKUP(tblCompPuntosCal[[#This Row],[Punto 7]],tblBD_PatronMasa[[Código Patrón]:[mpe]],9,FALSE),"")</f>
        <v/>
      </c>
      <c r="BH31" s="66" t="str">
        <f>IF(switch="Sí",IFERROR(VLOOKUP(tblCompPuntosCal[[#This Row],[Punto 7]],'kU(E)'!$AB$7:$AK$56,10,FALSE)*1000,""),IFERROR(VLOOKUP(tblCompPuntosCal[[#This Row],[Punto 7]],'kU(E)'!$AB$7:$AK$56,8,FALSE)*1000,""))</f>
        <v/>
      </c>
      <c r="BI31" s="55" t="str">
        <f>IFERROR(IF('kU(E)'!$E$6&lt;&gt;0,INDEX(deltaMconv,MATCH(tblCompPuntosCal[[#This Row],[mN7]],MnomDeltaT),MATCH('kU(E)'!$E$6,deltaT,-1))/SQRT(3),""),"")</f>
        <v/>
      </c>
      <c r="BJ31" s="62"/>
      <c r="BK31" s="55" t="str">
        <f>IFERROR(VLOOKUP(tblCompPuntosCal[[#This Row],[Punto 8]],tblBD_PatronMasa[[Código Patrón]:[mpe]],4,FALSE),"")</f>
        <v/>
      </c>
      <c r="BL31" s="55" t="str">
        <f>IFERROR(VLOOKUP(tblCompPuntosCal[[#This Row],[Punto 8]],tblBD_PatronMasa[[Código Patrón]:[mpe]],6,FALSE),"")</f>
        <v/>
      </c>
      <c r="BM31" s="55" t="str">
        <f>IFERROR(VLOOKUP(tblCompPuntosCal[[#This Row],[Punto 8]],tblBD_PatronMasa[[Código Patrón]:[mpe]],7,FALSE),"")</f>
        <v/>
      </c>
      <c r="BN31" s="55" t="str">
        <f>IFERROR(VLOOKUP(tblCompPuntosCal[[#This Row],[Punto 8]],tblBD_PatronMasa[[Código Patrón]:[mpe]],9,FALSE),"")</f>
        <v/>
      </c>
      <c r="BO31" s="66" t="str">
        <f>IF(switch="Sí",IFERROR(VLOOKUP(tblCompPuntosCal[[#This Row],[Punto 8]],'kU(E)'!$AB$7:$AK$56,10,FALSE)*1000,""),IFERROR(VLOOKUP(tblCompPuntosCal[[#This Row],[Punto 8]],'kU(E)'!$AB$7:$AK$56,8,FALSE)*1000,""))</f>
        <v/>
      </c>
      <c r="BP31" s="55" t="str">
        <f>IFERROR(IF('kU(E)'!$E$6&lt;&gt;0,INDEX(deltaMconv,MATCH(tblCompPuntosCal[[#This Row],[mN8]],MnomDeltaT),MATCH('kU(E)'!$E$6,deltaT,-1))/SQRT(3),""),"")</f>
        <v/>
      </c>
      <c r="BQ31" s="62"/>
      <c r="BR31" s="55" t="str">
        <f>IFERROR(VLOOKUP(tblCompPuntosCal[[#This Row],[Punto 9]],tblBD_PatronMasa[[Código Patrón]:[mpe]],4,FALSE),"")</f>
        <v/>
      </c>
      <c r="BS31" s="55" t="str">
        <f>IFERROR(VLOOKUP(tblCompPuntosCal[[#This Row],[Punto 9]],tblBD_PatronMasa[[Código Patrón]:[mpe]],6,FALSE),"")</f>
        <v/>
      </c>
      <c r="BT31" s="55" t="str">
        <f>IFERROR(VLOOKUP(tblCompPuntosCal[[#This Row],[Punto 9]],tblBD_PatronMasa[[Código Patrón]:[mpe]],7,FALSE),"")</f>
        <v/>
      </c>
      <c r="BU31" s="55" t="str">
        <f>IFERROR(VLOOKUP(tblCompPuntosCal[[#This Row],[Punto 9]],tblBD_PatronMasa[[Código Patrón]:[mpe]],9,FALSE),"")</f>
        <v/>
      </c>
      <c r="BV31" s="66" t="str">
        <f>IF(switch="Sí",IFERROR(VLOOKUP(tblCompPuntosCal[[#This Row],[Punto 9]],'kU(E)'!$AB$7:$AK$56,10,FALSE)*1000,""),IFERROR(VLOOKUP(tblCompPuntosCal[[#This Row],[Punto 9]],'kU(E)'!$AB$7:$AK$56,8,FALSE)*1000,""))</f>
        <v/>
      </c>
      <c r="BW31" s="55" t="str">
        <f>IFERROR(IF('kU(E)'!$E$6&lt;&gt;0,INDEX(deltaMconv,MATCH(tblCompPuntosCal[[#This Row],[mN9]],MnomDeltaT),MATCH('kU(E)'!$E$6,deltaT,-1))/SQRT(3),""),"")</f>
        <v/>
      </c>
      <c r="BX31" s="62"/>
      <c r="BY31" s="55" t="str">
        <f>IFERROR(VLOOKUP(tblCompPuntosCal[[#This Row],[Punto 10]],tblBD_PatronMasa[[Código Patrón]:[mpe]],4,FALSE),"")</f>
        <v/>
      </c>
      <c r="BZ31" s="55" t="str">
        <f>IFERROR(VLOOKUP(tblCompPuntosCal[[#This Row],[Punto 10]],tblBD_PatronMasa[[Código Patrón]:[mpe]],6,FALSE),"")</f>
        <v/>
      </c>
      <c r="CA31" s="59" t="str">
        <f>IFERROR(VLOOKUP(tblCompPuntosCal[[#This Row],[Punto 10]],tblBD_PatronMasa[[Código Patrón]:[mpe]],7,FALSE),"")</f>
        <v/>
      </c>
      <c r="CB31" s="59" t="str">
        <f>IFERROR(VLOOKUP(tblCompPuntosCal[[#This Row],[Punto 10]],tblBD_PatronMasa[[Código Patrón]:[mpe]],9,FALSE),"")</f>
        <v/>
      </c>
      <c r="CC31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31" s="59" t="str">
        <f>IFERROR(IF('kU(E)'!$E$6&lt;&gt;0,INDEX(deltaMconv,MATCH(tblCompPuntosCal[[#This Row],[mN10]],MnomDeltaT),MATCH('kU(E)'!$E$6,deltaT,-1))/SQRT(3),""),"")</f>
        <v/>
      </c>
      <c r="CG31" s="38">
        <v>27</v>
      </c>
      <c r="CH31" s="35">
        <f>tblCompPuntosCal[[#This Row],[Punto 1]]</f>
        <v>0</v>
      </c>
      <c r="CI31" s="35" t="str">
        <f>IF(tblTrazabilidad[[#This Row],[Código]]=0,"",IFERROR(IF(SEARCH("JM",tblTrazabilidad[[#This Row],[Código]])&gt;0,"Juego de pesas",),"Pesa"))</f>
        <v/>
      </c>
      <c r="CJ31" s="35" t="str">
        <f>IFERROR(VLOOKUP($CH31,tblBD_PatronMasa[[Código Patrón]:[mN-(mpe–U95)]],2,FALSE),"")</f>
        <v/>
      </c>
      <c r="CK31" s="35" t="str">
        <f>IFERROR(VLOOKUP($CH31,tblBD_PatronMasa[[Código Patrón]:[mN-(mpe–U95)]],13,FALSE),"")</f>
        <v/>
      </c>
      <c r="CL31" s="34" t="str">
        <f>IF(tblTrazabilidad[[#This Row],[Clase]]="F2",IFERROR(IF(VLOOKUP($CH31,tblBD_PatronMasa[[Código Patrón]:[mN-(mpe–U95)]],12,FALSE)=0,"",VLOOKUP($CH31,tblBD_PatronMasa[[Código Patrón]:[mN-(mpe–U95)]],12,FALSE)+731),""),IF(tblTrazabilidad[[#This Row],[Clase]]="F1",IFERROR(IF(VLOOKUP($CH31,tblBD_PatronMasa[[Código Patrón]:[mN-(mpe–U95)]],12,FALSE)=0,"",VLOOKUP($CH31,tblBD_PatronMasa[[Código Patrón]:[mN-(mpe–U95)]],12,FALSE)+731),""),IFERROR(IF(VLOOKUP($CH31,tblBD_PatronMasa[[Código Patrón]:[mN-(mpe–U95)]],12,FALSE)=0,"",VLOOKUP($CH31,tblBD_PatronMasa[[Código Patrón]:[mN-(mpe–U95)]],12,FALSE)+366),"")))</f>
        <v/>
      </c>
      <c r="CM31" s="33" t="str">
        <f>IFERROR(VLOOKUP($CH31,tblBD_PatronMasa[[Código Patrón]:[mN-(mpe–U95)]],3,FALSE),"")</f>
        <v/>
      </c>
      <c r="CO31" s="46"/>
      <c r="CP31" s="57" t="str">
        <f>IFERROR(VLOOKUP(CS31,tblTrazabilidad[[Código]:[Próxima calibración]],2,0),"")</f>
        <v/>
      </c>
      <c r="CQ31" s="58" t="str">
        <f>IFERROR(VLOOKUP(CS31,tblTrazabilidad[[Código]:[Clase]],6,0),"")</f>
        <v/>
      </c>
      <c r="CR31" s="57" t="str">
        <f>IFERROR(VLOOKUP(CS31,tblTrazabilidad[[Código]:[Próxima calibración]],3,0),"")</f>
        <v/>
      </c>
      <c r="CS31" s="56" t="str">
        <f t="shared" si="1"/>
        <v/>
      </c>
      <c r="CT31" s="55" t="str">
        <f>IFERROR(IF(VLOOKUP(CS31,tblTrazabilidad[[Código]:[Próxima calibración]],4,0)=0,"",VLOOKUP(CS31,tblTrazabilidad[[Código]:[Próxima calibración]],4,0)),"")</f>
        <v/>
      </c>
      <c r="CU31" s="54" t="str">
        <f>IFERROR(VLOOKUP(CS31,tblTrazabilidad[[Código]:[Próxima calibración]],5,0),"")</f>
        <v/>
      </c>
      <c r="CV31" s="53">
        <f t="shared" si="0"/>
        <v>0</v>
      </c>
      <c r="CW31" s="52" t="str">
        <f>IFERROR(LOOKUP(2,1/(COUNTIF($CW$4:CW30,tblTrazabilidad[Código])=0),tblTrazabilidad[Código]),"")</f>
        <v/>
      </c>
      <c r="DC31" s="1"/>
      <c r="DD31" s="1"/>
      <c r="DF31"/>
      <c r="DG31"/>
    </row>
    <row r="32" spans="2:111" x14ac:dyDescent="0.3">
      <c r="B32" s="84">
        <v>9</v>
      </c>
      <c r="C32" s="91">
        <f>IF(UnidadEscala="g",punto9,IF(UnidadEscala="kg",punto9/1000,punto9/453.592))</f>
        <v>0</v>
      </c>
      <c r="D32" s="50"/>
      <c r="E32" s="50"/>
      <c r="F32" s="82" t="str">
        <f t="shared" si="2"/>
        <v/>
      </c>
      <c r="G32" s="90" t="str">
        <f t="shared" si="3"/>
        <v/>
      </c>
      <c r="I32" s="45"/>
      <c r="J32" s="45"/>
      <c r="L32" s="8">
        <v>29</v>
      </c>
      <c r="M32" s="62"/>
      <c r="N32" s="59" t="str">
        <f>IFERROR(VLOOKUP(tblCompPuntosCal[[#This Row],[Punto 1]],tblBD_PatronMasa[[Código Patrón]:[mpe]],4,FALSE),"")</f>
        <v/>
      </c>
      <c r="O32" s="59" t="str">
        <f>IFERROR(VLOOKUP(tblCompPuntosCal[[#This Row],[Punto 1]],tblBD_PatronMasa[[Código Patrón]:[mpe]],6,FALSE),"")</f>
        <v/>
      </c>
      <c r="P32" s="55" t="str">
        <f>IFERROR(VLOOKUP(tblCompPuntosCal[[#This Row],[Punto 1]],tblBD_PatronMasa[[Código Patrón]:[mpe]],7,FALSE),"")</f>
        <v/>
      </c>
      <c r="Q32" s="55" t="str">
        <f>IFERROR(VLOOKUP(tblCompPuntosCal[[#This Row],[Punto 1]],tblBD_PatronMasa[[Código Patrón]:[mpe]],9,FALSE),"")</f>
        <v/>
      </c>
      <c r="R32" s="66" t="str">
        <f>IF(switch="Sí",IFERROR(VLOOKUP(tblCompPuntosCal[[#This Row],[Punto 1]],'kU(E)'!$AB$7:$AK$56,10,FALSE)*1000,""),IFERROR(VLOOKUP(tblCompPuntosCal[[#This Row],[Punto 1]],'kU(E)'!$AB$7:$AK$56*1000,8,FALSE),""))</f>
        <v/>
      </c>
      <c r="S32" s="55" t="str">
        <f>IFERROR(IF('kU(E)'!$E$6&lt;&gt;0,INDEX(deltaMconv,MATCH(tblCompPuntosCal[[#This Row],[mN1]],MnomDeltaT),MATCH('kU(E)'!$E$6,deltaT,-1))/SQRT(3),""),"")</f>
        <v/>
      </c>
      <c r="T32" s="62"/>
      <c r="U32" s="55" t="str">
        <f>IFERROR(VLOOKUP(tblCompPuntosCal[[#This Row],[Punto 2]],tblBD_PatronMasa[[Código Patrón]:[mpe]],4,FALSE),"")</f>
        <v/>
      </c>
      <c r="V32" s="55" t="str">
        <f>IFERROR(VLOOKUP(tblCompPuntosCal[[#This Row],[Punto 2]],tblBD_PatronMasa[[Código Patrón]:[mpe]],6,FALSE),"")</f>
        <v/>
      </c>
      <c r="W32" s="55" t="str">
        <f>IFERROR(VLOOKUP(tblCompPuntosCal[[#This Row],[Punto 2]],tblBD_PatronMasa[[Código Patrón]:[mpe]],7,FALSE),"")</f>
        <v/>
      </c>
      <c r="X32" s="55" t="str">
        <f>IFERROR(VLOOKUP(tblCompPuntosCal[[#This Row],[Punto 2]],tblBD_PatronMasa[[Código Patrón]:[mpe]],9,FALSE),"")</f>
        <v/>
      </c>
      <c r="Y32" s="66" t="str">
        <f>IF(switch="Sí",IFERROR(VLOOKUP(tblCompPuntosCal[[#This Row],[Punto 2]],'kU(E)'!$AB$7:$AK$56,10,FALSE)*1000,""),IFERROR(VLOOKUP(tblCompPuntosCal[[#This Row],[Punto 2]],'kU(E)'!$AB$7:$AK$56*1000,8,FALSE),""))</f>
        <v/>
      </c>
      <c r="Z32" s="55" t="str">
        <f>IFERROR(IF('kU(E)'!$E$6&lt;&gt;0,INDEX(deltaMconv,MATCH(tblCompPuntosCal[[#This Row],[mN2]],MnomDeltaT),MATCH('kU(E)'!$E$6,deltaT,-1))/SQRT(3),""),"")</f>
        <v/>
      </c>
      <c r="AA32" s="62"/>
      <c r="AB32" s="55" t="str">
        <f>IFERROR(VLOOKUP(tblCompPuntosCal[[#This Row],[Punto 3]],tblBD_PatronMasa[[Código Patrón]:[mpe]],4,FALSE),"")</f>
        <v/>
      </c>
      <c r="AC32" s="55" t="str">
        <f>IFERROR(VLOOKUP(tblCompPuntosCal[[#This Row],[Punto 3]],tblBD_PatronMasa[[Código Patrón]:[mpe]],6,FALSE),"")</f>
        <v/>
      </c>
      <c r="AD32" s="67" t="str">
        <f>IFERROR(VLOOKUP(tblCompPuntosCal[[#This Row],[Punto 3]],tblBD_PatronMasa[[Código Patrón]:[mpe]],7,FALSE),"")</f>
        <v/>
      </c>
      <c r="AE32" s="67" t="str">
        <f>IFERROR(VLOOKUP(tblCompPuntosCal[[#This Row],[Punto 3]],tblBD_PatronMasa[[Código Patrón]:[mpe]],9,FALSE),"")</f>
        <v/>
      </c>
      <c r="AF32" s="63" t="str">
        <f>IF(switch="Sí",IFERROR(VLOOKUP(tblCompPuntosCal[[#This Row],[Punto 3]],'kU(E)'!$AB$7:$AK$56,10,FALSE)*1000,""),IFERROR(VLOOKUP(tblCompPuntosCal[[#This Row],[Punto 3]],'kU(E)'!$AB$7:$AK$56*1000,8,FALSE),""))</f>
        <v/>
      </c>
      <c r="AG32" s="67" t="str">
        <f>IFERROR(IF('kU(E)'!$E$6&lt;&gt;0,INDEX(deltaMconv,MATCH(tblCompPuntosCal[[#This Row],[mN3]],MnomDeltaT),MATCH('kU(E)'!$E$6,deltaT,-1))/SQRT(3),""),"")</f>
        <v/>
      </c>
      <c r="AH32" s="62"/>
      <c r="AI32" s="67" t="str">
        <f>IFERROR(VLOOKUP(tblCompPuntosCal[[#This Row],[Punto 4]],tblBD_PatronMasa[[Código Patrón]:[mpe]],4,FALSE),"")</f>
        <v/>
      </c>
      <c r="AJ32" s="55" t="str">
        <f>IFERROR(VLOOKUP(tblCompPuntosCal[[#This Row],[Punto 4]],tblBD_PatronMasa[[Código Patrón]:[mpe]],6,FALSE),"")</f>
        <v/>
      </c>
      <c r="AK32" s="55" t="str">
        <f>IFERROR(VLOOKUP(tblCompPuntosCal[[#This Row],[Punto 4]],tblBD_PatronMasa[[Código Patrón]:[mpe]],7,FALSE),"")</f>
        <v/>
      </c>
      <c r="AL32" s="55" t="str">
        <f>IFERROR(VLOOKUP(tblCompPuntosCal[[#This Row],[Punto 4]],tblBD_PatronMasa[[Código Patrón]:[mpe]],9,FALSE),"")</f>
        <v/>
      </c>
      <c r="AM32" s="66" t="str">
        <f>IF(switch="Sí",IFERROR(VLOOKUP(tblCompPuntosCal[[#This Row],[Punto 4]],'kU(E)'!$AB$7:$AK$56,10,FALSE)*1000,""),IFERROR(VLOOKUP(tblCompPuntosCal[[#This Row],[Punto 4]],'kU(E)'!$AB$7:$AK$56,8,FALSE)*1000,""))</f>
        <v/>
      </c>
      <c r="AN32" s="55" t="str">
        <f>IFERROR(IF('kU(E)'!$E$6&lt;&gt;0,INDEX(deltaMconv,MATCH(tblCompPuntosCal[[#This Row],[mN4]],MnomDeltaT),MATCH('kU(E)'!$E$6,deltaT,-1))/SQRT(3),""),"")</f>
        <v/>
      </c>
      <c r="AO32" s="62"/>
      <c r="AP32" s="55" t="str">
        <f>IFERROR(VLOOKUP(tblCompPuntosCal[[#This Row],[Punto 5]],tblBD_PatronMasa[[Código Patrón]:[mpe]],4,FALSE),"")</f>
        <v/>
      </c>
      <c r="AQ32" s="55" t="str">
        <f>IFERROR(VLOOKUP(tblCompPuntosCal[[#This Row],[Punto 5]],tblBD_PatronMasa[[Código Patrón]:[mpe]],6,FALSE),"")</f>
        <v/>
      </c>
      <c r="AR32" s="55" t="str">
        <f>IFERROR(VLOOKUP(tblCompPuntosCal[[#This Row],[Punto 5]],tblBD_PatronMasa[[Código Patrón]:[mpe]],7,FALSE),"")</f>
        <v/>
      </c>
      <c r="AS32" s="55" t="str">
        <f>IFERROR(VLOOKUP(tblCompPuntosCal[[#This Row],[Punto 5]],tblBD_PatronMasa[[Código Patrón]:[mpe]],9,FALSE),"")</f>
        <v/>
      </c>
      <c r="AT32" s="66" t="str">
        <f>IF(switch="Sí",IFERROR(VLOOKUP(tblCompPuntosCal[[#This Row],[Punto 5]],'kU(E)'!$AB$7:$AK$56,10,FALSE)*1000,""),IFERROR(VLOOKUP(tblCompPuntosCal[[#This Row],[Punto 5]],'kU(E)'!$AB$7:$AK$56,8,FALSE)*1000,""))</f>
        <v/>
      </c>
      <c r="AU32" s="55" t="str">
        <f>IFERROR(IF('kU(E)'!$E$6&lt;&gt;0,INDEX(deltaMconv,MATCH(tblCompPuntosCal[[#This Row],[mN5]],MnomDeltaT),MATCH('kU(E)'!$E$6,deltaT,-1))/SQRT(3),""),"")</f>
        <v/>
      </c>
      <c r="AV32" s="62"/>
      <c r="AW32" s="55" t="str">
        <f>IFERROR(VLOOKUP(tblCompPuntosCal[[#This Row],[Punto 6]],tblBD_PatronMasa[[Código Patrón]:[mpe]],4,FALSE),"")</f>
        <v/>
      </c>
      <c r="AX32" s="55" t="str">
        <f>IFERROR(VLOOKUP(tblCompPuntosCal[[#This Row],[Punto 6]],tblBD_PatronMasa[[Código Patrón]:[mpe]],6,FALSE),"")</f>
        <v/>
      </c>
      <c r="AY32" s="55" t="str">
        <f>IFERROR(VLOOKUP(tblCompPuntosCal[[#This Row],[Punto 6]],tblBD_PatronMasa[[Código Patrón]:[mpe]],7,FALSE),"")</f>
        <v/>
      </c>
      <c r="AZ32" s="55" t="str">
        <f>IFERROR(VLOOKUP(tblCompPuntosCal[[#This Row],[Punto 6]],tblBD_PatronMasa[[Código Patrón]:[mpe]],9,FALSE),"")</f>
        <v/>
      </c>
      <c r="BA32" s="66" t="str">
        <f>IF(switch="Sí",IFERROR(VLOOKUP(tblCompPuntosCal[[#This Row],[Punto 6]],'kU(E)'!$AB$7:$AK$56,10,FALSE)*1000,""),IFERROR(VLOOKUP(tblCompPuntosCal[[#This Row],[Punto 6]],'kU(E)'!$AB$7:$AK$56,8,FALSE)*1000,""))</f>
        <v/>
      </c>
      <c r="BB32" s="55" t="str">
        <f>IFERROR(IF('kU(E)'!$E$6&lt;&gt;0,INDEX(deltaMconv,MATCH(tblCompPuntosCal[[#This Row],[mN6]],MnomDeltaT),MATCH('kU(E)'!$E$6,deltaT,-1))/SQRT(3),""),"")</f>
        <v/>
      </c>
      <c r="BC32" s="62"/>
      <c r="BD32" s="55" t="str">
        <f>IFERROR(VLOOKUP(tblCompPuntosCal[[#This Row],[Punto 7]],tblBD_PatronMasa[[Código Patrón]:[mpe]],4,FALSE),"")</f>
        <v/>
      </c>
      <c r="BE32" s="55" t="str">
        <f>IFERROR(VLOOKUP(tblCompPuntosCal[[#This Row],[Punto 7]],tblBD_PatronMasa[[Código Patrón]:[mpe]],6,FALSE),"")</f>
        <v/>
      </c>
      <c r="BF32" s="55" t="str">
        <f>IFERROR(VLOOKUP(tblCompPuntosCal[[#This Row],[Punto 7]],tblBD_PatronMasa[[Código Patrón]:[mpe]],7,FALSE),"")</f>
        <v/>
      </c>
      <c r="BG32" s="55" t="str">
        <f>IFERROR(VLOOKUP(tblCompPuntosCal[[#This Row],[Punto 7]],tblBD_PatronMasa[[Código Patrón]:[mpe]],9,FALSE),"")</f>
        <v/>
      </c>
      <c r="BH32" s="66" t="str">
        <f>IF(switch="Sí",IFERROR(VLOOKUP(tblCompPuntosCal[[#This Row],[Punto 7]],'kU(E)'!$AB$7:$AK$56,10,FALSE)*1000,""),IFERROR(VLOOKUP(tblCompPuntosCal[[#This Row],[Punto 7]],'kU(E)'!$AB$7:$AK$56,8,FALSE)*1000,""))</f>
        <v/>
      </c>
      <c r="BI32" s="55" t="str">
        <f>IFERROR(IF('kU(E)'!$E$6&lt;&gt;0,INDEX(deltaMconv,MATCH(tblCompPuntosCal[[#This Row],[mN7]],MnomDeltaT),MATCH('kU(E)'!$E$6,deltaT,-1))/SQRT(3),""),"")</f>
        <v/>
      </c>
      <c r="BJ32" s="62"/>
      <c r="BK32" s="55" t="str">
        <f>IFERROR(VLOOKUP(tblCompPuntosCal[[#This Row],[Punto 8]],tblBD_PatronMasa[[Código Patrón]:[mpe]],4,FALSE),"")</f>
        <v/>
      </c>
      <c r="BL32" s="55" t="str">
        <f>IFERROR(VLOOKUP(tblCompPuntosCal[[#This Row],[Punto 8]],tblBD_PatronMasa[[Código Patrón]:[mpe]],6,FALSE),"")</f>
        <v/>
      </c>
      <c r="BM32" s="55" t="str">
        <f>IFERROR(VLOOKUP(tblCompPuntosCal[[#This Row],[Punto 8]],tblBD_PatronMasa[[Código Patrón]:[mpe]],7,FALSE),"")</f>
        <v/>
      </c>
      <c r="BN32" s="55" t="str">
        <f>IFERROR(VLOOKUP(tblCompPuntosCal[[#This Row],[Punto 8]],tblBD_PatronMasa[[Código Patrón]:[mpe]],9,FALSE),"")</f>
        <v/>
      </c>
      <c r="BO32" s="66" t="str">
        <f>IF(switch="Sí",IFERROR(VLOOKUP(tblCompPuntosCal[[#This Row],[Punto 8]],'kU(E)'!$AB$7:$AK$56,10,FALSE)*1000,""),IFERROR(VLOOKUP(tblCompPuntosCal[[#This Row],[Punto 8]],'kU(E)'!$AB$7:$AK$56,8,FALSE)*1000,""))</f>
        <v/>
      </c>
      <c r="BP32" s="55" t="str">
        <f>IFERROR(IF('kU(E)'!$E$6&lt;&gt;0,INDEX(deltaMconv,MATCH(tblCompPuntosCal[[#This Row],[mN8]],MnomDeltaT),MATCH('kU(E)'!$E$6,deltaT,-1))/SQRT(3),""),"")</f>
        <v/>
      </c>
      <c r="BQ32" s="62"/>
      <c r="BR32" s="55" t="str">
        <f>IFERROR(VLOOKUP(tblCompPuntosCal[[#This Row],[Punto 9]],tblBD_PatronMasa[[Código Patrón]:[mpe]],4,FALSE),"")</f>
        <v/>
      </c>
      <c r="BS32" s="55" t="str">
        <f>IFERROR(VLOOKUP(tblCompPuntosCal[[#This Row],[Punto 9]],tblBD_PatronMasa[[Código Patrón]:[mpe]],6,FALSE),"")</f>
        <v/>
      </c>
      <c r="BT32" s="55" t="str">
        <f>IFERROR(VLOOKUP(tblCompPuntosCal[[#This Row],[Punto 9]],tblBD_PatronMasa[[Código Patrón]:[mpe]],7,FALSE),"")</f>
        <v/>
      </c>
      <c r="BU32" s="55" t="str">
        <f>IFERROR(VLOOKUP(tblCompPuntosCal[[#This Row],[Punto 9]],tblBD_PatronMasa[[Código Patrón]:[mpe]],9,FALSE),"")</f>
        <v/>
      </c>
      <c r="BV32" s="66" t="str">
        <f>IF(switch="Sí",IFERROR(VLOOKUP(tblCompPuntosCal[[#This Row],[Punto 9]],'kU(E)'!$AB$7:$AK$56,10,FALSE)*1000,""),IFERROR(VLOOKUP(tblCompPuntosCal[[#This Row],[Punto 9]],'kU(E)'!$AB$7:$AK$56,8,FALSE)*1000,""))</f>
        <v/>
      </c>
      <c r="BW32" s="55" t="str">
        <f>IFERROR(IF('kU(E)'!$E$6&lt;&gt;0,INDEX(deltaMconv,MATCH(tblCompPuntosCal[[#This Row],[mN9]],MnomDeltaT),MATCH('kU(E)'!$E$6,deltaT,-1))/SQRT(3),""),"")</f>
        <v/>
      </c>
      <c r="BX32" s="62"/>
      <c r="BY32" s="55" t="str">
        <f>IFERROR(VLOOKUP(tblCompPuntosCal[[#This Row],[Punto 10]],tblBD_PatronMasa[[Código Patrón]:[mpe]],4,FALSE),"")</f>
        <v/>
      </c>
      <c r="BZ32" s="55" t="str">
        <f>IFERROR(VLOOKUP(tblCompPuntosCal[[#This Row],[Punto 10]],tblBD_PatronMasa[[Código Patrón]:[mpe]],6,FALSE),"")</f>
        <v/>
      </c>
      <c r="CA32" s="59" t="str">
        <f>IFERROR(VLOOKUP(tblCompPuntosCal[[#This Row],[Punto 10]],tblBD_PatronMasa[[Código Patrón]:[mpe]],7,FALSE),"")</f>
        <v/>
      </c>
      <c r="CB32" s="59" t="str">
        <f>IFERROR(VLOOKUP(tblCompPuntosCal[[#This Row],[Punto 10]],tblBD_PatronMasa[[Código Patrón]:[mpe]],9,FALSE),"")</f>
        <v/>
      </c>
      <c r="CC32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32" s="59" t="str">
        <f>IFERROR(IF('kU(E)'!$E$6&lt;&gt;0,INDEX(deltaMconv,MATCH(tblCompPuntosCal[[#This Row],[mN10]],MnomDeltaT),MATCH('kU(E)'!$E$6,deltaT,-1))/SQRT(3),""),"")</f>
        <v/>
      </c>
      <c r="CG32" s="38">
        <v>28</v>
      </c>
      <c r="CH32" s="35">
        <f>tblCompPuntosCal[[#This Row],[Punto 1]]</f>
        <v>0</v>
      </c>
      <c r="CI32" s="35" t="str">
        <f>IF(tblTrazabilidad[[#This Row],[Código]]=0,"",IFERROR(IF(SEARCH("JM",tblTrazabilidad[[#This Row],[Código]])&gt;0,"Juego de pesas",),"Pesa"))</f>
        <v/>
      </c>
      <c r="CJ32" s="35" t="str">
        <f>IFERROR(VLOOKUP($CH32,tblBD_PatronMasa[[Código Patrón]:[mN-(mpe–U95)]],2,FALSE),"")</f>
        <v/>
      </c>
      <c r="CK32" s="35" t="str">
        <f>IFERROR(VLOOKUP($CH32,tblBD_PatronMasa[[Código Patrón]:[mN-(mpe–U95)]],13,FALSE),"")</f>
        <v/>
      </c>
      <c r="CL32" s="34" t="str">
        <f>IF(tblTrazabilidad[[#This Row],[Clase]]="F2",IFERROR(IF(VLOOKUP($CH32,tblBD_PatronMasa[[Código Patrón]:[mN-(mpe–U95)]],12,FALSE)=0,"",VLOOKUP($CH32,tblBD_PatronMasa[[Código Patrón]:[mN-(mpe–U95)]],12,FALSE)+731),""),IF(tblTrazabilidad[[#This Row],[Clase]]="F1",IFERROR(IF(VLOOKUP($CH32,tblBD_PatronMasa[[Código Patrón]:[mN-(mpe–U95)]],12,FALSE)=0,"",VLOOKUP($CH32,tblBD_PatronMasa[[Código Patrón]:[mN-(mpe–U95)]],12,FALSE)+731),""),IFERROR(IF(VLOOKUP($CH32,tblBD_PatronMasa[[Código Patrón]:[mN-(mpe–U95)]],12,FALSE)=0,"",VLOOKUP($CH32,tblBD_PatronMasa[[Código Patrón]:[mN-(mpe–U95)]],12,FALSE)+366),"")))</f>
        <v/>
      </c>
      <c r="CM32" s="33" t="str">
        <f>IFERROR(VLOOKUP($CH32,tblBD_PatronMasa[[Código Patrón]:[mN-(mpe–U95)]],3,FALSE),"")</f>
        <v/>
      </c>
      <c r="CO32" s="46"/>
      <c r="CP32" s="57" t="str">
        <f>IFERROR(VLOOKUP(CS32,tblTrazabilidad[[Código]:[Próxima calibración]],2,0),"")</f>
        <v/>
      </c>
      <c r="CQ32" s="58" t="str">
        <f>IFERROR(VLOOKUP(CS32,tblTrazabilidad[[Código]:[Clase]],6,0),"")</f>
        <v/>
      </c>
      <c r="CR32" s="57" t="str">
        <f>IFERROR(VLOOKUP(CS32,tblTrazabilidad[[Código]:[Próxima calibración]],3,0),"")</f>
        <v/>
      </c>
      <c r="CS32" s="56" t="str">
        <f t="shared" si="1"/>
        <v/>
      </c>
      <c r="CT32" s="55" t="str">
        <f>IFERROR(IF(VLOOKUP(CS32,tblTrazabilidad[[Código]:[Próxima calibración]],4,0)=0,"",VLOOKUP(CS32,tblTrazabilidad[[Código]:[Próxima calibración]],4,0)),"")</f>
        <v/>
      </c>
      <c r="CU32" s="54" t="str">
        <f>IFERROR(VLOOKUP(CS32,tblTrazabilidad[[Código]:[Próxima calibración]],5,0),"")</f>
        <v/>
      </c>
      <c r="CV32" s="53">
        <f t="shared" si="0"/>
        <v>0</v>
      </c>
      <c r="CW32" s="52" t="str">
        <f>IFERROR(LOOKUP(2,1/(COUNTIF($CW$4:CW31,tblTrazabilidad[Código])=0),tblTrazabilidad[Código]),"")</f>
        <v/>
      </c>
      <c r="DC32" s="1"/>
      <c r="DD32" s="1"/>
      <c r="DF32"/>
      <c r="DG32"/>
    </row>
    <row r="33" spans="2:111" x14ac:dyDescent="0.3">
      <c r="B33" s="84">
        <v>10</v>
      </c>
      <c r="C33" s="91">
        <f>IF(UnidadEscala="g",punto10,IF(UnidadEscala="kg",punto10/1000,punto10/453.592))</f>
        <v>0</v>
      </c>
      <c r="D33" s="50"/>
      <c r="E33" s="50"/>
      <c r="F33" s="82" t="str">
        <f t="shared" si="2"/>
        <v/>
      </c>
      <c r="G33" s="90" t="str">
        <f t="shared" si="3"/>
        <v/>
      </c>
      <c r="I33" s="45"/>
      <c r="J33" s="45"/>
      <c r="L33" s="8">
        <v>30</v>
      </c>
      <c r="M33" s="62"/>
      <c r="N33" s="59" t="str">
        <f>IFERROR(VLOOKUP(tblCompPuntosCal[[#This Row],[Punto 1]],tblBD_PatronMasa[[Código Patrón]:[mpe]],4,FALSE),"")</f>
        <v/>
      </c>
      <c r="O33" s="59" t="str">
        <f>IFERROR(VLOOKUP(tblCompPuntosCal[[#This Row],[Punto 1]],tblBD_PatronMasa[[Código Patrón]:[mpe]],6,FALSE),"")</f>
        <v/>
      </c>
      <c r="P33" s="55" t="str">
        <f>IFERROR(VLOOKUP(tblCompPuntosCal[[#This Row],[Punto 1]],tblBD_PatronMasa[[Código Patrón]:[mpe]],7,FALSE),"")</f>
        <v/>
      </c>
      <c r="Q33" s="55" t="str">
        <f>IFERROR(VLOOKUP(tblCompPuntosCal[[#This Row],[Punto 1]],tblBD_PatronMasa[[Código Patrón]:[mpe]],9,FALSE),"")</f>
        <v/>
      </c>
      <c r="R33" s="66" t="str">
        <f>IF(switch="Sí",IFERROR(VLOOKUP(tblCompPuntosCal[[#This Row],[Punto 1]],'kU(E)'!$AB$7:$AK$56,10,FALSE)*1000,""),IFERROR(VLOOKUP(tblCompPuntosCal[[#This Row],[Punto 1]],'kU(E)'!$AB$7:$AK$56*1000,8,FALSE),""))</f>
        <v/>
      </c>
      <c r="S33" s="55" t="str">
        <f>IFERROR(IF('kU(E)'!$E$6&lt;&gt;0,INDEX(deltaMconv,MATCH(tblCompPuntosCal[[#This Row],[mN1]],MnomDeltaT),MATCH('kU(E)'!$E$6,deltaT,-1))/SQRT(3),""),"")</f>
        <v/>
      </c>
      <c r="T33" s="62"/>
      <c r="U33" s="55" t="str">
        <f>IFERROR(VLOOKUP(tblCompPuntosCal[[#This Row],[Punto 2]],tblBD_PatronMasa[[Código Patrón]:[mpe]],4,FALSE),"")</f>
        <v/>
      </c>
      <c r="V33" s="55" t="str">
        <f>IFERROR(VLOOKUP(tblCompPuntosCal[[#This Row],[Punto 2]],tblBD_PatronMasa[[Código Patrón]:[mpe]],6,FALSE),"")</f>
        <v/>
      </c>
      <c r="W33" s="55" t="str">
        <f>IFERROR(VLOOKUP(tblCompPuntosCal[[#This Row],[Punto 2]],tblBD_PatronMasa[[Código Patrón]:[mpe]],7,FALSE),"")</f>
        <v/>
      </c>
      <c r="X33" s="55" t="str">
        <f>IFERROR(VLOOKUP(tblCompPuntosCal[[#This Row],[Punto 2]],tblBD_PatronMasa[[Código Patrón]:[mpe]],9,FALSE),"")</f>
        <v/>
      </c>
      <c r="Y33" s="66" t="str">
        <f>IF(switch="Sí",IFERROR(VLOOKUP(tblCompPuntosCal[[#This Row],[Punto 2]],'kU(E)'!$AB$7:$AK$56,10,FALSE)*1000,""),IFERROR(VLOOKUP(tblCompPuntosCal[[#This Row],[Punto 2]],'kU(E)'!$AB$7:$AK$56*1000,8,FALSE),""))</f>
        <v/>
      </c>
      <c r="Z33" s="55" t="str">
        <f>IFERROR(IF('kU(E)'!$E$6&lt;&gt;0,INDEX(deltaMconv,MATCH(tblCompPuntosCal[[#This Row],[mN2]],MnomDeltaT),MATCH('kU(E)'!$E$6,deltaT,-1))/SQRT(3),""),"")</f>
        <v/>
      </c>
      <c r="AA33" s="62"/>
      <c r="AB33" s="55" t="str">
        <f>IFERROR(VLOOKUP(tblCompPuntosCal[[#This Row],[Punto 3]],tblBD_PatronMasa[[Código Patrón]:[mpe]],4,FALSE),"")</f>
        <v/>
      </c>
      <c r="AC33" s="55" t="str">
        <f>IFERROR(VLOOKUP(tblCompPuntosCal[[#This Row],[Punto 3]],tblBD_PatronMasa[[Código Patrón]:[mpe]],6,FALSE),"")</f>
        <v/>
      </c>
      <c r="AD33" s="67" t="str">
        <f>IFERROR(VLOOKUP(tblCompPuntosCal[[#This Row],[Punto 3]],tblBD_PatronMasa[[Código Patrón]:[mpe]],7,FALSE),"")</f>
        <v/>
      </c>
      <c r="AE33" s="67" t="str">
        <f>IFERROR(VLOOKUP(tblCompPuntosCal[[#This Row],[Punto 3]],tblBD_PatronMasa[[Código Patrón]:[mpe]],9,FALSE),"")</f>
        <v/>
      </c>
      <c r="AF33" s="63" t="str">
        <f>IF(switch="Sí",IFERROR(VLOOKUP(tblCompPuntosCal[[#This Row],[Punto 3]],'kU(E)'!$AB$7:$AK$56,10,FALSE)*1000,""),IFERROR(VLOOKUP(tblCompPuntosCal[[#This Row],[Punto 3]],'kU(E)'!$AB$7:$AK$56*1000,8,FALSE),""))</f>
        <v/>
      </c>
      <c r="AG33" s="67" t="str">
        <f>IFERROR(IF('kU(E)'!$E$6&lt;&gt;0,INDEX(deltaMconv,MATCH(tblCompPuntosCal[[#This Row],[mN3]],MnomDeltaT),MATCH('kU(E)'!$E$6,deltaT,-1))/SQRT(3),""),"")</f>
        <v/>
      </c>
      <c r="AH33" s="62"/>
      <c r="AI33" s="67" t="str">
        <f>IFERROR(VLOOKUP(tblCompPuntosCal[[#This Row],[Punto 4]],tblBD_PatronMasa[[Código Patrón]:[mpe]],4,FALSE),"")</f>
        <v/>
      </c>
      <c r="AJ33" s="55" t="str">
        <f>IFERROR(VLOOKUP(tblCompPuntosCal[[#This Row],[Punto 4]],tblBD_PatronMasa[[Código Patrón]:[mpe]],6,FALSE),"")</f>
        <v/>
      </c>
      <c r="AK33" s="55" t="str">
        <f>IFERROR(VLOOKUP(tblCompPuntosCal[[#This Row],[Punto 4]],tblBD_PatronMasa[[Código Patrón]:[mpe]],7,FALSE),"")</f>
        <v/>
      </c>
      <c r="AL33" s="55" t="str">
        <f>IFERROR(VLOOKUP(tblCompPuntosCal[[#This Row],[Punto 4]],tblBD_PatronMasa[[Código Patrón]:[mpe]],9,FALSE),"")</f>
        <v/>
      </c>
      <c r="AM33" s="66" t="str">
        <f>IF(switch="Sí",IFERROR(VLOOKUP(tblCompPuntosCal[[#This Row],[Punto 4]],'kU(E)'!$AB$7:$AK$56,10,FALSE)*1000,""),IFERROR(VLOOKUP(tblCompPuntosCal[[#This Row],[Punto 4]],'kU(E)'!$AB$7:$AK$56,8,FALSE)*1000,""))</f>
        <v/>
      </c>
      <c r="AN33" s="55" t="str">
        <f>IFERROR(IF('kU(E)'!$E$6&lt;&gt;0,INDEX(deltaMconv,MATCH(tblCompPuntosCal[[#This Row],[mN4]],MnomDeltaT),MATCH('kU(E)'!$E$6,deltaT,-1))/SQRT(3),""),"")</f>
        <v/>
      </c>
      <c r="AO33" s="62"/>
      <c r="AP33" s="55" t="str">
        <f>IFERROR(VLOOKUP(tblCompPuntosCal[[#This Row],[Punto 5]],tblBD_PatronMasa[[Código Patrón]:[mpe]],4,FALSE),"")</f>
        <v/>
      </c>
      <c r="AQ33" s="55" t="str">
        <f>IFERROR(VLOOKUP(tblCompPuntosCal[[#This Row],[Punto 5]],tblBD_PatronMasa[[Código Patrón]:[mpe]],6,FALSE),"")</f>
        <v/>
      </c>
      <c r="AR33" s="55" t="str">
        <f>IFERROR(VLOOKUP(tblCompPuntosCal[[#This Row],[Punto 5]],tblBD_PatronMasa[[Código Patrón]:[mpe]],7,FALSE),"")</f>
        <v/>
      </c>
      <c r="AS33" s="55" t="str">
        <f>IFERROR(VLOOKUP(tblCompPuntosCal[[#This Row],[Punto 5]],tblBD_PatronMasa[[Código Patrón]:[mpe]],9,FALSE),"")</f>
        <v/>
      </c>
      <c r="AT33" s="66" t="str">
        <f>IF(switch="Sí",IFERROR(VLOOKUP(tblCompPuntosCal[[#This Row],[Punto 5]],'kU(E)'!$AB$7:$AK$56,10,FALSE)*1000,""),IFERROR(VLOOKUP(tblCompPuntosCal[[#This Row],[Punto 5]],'kU(E)'!$AB$7:$AK$56,8,FALSE)*1000,""))</f>
        <v/>
      </c>
      <c r="AU33" s="55" t="str">
        <f>IFERROR(IF('kU(E)'!$E$6&lt;&gt;0,INDEX(deltaMconv,MATCH(tblCompPuntosCal[[#This Row],[mN5]],MnomDeltaT),MATCH('kU(E)'!$E$6,deltaT,-1))/SQRT(3),""),"")</f>
        <v/>
      </c>
      <c r="AV33" s="62"/>
      <c r="AW33" s="55" t="str">
        <f>IFERROR(VLOOKUP(tblCompPuntosCal[[#This Row],[Punto 6]],tblBD_PatronMasa[[Código Patrón]:[mpe]],4,FALSE),"")</f>
        <v/>
      </c>
      <c r="AX33" s="55" t="str">
        <f>IFERROR(VLOOKUP(tblCompPuntosCal[[#This Row],[Punto 6]],tblBD_PatronMasa[[Código Patrón]:[mpe]],6,FALSE),"")</f>
        <v/>
      </c>
      <c r="AY33" s="55" t="str">
        <f>IFERROR(VLOOKUP(tblCompPuntosCal[[#This Row],[Punto 6]],tblBD_PatronMasa[[Código Patrón]:[mpe]],7,FALSE),"")</f>
        <v/>
      </c>
      <c r="AZ33" s="55" t="str">
        <f>IFERROR(VLOOKUP(tblCompPuntosCal[[#This Row],[Punto 6]],tblBD_PatronMasa[[Código Patrón]:[mpe]],9,FALSE),"")</f>
        <v/>
      </c>
      <c r="BA33" s="66" t="str">
        <f>IF(switch="Sí",IFERROR(VLOOKUP(tblCompPuntosCal[[#This Row],[Punto 6]],'kU(E)'!$AB$7:$AK$56,10,FALSE)*1000,""),IFERROR(VLOOKUP(tblCompPuntosCal[[#This Row],[Punto 6]],'kU(E)'!$AB$7:$AK$56,8,FALSE)*1000,""))</f>
        <v/>
      </c>
      <c r="BB33" s="55" t="str">
        <f>IFERROR(IF('kU(E)'!$E$6&lt;&gt;0,INDEX(deltaMconv,MATCH(tblCompPuntosCal[[#This Row],[mN6]],MnomDeltaT),MATCH('kU(E)'!$E$6,deltaT,-1))/SQRT(3),""),"")</f>
        <v/>
      </c>
      <c r="BC33" s="62"/>
      <c r="BD33" s="55" t="str">
        <f>IFERROR(VLOOKUP(tblCompPuntosCal[[#This Row],[Punto 7]],tblBD_PatronMasa[[Código Patrón]:[mpe]],4,FALSE),"")</f>
        <v/>
      </c>
      <c r="BE33" s="55" t="str">
        <f>IFERROR(VLOOKUP(tblCompPuntosCal[[#This Row],[Punto 7]],tblBD_PatronMasa[[Código Patrón]:[mpe]],6,FALSE),"")</f>
        <v/>
      </c>
      <c r="BF33" s="55" t="str">
        <f>IFERROR(VLOOKUP(tblCompPuntosCal[[#This Row],[Punto 7]],tblBD_PatronMasa[[Código Patrón]:[mpe]],7,FALSE),"")</f>
        <v/>
      </c>
      <c r="BG33" s="55" t="str">
        <f>IFERROR(VLOOKUP(tblCompPuntosCal[[#This Row],[Punto 7]],tblBD_PatronMasa[[Código Patrón]:[mpe]],9,FALSE),"")</f>
        <v/>
      </c>
      <c r="BH33" s="66" t="str">
        <f>IF(switch="Sí",IFERROR(VLOOKUP(tblCompPuntosCal[[#This Row],[Punto 7]],'kU(E)'!$AB$7:$AK$56,10,FALSE)*1000,""),IFERROR(VLOOKUP(tblCompPuntosCal[[#This Row],[Punto 7]],'kU(E)'!$AB$7:$AK$56,8,FALSE)*1000,""))</f>
        <v/>
      </c>
      <c r="BI33" s="55" t="str">
        <f>IFERROR(IF('kU(E)'!$E$6&lt;&gt;0,INDEX(deltaMconv,MATCH(tblCompPuntosCal[[#This Row],[mN7]],MnomDeltaT),MATCH('kU(E)'!$E$6,deltaT,-1))/SQRT(3),""),"")</f>
        <v/>
      </c>
      <c r="BJ33" s="62"/>
      <c r="BK33" s="55" t="str">
        <f>IFERROR(VLOOKUP(tblCompPuntosCal[[#This Row],[Punto 8]],tblBD_PatronMasa[[Código Patrón]:[mpe]],4,FALSE),"")</f>
        <v/>
      </c>
      <c r="BL33" s="55" t="str">
        <f>IFERROR(VLOOKUP(tblCompPuntosCal[[#This Row],[Punto 8]],tblBD_PatronMasa[[Código Patrón]:[mpe]],6,FALSE),"")</f>
        <v/>
      </c>
      <c r="BM33" s="55" t="str">
        <f>IFERROR(VLOOKUP(tblCompPuntosCal[[#This Row],[Punto 8]],tblBD_PatronMasa[[Código Patrón]:[mpe]],7,FALSE),"")</f>
        <v/>
      </c>
      <c r="BN33" s="55" t="str">
        <f>IFERROR(VLOOKUP(tblCompPuntosCal[[#This Row],[Punto 8]],tblBD_PatronMasa[[Código Patrón]:[mpe]],9,FALSE),"")</f>
        <v/>
      </c>
      <c r="BO33" s="66" t="str">
        <f>IF(switch="Sí",IFERROR(VLOOKUP(tblCompPuntosCal[[#This Row],[Punto 8]],'kU(E)'!$AB$7:$AK$56,10,FALSE)*1000,""),IFERROR(VLOOKUP(tblCompPuntosCal[[#This Row],[Punto 8]],'kU(E)'!$AB$7:$AK$56,8,FALSE)*1000,""))</f>
        <v/>
      </c>
      <c r="BP33" s="55" t="str">
        <f>IFERROR(IF('kU(E)'!$E$6&lt;&gt;0,INDEX(deltaMconv,MATCH(tblCompPuntosCal[[#This Row],[mN8]],MnomDeltaT),MATCH('kU(E)'!$E$6,deltaT,-1))/SQRT(3),""),"")</f>
        <v/>
      </c>
      <c r="BQ33" s="62"/>
      <c r="BR33" s="55" t="str">
        <f>IFERROR(VLOOKUP(tblCompPuntosCal[[#This Row],[Punto 9]],tblBD_PatronMasa[[Código Patrón]:[mpe]],4,FALSE),"")</f>
        <v/>
      </c>
      <c r="BS33" s="55" t="str">
        <f>IFERROR(VLOOKUP(tblCompPuntosCal[[#This Row],[Punto 9]],tblBD_PatronMasa[[Código Patrón]:[mpe]],6,FALSE),"")</f>
        <v/>
      </c>
      <c r="BT33" s="55" t="str">
        <f>IFERROR(VLOOKUP(tblCompPuntosCal[[#This Row],[Punto 9]],tblBD_PatronMasa[[Código Patrón]:[mpe]],7,FALSE),"")</f>
        <v/>
      </c>
      <c r="BU33" s="55" t="str">
        <f>IFERROR(VLOOKUP(tblCompPuntosCal[[#This Row],[Punto 9]],tblBD_PatronMasa[[Código Patrón]:[mpe]],9,FALSE),"")</f>
        <v/>
      </c>
      <c r="BV33" s="66" t="str">
        <f>IF(switch="Sí",IFERROR(VLOOKUP(tblCompPuntosCal[[#This Row],[Punto 9]],'kU(E)'!$AB$7:$AK$56,10,FALSE)*1000,""),IFERROR(VLOOKUP(tblCompPuntosCal[[#This Row],[Punto 9]],'kU(E)'!$AB$7:$AK$56,8,FALSE)*1000,""))</f>
        <v/>
      </c>
      <c r="BW33" s="55" t="str">
        <f>IFERROR(IF('kU(E)'!$E$6&lt;&gt;0,INDEX(deltaMconv,MATCH(tblCompPuntosCal[[#This Row],[mN9]],MnomDeltaT),MATCH('kU(E)'!$E$6,deltaT,-1))/SQRT(3),""),"")</f>
        <v/>
      </c>
      <c r="BX33" s="62"/>
      <c r="BY33" s="55" t="str">
        <f>IFERROR(VLOOKUP(tblCompPuntosCal[[#This Row],[Punto 10]],tblBD_PatronMasa[[Código Patrón]:[mpe]],4,FALSE),"")</f>
        <v/>
      </c>
      <c r="BZ33" s="55" t="str">
        <f>IFERROR(VLOOKUP(tblCompPuntosCal[[#This Row],[Punto 10]],tblBD_PatronMasa[[Código Patrón]:[mpe]],6,FALSE),"")</f>
        <v/>
      </c>
      <c r="CA33" s="59" t="str">
        <f>IFERROR(VLOOKUP(tblCompPuntosCal[[#This Row],[Punto 10]],tblBD_PatronMasa[[Código Patrón]:[mpe]],7,FALSE),"")</f>
        <v/>
      </c>
      <c r="CB33" s="59" t="str">
        <f>IFERROR(VLOOKUP(tblCompPuntosCal[[#This Row],[Punto 10]],tblBD_PatronMasa[[Código Patrón]:[mpe]],9,FALSE),"")</f>
        <v/>
      </c>
      <c r="CC33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33" s="59" t="str">
        <f>IFERROR(IF('kU(E)'!$E$6&lt;&gt;0,INDEX(deltaMconv,MATCH(tblCompPuntosCal[[#This Row],[mN10]],MnomDeltaT),MATCH('kU(E)'!$E$6,deltaT,-1))/SQRT(3),""),"")</f>
        <v/>
      </c>
      <c r="CG33" s="38">
        <v>29</v>
      </c>
      <c r="CH33" s="35">
        <f>tblCompPuntosCal[[#This Row],[Punto 1]]</f>
        <v>0</v>
      </c>
      <c r="CI33" s="35" t="str">
        <f>IF(tblTrazabilidad[[#This Row],[Código]]=0,"",IFERROR(IF(SEARCH("JM",tblTrazabilidad[[#This Row],[Código]])&gt;0,"Juego de pesas",),"Pesa"))</f>
        <v/>
      </c>
      <c r="CJ33" s="35" t="str">
        <f>IFERROR(VLOOKUP($CH33,tblBD_PatronMasa[[Código Patrón]:[mN-(mpe–U95)]],2,FALSE),"")</f>
        <v/>
      </c>
      <c r="CK33" s="35" t="str">
        <f>IFERROR(VLOOKUP($CH33,tblBD_PatronMasa[[Código Patrón]:[mN-(mpe–U95)]],13,FALSE),"")</f>
        <v/>
      </c>
      <c r="CL33" s="34" t="str">
        <f>IF(tblTrazabilidad[[#This Row],[Clase]]="F2",IFERROR(IF(VLOOKUP($CH33,tblBD_PatronMasa[[Código Patrón]:[mN-(mpe–U95)]],12,FALSE)=0,"",VLOOKUP($CH33,tblBD_PatronMasa[[Código Patrón]:[mN-(mpe–U95)]],12,FALSE)+731),""),IF(tblTrazabilidad[[#This Row],[Clase]]="F1",IFERROR(IF(VLOOKUP($CH33,tblBD_PatronMasa[[Código Patrón]:[mN-(mpe–U95)]],12,FALSE)=0,"",VLOOKUP($CH33,tblBD_PatronMasa[[Código Patrón]:[mN-(mpe–U95)]],12,FALSE)+731),""),IFERROR(IF(VLOOKUP($CH33,tblBD_PatronMasa[[Código Patrón]:[mN-(mpe–U95)]],12,FALSE)=0,"",VLOOKUP($CH33,tblBD_PatronMasa[[Código Patrón]:[mN-(mpe–U95)]],12,FALSE)+366),"")))</f>
        <v/>
      </c>
      <c r="CM33" s="33" t="str">
        <f>IFERROR(VLOOKUP($CH33,tblBD_PatronMasa[[Código Patrón]:[mN-(mpe–U95)]],3,FALSE),"")</f>
        <v/>
      </c>
      <c r="CO33" s="46"/>
      <c r="CP33" s="57" t="str">
        <f>IFERROR(VLOOKUP(CS33,tblTrazabilidad[[Código]:[Próxima calibración]],2,0),"")</f>
        <v/>
      </c>
      <c r="CQ33" s="58" t="str">
        <f>IFERROR(VLOOKUP(CS33,tblTrazabilidad[[Código]:[Clase]],6,0),"")</f>
        <v/>
      </c>
      <c r="CR33" s="57" t="str">
        <f>IFERROR(VLOOKUP(CS33,tblTrazabilidad[[Código]:[Próxima calibración]],3,0),"")</f>
        <v/>
      </c>
      <c r="CS33" s="56" t="str">
        <f t="shared" si="1"/>
        <v/>
      </c>
      <c r="CT33" s="55" t="str">
        <f>IFERROR(IF(VLOOKUP(CS33,tblTrazabilidad[[Código]:[Próxima calibración]],4,0)=0,"",VLOOKUP(CS33,tblTrazabilidad[[Código]:[Próxima calibración]],4,0)),"")</f>
        <v/>
      </c>
      <c r="CU33" s="54" t="str">
        <f>IFERROR(VLOOKUP(CS33,tblTrazabilidad[[Código]:[Próxima calibración]],5,0),"")</f>
        <v/>
      </c>
      <c r="CV33" s="53">
        <f t="shared" si="0"/>
        <v>0</v>
      </c>
      <c r="CW33" s="52" t="str">
        <f>IFERROR(LOOKUP(2,1/(COUNTIF($CW$4:CW32,tblTrazabilidad[Código])=0),tblTrazabilidad[Código]),"")</f>
        <v/>
      </c>
      <c r="DC33" s="1"/>
      <c r="DD33" s="1"/>
      <c r="DF33"/>
      <c r="DG33"/>
    </row>
    <row r="34" spans="2:111" ht="15.6" x14ac:dyDescent="0.3">
      <c r="F34" s="48" t="s">
        <v>132</v>
      </c>
      <c r="G34" s="89" t="str">
        <f t="array" ref="G34">IFERROR(IF(D24=0,"",_xlfn.STDEV.S(IF(G24:G33&lt;&gt;0,G24:G33))),0)</f>
        <v/>
      </c>
      <c r="I34" s="45"/>
      <c r="J34" s="45"/>
      <c r="L34" s="8">
        <v>31</v>
      </c>
      <c r="M34" s="62"/>
      <c r="N34" s="59" t="str">
        <f>IFERROR(VLOOKUP(tblCompPuntosCal[[#This Row],[Punto 1]],tblBD_PatronMasa[[Código Patrón]:[mpe]],4,FALSE),"")</f>
        <v/>
      </c>
      <c r="O34" s="59" t="str">
        <f>IFERROR(VLOOKUP(tblCompPuntosCal[[#This Row],[Punto 1]],tblBD_PatronMasa[[Código Patrón]:[mpe]],6,FALSE),"")</f>
        <v/>
      </c>
      <c r="P34" s="55" t="str">
        <f>IFERROR(VLOOKUP(tblCompPuntosCal[[#This Row],[Punto 1]],tblBD_PatronMasa[[Código Patrón]:[mpe]],7,FALSE),"")</f>
        <v/>
      </c>
      <c r="Q34" s="55" t="str">
        <f>IFERROR(VLOOKUP(tblCompPuntosCal[[#This Row],[Punto 1]],tblBD_PatronMasa[[Código Patrón]:[mpe]],9,FALSE),"")</f>
        <v/>
      </c>
      <c r="R34" s="66" t="str">
        <f>IF(switch="Sí",IFERROR(VLOOKUP(tblCompPuntosCal[[#This Row],[Punto 1]],'kU(E)'!$AB$7:$AK$56,10,FALSE)*1000,""),IFERROR(VLOOKUP(tblCompPuntosCal[[#This Row],[Punto 1]],'kU(E)'!$AB$7:$AK$56*1000,8,FALSE),""))</f>
        <v/>
      </c>
      <c r="S34" s="55" t="str">
        <f>IFERROR(IF('kU(E)'!$E$6&lt;&gt;0,INDEX(deltaMconv,MATCH(tblCompPuntosCal[[#This Row],[mN1]],MnomDeltaT),MATCH('kU(E)'!$E$6,deltaT,-1))/SQRT(3),""),"")</f>
        <v/>
      </c>
      <c r="T34" s="62"/>
      <c r="U34" s="55" t="str">
        <f>IFERROR(VLOOKUP(tblCompPuntosCal[[#This Row],[Punto 2]],tblBD_PatronMasa[[Código Patrón]:[mpe]],4,FALSE),"")</f>
        <v/>
      </c>
      <c r="V34" s="55" t="str">
        <f>IFERROR(VLOOKUP(tblCompPuntosCal[[#This Row],[Punto 2]],tblBD_PatronMasa[[Código Patrón]:[mpe]],6,FALSE),"")</f>
        <v/>
      </c>
      <c r="W34" s="55" t="str">
        <f>IFERROR(VLOOKUP(tblCompPuntosCal[[#This Row],[Punto 2]],tblBD_PatronMasa[[Código Patrón]:[mpe]],7,FALSE),"")</f>
        <v/>
      </c>
      <c r="X34" s="55" t="str">
        <f>IFERROR(VLOOKUP(tblCompPuntosCal[[#This Row],[Punto 2]],tblBD_PatronMasa[[Código Patrón]:[mpe]],9,FALSE),"")</f>
        <v/>
      </c>
      <c r="Y34" s="66" t="str">
        <f>IF(switch="Sí",IFERROR(VLOOKUP(tblCompPuntosCal[[#This Row],[Punto 2]],'kU(E)'!$AB$7:$AK$56,10,FALSE)*1000,""),IFERROR(VLOOKUP(tblCompPuntosCal[[#This Row],[Punto 2]],'kU(E)'!$AB$7:$AK$56*1000,8,FALSE),""))</f>
        <v/>
      </c>
      <c r="Z34" s="55" t="str">
        <f>IFERROR(IF('kU(E)'!$E$6&lt;&gt;0,INDEX(deltaMconv,MATCH(tblCompPuntosCal[[#This Row],[mN2]],MnomDeltaT),MATCH('kU(E)'!$E$6,deltaT,-1))/SQRT(3),""),"")</f>
        <v/>
      </c>
      <c r="AA34" s="62"/>
      <c r="AB34" s="55" t="str">
        <f>IFERROR(VLOOKUP(tblCompPuntosCal[[#This Row],[Punto 3]],tblBD_PatronMasa[[Código Patrón]:[mpe]],4,FALSE),"")</f>
        <v/>
      </c>
      <c r="AC34" s="55" t="str">
        <f>IFERROR(VLOOKUP(tblCompPuntosCal[[#This Row],[Punto 3]],tblBD_PatronMasa[[Código Patrón]:[mpe]],6,FALSE),"")</f>
        <v/>
      </c>
      <c r="AD34" s="67" t="str">
        <f>IFERROR(VLOOKUP(tblCompPuntosCal[[#This Row],[Punto 3]],tblBD_PatronMasa[[Código Patrón]:[mpe]],7,FALSE),"")</f>
        <v/>
      </c>
      <c r="AE34" s="67" t="str">
        <f>IFERROR(VLOOKUP(tblCompPuntosCal[[#This Row],[Punto 3]],tblBD_PatronMasa[[Código Patrón]:[mpe]],9,FALSE),"")</f>
        <v/>
      </c>
      <c r="AF34" s="63" t="str">
        <f>IF(switch="Sí",IFERROR(VLOOKUP(tblCompPuntosCal[[#This Row],[Punto 3]],'kU(E)'!$AB$7:$AK$56,10,FALSE)*1000,""),IFERROR(VLOOKUP(tblCompPuntosCal[[#This Row],[Punto 3]],'kU(E)'!$AB$7:$AK$56*1000,8,FALSE),""))</f>
        <v/>
      </c>
      <c r="AG34" s="67" t="str">
        <f>IFERROR(IF('kU(E)'!$E$6&lt;&gt;0,INDEX(deltaMconv,MATCH(tblCompPuntosCal[[#This Row],[mN3]],MnomDeltaT),MATCH('kU(E)'!$E$6,deltaT,-1))/SQRT(3),""),"")</f>
        <v/>
      </c>
      <c r="AH34" s="62"/>
      <c r="AI34" s="67" t="str">
        <f>IFERROR(VLOOKUP(tblCompPuntosCal[[#This Row],[Punto 4]],tblBD_PatronMasa[[Código Patrón]:[mpe]],4,FALSE),"")</f>
        <v/>
      </c>
      <c r="AJ34" s="55" t="str">
        <f>IFERROR(VLOOKUP(tblCompPuntosCal[[#This Row],[Punto 4]],tblBD_PatronMasa[[Código Patrón]:[mpe]],6,FALSE),"")</f>
        <v/>
      </c>
      <c r="AK34" s="55" t="str">
        <f>IFERROR(VLOOKUP(tblCompPuntosCal[[#This Row],[Punto 4]],tblBD_PatronMasa[[Código Patrón]:[mpe]],7,FALSE),"")</f>
        <v/>
      </c>
      <c r="AL34" s="55" t="str">
        <f>IFERROR(VLOOKUP(tblCompPuntosCal[[#This Row],[Punto 4]],tblBD_PatronMasa[[Código Patrón]:[mpe]],9,FALSE),"")</f>
        <v/>
      </c>
      <c r="AM34" s="66" t="str">
        <f>IF(switch="Sí",IFERROR(VLOOKUP(tblCompPuntosCal[[#This Row],[Punto 4]],'kU(E)'!$AB$7:$AK$56,10,FALSE)*1000,""),IFERROR(VLOOKUP(tblCompPuntosCal[[#This Row],[Punto 4]],'kU(E)'!$AB$7:$AK$56,8,FALSE)*1000,""))</f>
        <v/>
      </c>
      <c r="AN34" s="55" t="str">
        <f>IFERROR(IF('kU(E)'!$E$6&lt;&gt;0,INDEX(deltaMconv,MATCH(tblCompPuntosCal[[#This Row],[mN4]],MnomDeltaT),MATCH('kU(E)'!$E$6,deltaT,-1))/SQRT(3),""),"")</f>
        <v/>
      </c>
      <c r="AO34" s="62"/>
      <c r="AP34" s="55" t="str">
        <f>IFERROR(VLOOKUP(tblCompPuntosCal[[#This Row],[Punto 5]],tblBD_PatronMasa[[Código Patrón]:[mpe]],4,FALSE),"")</f>
        <v/>
      </c>
      <c r="AQ34" s="55" t="str">
        <f>IFERROR(VLOOKUP(tblCompPuntosCal[[#This Row],[Punto 5]],tblBD_PatronMasa[[Código Patrón]:[mpe]],6,FALSE),"")</f>
        <v/>
      </c>
      <c r="AR34" s="55" t="str">
        <f>IFERROR(VLOOKUP(tblCompPuntosCal[[#This Row],[Punto 5]],tblBD_PatronMasa[[Código Patrón]:[mpe]],7,FALSE),"")</f>
        <v/>
      </c>
      <c r="AS34" s="55" t="str">
        <f>IFERROR(VLOOKUP(tblCompPuntosCal[[#This Row],[Punto 5]],tblBD_PatronMasa[[Código Patrón]:[mpe]],9,FALSE),"")</f>
        <v/>
      </c>
      <c r="AT34" s="66" t="str">
        <f>IF(switch="Sí",IFERROR(VLOOKUP(tblCompPuntosCal[[#This Row],[Punto 5]],'kU(E)'!$AB$7:$AK$56,10,FALSE)*1000,""),IFERROR(VLOOKUP(tblCompPuntosCal[[#This Row],[Punto 5]],'kU(E)'!$AB$7:$AK$56,8,FALSE)*1000,""))</f>
        <v/>
      </c>
      <c r="AU34" s="55" t="str">
        <f>IFERROR(IF('kU(E)'!$E$6&lt;&gt;0,INDEX(deltaMconv,MATCH(tblCompPuntosCal[[#This Row],[mN5]],MnomDeltaT),MATCH('kU(E)'!$E$6,deltaT,-1))/SQRT(3),""),"")</f>
        <v/>
      </c>
      <c r="AV34" s="62"/>
      <c r="AW34" s="55" t="str">
        <f>IFERROR(VLOOKUP(tblCompPuntosCal[[#This Row],[Punto 6]],tblBD_PatronMasa[[Código Patrón]:[mpe]],4,FALSE),"")</f>
        <v/>
      </c>
      <c r="AX34" s="55" t="str">
        <f>IFERROR(VLOOKUP(tblCompPuntosCal[[#This Row],[Punto 6]],tblBD_PatronMasa[[Código Patrón]:[mpe]],6,FALSE),"")</f>
        <v/>
      </c>
      <c r="AY34" s="55" t="str">
        <f>IFERROR(VLOOKUP(tblCompPuntosCal[[#This Row],[Punto 6]],tblBD_PatronMasa[[Código Patrón]:[mpe]],7,FALSE),"")</f>
        <v/>
      </c>
      <c r="AZ34" s="55" t="str">
        <f>IFERROR(VLOOKUP(tblCompPuntosCal[[#This Row],[Punto 6]],tblBD_PatronMasa[[Código Patrón]:[mpe]],9,FALSE),"")</f>
        <v/>
      </c>
      <c r="BA34" s="66" t="str">
        <f>IF(switch="Sí",IFERROR(VLOOKUP(tblCompPuntosCal[[#This Row],[Punto 6]],'kU(E)'!$AB$7:$AK$56,10,FALSE)*1000,""),IFERROR(VLOOKUP(tblCompPuntosCal[[#This Row],[Punto 6]],'kU(E)'!$AB$7:$AK$56,8,FALSE)*1000,""))</f>
        <v/>
      </c>
      <c r="BB34" s="55" t="str">
        <f>IFERROR(IF('kU(E)'!$E$6&lt;&gt;0,INDEX(deltaMconv,MATCH(tblCompPuntosCal[[#This Row],[mN6]],MnomDeltaT),MATCH('kU(E)'!$E$6,deltaT,-1))/SQRT(3),""),"")</f>
        <v/>
      </c>
      <c r="BC34" s="62"/>
      <c r="BD34" s="55" t="str">
        <f>IFERROR(VLOOKUP(tblCompPuntosCal[[#This Row],[Punto 7]],tblBD_PatronMasa[[Código Patrón]:[mpe]],4,FALSE),"")</f>
        <v/>
      </c>
      <c r="BE34" s="55" t="str">
        <f>IFERROR(VLOOKUP(tblCompPuntosCal[[#This Row],[Punto 7]],tblBD_PatronMasa[[Código Patrón]:[mpe]],6,FALSE),"")</f>
        <v/>
      </c>
      <c r="BF34" s="55" t="str">
        <f>IFERROR(VLOOKUP(tblCompPuntosCal[[#This Row],[Punto 7]],tblBD_PatronMasa[[Código Patrón]:[mpe]],7,FALSE),"")</f>
        <v/>
      </c>
      <c r="BG34" s="55" t="str">
        <f>IFERROR(VLOOKUP(tblCompPuntosCal[[#This Row],[Punto 7]],tblBD_PatronMasa[[Código Patrón]:[mpe]],9,FALSE),"")</f>
        <v/>
      </c>
      <c r="BH34" s="66" t="str">
        <f>IF(switch="Sí",IFERROR(VLOOKUP(tblCompPuntosCal[[#This Row],[Punto 7]],'kU(E)'!$AB$7:$AK$56,10,FALSE)*1000,""),IFERROR(VLOOKUP(tblCompPuntosCal[[#This Row],[Punto 7]],'kU(E)'!$AB$7:$AK$56,8,FALSE)*1000,""))</f>
        <v/>
      </c>
      <c r="BI34" s="55" t="str">
        <f>IFERROR(IF('kU(E)'!$E$6&lt;&gt;0,INDEX(deltaMconv,MATCH(tblCompPuntosCal[[#This Row],[mN7]],MnomDeltaT),MATCH('kU(E)'!$E$6,deltaT,-1))/SQRT(3),""),"")</f>
        <v/>
      </c>
      <c r="BJ34" s="62"/>
      <c r="BK34" s="55" t="str">
        <f>IFERROR(VLOOKUP(tblCompPuntosCal[[#This Row],[Punto 8]],tblBD_PatronMasa[[Código Patrón]:[mpe]],4,FALSE),"")</f>
        <v/>
      </c>
      <c r="BL34" s="55" t="str">
        <f>IFERROR(VLOOKUP(tblCompPuntosCal[[#This Row],[Punto 8]],tblBD_PatronMasa[[Código Patrón]:[mpe]],6,FALSE),"")</f>
        <v/>
      </c>
      <c r="BM34" s="55" t="str">
        <f>IFERROR(VLOOKUP(tblCompPuntosCal[[#This Row],[Punto 8]],tblBD_PatronMasa[[Código Patrón]:[mpe]],7,FALSE),"")</f>
        <v/>
      </c>
      <c r="BN34" s="55" t="str">
        <f>IFERROR(VLOOKUP(tblCompPuntosCal[[#This Row],[Punto 8]],tblBD_PatronMasa[[Código Patrón]:[mpe]],9,FALSE),"")</f>
        <v/>
      </c>
      <c r="BO34" s="66" t="str">
        <f>IF(switch="Sí",IFERROR(VLOOKUP(tblCompPuntosCal[[#This Row],[Punto 8]],'kU(E)'!$AB$7:$AK$56,10,FALSE)*1000,""),IFERROR(VLOOKUP(tblCompPuntosCal[[#This Row],[Punto 8]],'kU(E)'!$AB$7:$AK$56,8,FALSE)*1000,""))</f>
        <v/>
      </c>
      <c r="BP34" s="55" t="str">
        <f>IFERROR(IF('kU(E)'!$E$6&lt;&gt;0,INDEX(deltaMconv,MATCH(tblCompPuntosCal[[#This Row],[mN8]],MnomDeltaT),MATCH('kU(E)'!$E$6,deltaT,-1))/SQRT(3),""),"")</f>
        <v/>
      </c>
      <c r="BQ34" s="62"/>
      <c r="BR34" s="55" t="str">
        <f>IFERROR(VLOOKUP(tblCompPuntosCal[[#This Row],[Punto 9]],tblBD_PatronMasa[[Código Patrón]:[mpe]],4,FALSE),"")</f>
        <v/>
      </c>
      <c r="BS34" s="55" t="str">
        <f>IFERROR(VLOOKUP(tblCompPuntosCal[[#This Row],[Punto 9]],tblBD_PatronMasa[[Código Patrón]:[mpe]],6,FALSE),"")</f>
        <v/>
      </c>
      <c r="BT34" s="55" t="str">
        <f>IFERROR(VLOOKUP(tblCompPuntosCal[[#This Row],[Punto 9]],tblBD_PatronMasa[[Código Patrón]:[mpe]],7,FALSE),"")</f>
        <v/>
      </c>
      <c r="BU34" s="55" t="str">
        <f>IFERROR(VLOOKUP(tblCompPuntosCal[[#This Row],[Punto 9]],tblBD_PatronMasa[[Código Patrón]:[mpe]],9,FALSE),"")</f>
        <v/>
      </c>
      <c r="BV34" s="66" t="str">
        <f>IF(switch="Sí",IFERROR(VLOOKUP(tblCompPuntosCal[[#This Row],[Punto 9]],'kU(E)'!$AB$7:$AK$56,10,FALSE)*1000,""),IFERROR(VLOOKUP(tblCompPuntosCal[[#This Row],[Punto 9]],'kU(E)'!$AB$7:$AK$56,8,FALSE)*1000,""))</f>
        <v/>
      </c>
      <c r="BW34" s="55" t="str">
        <f>IFERROR(IF('kU(E)'!$E$6&lt;&gt;0,INDEX(deltaMconv,MATCH(tblCompPuntosCal[[#This Row],[mN9]],MnomDeltaT),MATCH('kU(E)'!$E$6,deltaT,-1))/SQRT(3),""),"")</f>
        <v/>
      </c>
      <c r="BX34" s="62"/>
      <c r="BY34" s="55" t="str">
        <f>IFERROR(VLOOKUP(tblCompPuntosCal[[#This Row],[Punto 10]],tblBD_PatronMasa[[Código Patrón]:[mpe]],4,FALSE),"")</f>
        <v/>
      </c>
      <c r="BZ34" s="55" t="str">
        <f>IFERROR(VLOOKUP(tblCompPuntosCal[[#This Row],[Punto 10]],tblBD_PatronMasa[[Código Patrón]:[mpe]],6,FALSE),"")</f>
        <v/>
      </c>
      <c r="CA34" s="59" t="str">
        <f>IFERROR(VLOOKUP(tblCompPuntosCal[[#This Row],[Punto 10]],tblBD_PatronMasa[[Código Patrón]:[mpe]],7,FALSE),"")</f>
        <v/>
      </c>
      <c r="CB34" s="59" t="str">
        <f>IFERROR(VLOOKUP(tblCompPuntosCal[[#This Row],[Punto 10]],tblBD_PatronMasa[[Código Patrón]:[mpe]],9,FALSE),"")</f>
        <v/>
      </c>
      <c r="CC34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34" s="59" t="str">
        <f>IFERROR(IF('kU(E)'!$E$6&lt;&gt;0,INDEX(deltaMconv,MATCH(tblCompPuntosCal[[#This Row],[mN10]],MnomDeltaT),MATCH('kU(E)'!$E$6,deltaT,-1))/SQRT(3),""),"")</f>
        <v/>
      </c>
      <c r="CG34" s="38">
        <v>30</v>
      </c>
      <c r="CH34" s="35">
        <f>tblCompPuntosCal[[#This Row],[Punto 1]]</f>
        <v>0</v>
      </c>
      <c r="CI34" s="35" t="str">
        <f>IF(tblTrazabilidad[[#This Row],[Código]]=0,"",IFERROR(IF(SEARCH("JM",tblTrazabilidad[[#This Row],[Código]])&gt;0,"Juego de pesas",),"Pesa"))</f>
        <v/>
      </c>
      <c r="CJ34" s="35" t="str">
        <f>IFERROR(VLOOKUP($CH34,tblBD_PatronMasa[[Código Patrón]:[mN-(mpe–U95)]],2,FALSE),"")</f>
        <v/>
      </c>
      <c r="CK34" s="35" t="str">
        <f>IFERROR(VLOOKUP($CH34,tblBD_PatronMasa[[Código Patrón]:[mN-(mpe–U95)]],13,FALSE),"")</f>
        <v/>
      </c>
      <c r="CL34" s="34" t="str">
        <f>IF(tblTrazabilidad[[#This Row],[Clase]]="F2",IFERROR(IF(VLOOKUP($CH34,tblBD_PatronMasa[[Código Patrón]:[mN-(mpe–U95)]],12,FALSE)=0,"",VLOOKUP($CH34,tblBD_PatronMasa[[Código Patrón]:[mN-(mpe–U95)]],12,FALSE)+731),""),IF(tblTrazabilidad[[#This Row],[Clase]]="F1",IFERROR(IF(VLOOKUP($CH34,tblBD_PatronMasa[[Código Patrón]:[mN-(mpe–U95)]],12,FALSE)=0,"",VLOOKUP($CH34,tblBD_PatronMasa[[Código Patrón]:[mN-(mpe–U95)]],12,FALSE)+731),""),IFERROR(IF(VLOOKUP($CH34,tblBD_PatronMasa[[Código Patrón]:[mN-(mpe–U95)]],12,FALSE)=0,"",VLOOKUP($CH34,tblBD_PatronMasa[[Código Patrón]:[mN-(mpe–U95)]],12,FALSE)+366),"")))</f>
        <v/>
      </c>
      <c r="CM34" s="33" t="str">
        <f>IFERROR(VLOOKUP($CH34,tblBD_PatronMasa[[Código Patrón]:[mN-(mpe–U95)]],3,FALSE),"")</f>
        <v/>
      </c>
      <c r="CO34" s="46"/>
      <c r="CP34" s="57" t="str">
        <f>IFERROR(VLOOKUP(CS34,tblTrazabilidad[[Código]:[Próxima calibración]],2,0),"")</f>
        <v/>
      </c>
      <c r="CQ34" s="58" t="str">
        <f>IFERROR(VLOOKUP(CS34,tblTrazabilidad[[Código]:[Clase]],6,0),"")</f>
        <v/>
      </c>
      <c r="CR34" s="57" t="str">
        <f>IFERROR(VLOOKUP(CS34,tblTrazabilidad[[Código]:[Próxima calibración]],3,0),"")</f>
        <v/>
      </c>
      <c r="CS34" s="56" t="str">
        <f t="shared" si="1"/>
        <v/>
      </c>
      <c r="CT34" s="55" t="str">
        <f>IFERROR(IF(VLOOKUP(CS34,tblTrazabilidad[[Código]:[Próxima calibración]],4,0)=0,"",VLOOKUP(CS34,tblTrazabilidad[[Código]:[Próxima calibración]],4,0)),"")</f>
        <v/>
      </c>
      <c r="CU34" s="54" t="str">
        <f>IFERROR(VLOOKUP(CS34,tblTrazabilidad[[Código]:[Próxima calibración]],5,0),"")</f>
        <v/>
      </c>
      <c r="CV34" s="53">
        <f t="shared" si="0"/>
        <v>0</v>
      </c>
      <c r="CW34" s="52" t="str">
        <f>IFERROR(LOOKUP(2,1/(COUNTIF($CW$4:CW33,tblTrazabilidad[Código])=0),tblTrazabilidad[Código]),"")</f>
        <v/>
      </c>
      <c r="DC34" s="1"/>
      <c r="DD34" s="1"/>
      <c r="DF34"/>
      <c r="DG34"/>
    </row>
    <row r="35" spans="2:111" x14ac:dyDescent="0.3">
      <c r="I35" s="45"/>
      <c r="J35" s="45"/>
      <c r="L35" s="8">
        <v>32</v>
      </c>
      <c r="M35" s="62"/>
      <c r="N35" s="59" t="str">
        <f>IFERROR(VLOOKUP(tblCompPuntosCal[[#This Row],[Punto 1]],tblBD_PatronMasa[[Código Patrón]:[mpe]],4,FALSE),"")</f>
        <v/>
      </c>
      <c r="O35" s="59" t="str">
        <f>IFERROR(VLOOKUP(tblCompPuntosCal[[#This Row],[Punto 1]],tblBD_PatronMasa[[Código Patrón]:[mpe]],6,FALSE),"")</f>
        <v/>
      </c>
      <c r="P35" s="55" t="str">
        <f>IFERROR(VLOOKUP(tblCompPuntosCal[[#This Row],[Punto 1]],tblBD_PatronMasa[[Código Patrón]:[mpe]],7,FALSE),"")</f>
        <v/>
      </c>
      <c r="Q35" s="55" t="str">
        <f>IFERROR(VLOOKUP(tblCompPuntosCal[[#This Row],[Punto 1]],tblBD_PatronMasa[[Código Patrón]:[mpe]],9,FALSE),"")</f>
        <v/>
      </c>
      <c r="R35" s="66" t="str">
        <f>IF(switch="Sí",IFERROR(VLOOKUP(tblCompPuntosCal[[#This Row],[Punto 1]],'kU(E)'!$AB$7:$AK$56,10,FALSE)*1000,""),IFERROR(VLOOKUP(tblCompPuntosCal[[#This Row],[Punto 1]],'kU(E)'!$AB$7:$AK$56*1000,8,FALSE),""))</f>
        <v/>
      </c>
      <c r="S35" s="55" t="str">
        <f>IFERROR(IF('kU(E)'!$E$6&lt;&gt;0,INDEX(deltaMconv,MATCH(tblCompPuntosCal[[#This Row],[mN1]],MnomDeltaT),MATCH('kU(E)'!$E$6,deltaT,-1))/SQRT(3),""),"")</f>
        <v/>
      </c>
      <c r="T35" s="62"/>
      <c r="U35" s="55" t="str">
        <f>IFERROR(VLOOKUP(tblCompPuntosCal[[#This Row],[Punto 2]],tblBD_PatronMasa[[Código Patrón]:[mpe]],4,FALSE),"")</f>
        <v/>
      </c>
      <c r="V35" s="55" t="str">
        <f>IFERROR(VLOOKUP(tblCompPuntosCal[[#This Row],[Punto 2]],tblBD_PatronMasa[[Código Patrón]:[mpe]],6,FALSE),"")</f>
        <v/>
      </c>
      <c r="W35" s="55" t="str">
        <f>IFERROR(VLOOKUP(tblCompPuntosCal[[#This Row],[Punto 2]],tblBD_PatronMasa[[Código Patrón]:[mpe]],7,FALSE),"")</f>
        <v/>
      </c>
      <c r="X35" s="55" t="str">
        <f>IFERROR(VLOOKUP(tblCompPuntosCal[[#This Row],[Punto 2]],tblBD_PatronMasa[[Código Patrón]:[mpe]],9,FALSE),"")</f>
        <v/>
      </c>
      <c r="Y35" s="66" t="str">
        <f>IF(switch="Sí",IFERROR(VLOOKUP(tblCompPuntosCal[[#This Row],[Punto 2]],'kU(E)'!$AB$7:$AK$56,10,FALSE)*1000,""),IFERROR(VLOOKUP(tblCompPuntosCal[[#This Row],[Punto 2]],'kU(E)'!$AB$7:$AK$56*1000,8,FALSE),""))</f>
        <v/>
      </c>
      <c r="Z35" s="55" t="str">
        <f>IFERROR(IF('kU(E)'!$E$6&lt;&gt;0,INDEX(deltaMconv,MATCH(tblCompPuntosCal[[#This Row],[mN2]],MnomDeltaT),MATCH('kU(E)'!$E$6,deltaT,-1))/SQRT(3),""),"")</f>
        <v/>
      </c>
      <c r="AA35" s="62"/>
      <c r="AB35" s="55" t="str">
        <f>IFERROR(VLOOKUP(tblCompPuntosCal[[#This Row],[Punto 3]],tblBD_PatronMasa[[Código Patrón]:[mpe]],4,FALSE),"")</f>
        <v/>
      </c>
      <c r="AC35" s="55" t="str">
        <f>IFERROR(VLOOKUP(tblCompPuntosCal[[#This Row],[Punto 3]],tblBD_PatronMasa[[Código Patrón]:[mpe]],6,FALSE),"")</f>
        <v/>
      </c>
      <c r="AD35" s="67" t="str">
        <f>IFERROR(VLOOKUP(tblCompPuntosCal[[#This Row],[Punto 3]],tblBD_PatronMasa[[Código Patrón]:[mpe]],7,FALSE),"")</f>
        <v/>
      </c>
      <c r="AE35" s="67" t="str">
        <f>IFERROR(VLOOKUP(tblCompPuntosCal[[#This Row],[Punto 3]],tblBD_PatronMasa[[Código Patrón]:[mpe]],9,FALSE),"")</f>
        <v/>
      </c>
      <c r="AF35" s="63" t="str">
        <f>IF(switch="Sí",IFERROR(VLOOKUP(tblCompPuntosCal[[#This Row],[Punto 3]],'kU(E)'!$AB$7:$AK$56,10,FALSE)*1000,""),IFERROR(VLOOKUP(tblCompPuntosCal[[#This Row],[Punto 3]],'kU(E)'!$AB$7:$AK$56*1000,8,FALSE),""))</f>
        <v/>
      </c>
      <c r="AG35" s="67" t="str">
        <f>IFERROR(IF('kU(E)'!$E$6&lt;&gt;0,INDEX(deltaMconv,MATCH(tblCompPuntosCal[[#This Row],[mN3]],MnomDeltaT),MATCH('kU(E)'!$E$6,deltaT,-1))/SQRT(3),""),"")</f>
        <v/>
      </c>
      <c r="AH35" s="62"/>
      <c r="AI35" s="67" t="str">
        <f>IFERROR(VLOOKUP(tblCompPuntosCal[[#This Row],[Punto 4]],tblBD_PatronMasa[[Código Patrón]:[mpe]],4,FALSE),"")</f>
        <v/>
      </c>
      <c r="AJ35" s="55" t="str">
        <f>IFERROR(VLOOKUP(tblCompPuntosCal[[#This Row],[Punto 4]],tblBD_PatronMasa[[Código Patrón]:[mpe]],6,FALSE),"")</f>
        <v/>
      </c>
      <c r="AK35" s="55" t="str">
        <f>IFERROR(VLOOKUP(tblCompPuntosCal[[#This Row],[Punto 4]],tblBD_PatronMasa[[Código Patrón]:[mpe]],7,FALSE),"")</f>
        <v/>
      </c>
      <c r="AL35" s="55" t="str">
        <f>IFERROR(VLOOKUP(tblCompPuntosCal[[#This Row],[Punto 4]],tblBD_PatronMasa[[Código Patrón]:[mpe]],9,FALSE),"")</f>
        <v/>
      </c>
      <c r="AM35" s="66" t="str">
        <f>IF(switch="Sí",IFERROR(VLOOKUP(tblCompPuntosCal[[#This Row],[Punto 4]],'kU(E)'!$AB$7:$AK$56,10,FALSE)*1000,""),IFERROR(VLOOKUP(tblCompPuntosCal[[#This Row],[Punto 4]],'kU(E)'!$AB$7:$AK$56,8,FALSE)*1000,""))</f>
        <v/>
      </c>
      <c r="AN35" s="55" t="str">
        <f>IFERROR(IF('kU(E)'!$E$6&lt;&gt;0,INDEX(deltaMconv,MATCH(tblCompPuntosCal[[#This Row],[mN4]],MnomDeltaT),MATCH('kU(E)'!$E$6,deltaT,-1))/SQRT(3),""),"")</f>
        <v/>
      </c>
      <c r="AO35" s="62"/>
      <c r="AP35" s="55" t="str">
        <f>IFERROR(VLOOKUP(tblCompPuntosCal[[#This Row],[Punto 5]],tblBD_PatronMasa[[Código Patrón]:[mpe]],4,FALSE),"")</f>
        <v/>
      </c>
      <c r="AQ35" s="55" t="str">
        <f>IFERROR(VLOOKUP(tblCompPuntosCal[[#This Row],[Punto 5]],tblBD_PatronMasa[[Código Patrón]:[mpe]],6,FALSE),"")</f>
        <v/>
      </c>
      <c r="AR35" s="55" t="str">
        <f>IFERROR(VLOOKUP(tblCompPuntosCal[[#This Row],[Punto 5]],tblBD_PatronMasa[[Código Patrón]:[mpe]],7,FALSE),"")</f>
        <v/>
      </c>
      <c r="AS35" s="55" t="str">
        <f>IFERROR(VLOOKUP(tblCompPuntosCal[[#This Row],[Punto 5]],tblBD_PatronMasa[[Código Patrón]:[mpe]],9,FALSE),"")</f>
        <v/>
      </c>
      <c r="AT35" s="66" t="str">
        <f>IF(switch="Sí",IFERROR(VLOOKUP(tblCompPuntosCal[[#This Row],[Punto 5]],'kU(E)'!$AB$7:$AK$56,10,FALSE)*1000,""),IFERROR(VLOOKUP(tblCompPuntosCal[[#This Row],[Punto 5]],'kU(E)'!$AB$7:$AK$56,8,FALSE)*1000,""))</f>
        <v/>
      </c>
      <c r="AU35" s="55" t="str">
        <f>IFERROR(IF('kU(E)'!$E$6&lt;&gt;0,INDEX(deltaMconv,MATCH(tblCompPuntosCal[[#This Row],[mN5]],MnomDeltaT),MATCH('kU(E)'!$E$6,deltaT,-1))/SQRT(3),""),"")</f>
        <v/>
      </c>
      <c r="AV35" s="62"/>
      <c r="AW35" s="55" t="str">
        <f>IFERROR(VLOOKUP(tblCompPuntosCal[[#This Row],[Punto 6]],tblBD_PatronMasa[[Código Patrón]:[mpe]],4,FALSE),"")</f>
        <v/>
      </c>
      <c r="AX35" s="55" t="str">
        <f>IFERROR(VLOOKUP(tblCompPuntosCal[[#This Row],[Punto 6]],tblBD_PatronMasa[[Código Patrón]:[mpe]],6,FALSE),"")</f>
        <v/>
      </c>
      <c r="AY35" s="55" t="str">
        <f>IFERROR(VLOOKUP(tblCompPuntosCal[[#This Row],[Punto 6]],tblBD_PatronMasa[[Código Patrón]:[mpe]],7,FALSE),"")</f>
        <v/>
      </c>
      <c r="AZ35" s="55" t="str">
        <f>IFERROR(VLOOKUP(tblCompPuntosCal[[#This Row],[Punto 6]],tblBD_PatronMasa[[Código Patrón]:[mpe]],9,FALSE),"")</f>
        <v/>
      </c>
      <c r="BA35" s="66" t="str">
        <f>IF(switch="Sí",IFERROR(VLOOKUP(tblCompPuntosCal[[#This Row],[Punto 6]],'kU(E)'!$AB$7:$AK$56,10,FALSE)*1000,""),IFERROR(VLOOKUP(tblCompPuntosCal[[#This Row],[Punto 6]],'kU(E)'!$AB$7:$AK$56,8,FALSE)*1000,""))</f>
        <v/>
      </c>
      <c r="BB35" s="55" t="str">
        <f>IFERROR(IF('kU(E)'!$E$6&lt;&gt;0,INDEX(deltaMconv,MATCH(tblCompPuntosCal[[#This Row],[mN6]],MnomDeltaT),MATCH('kU(E)'!$E$6,deltaT,-1))/SQRT(3),""),"")</f>
        <v/>
      </c>
      <c r="BC35" s="62"/>
      <c r="BD35" s="55" t="str">
        <f>IFERROR(VLOOKUP(tblCompPuntosCal[[#This Row],[Punto 7]],tblBD_PatronMasa[[Código Patrón]:[mpe]],4,FALSE),"")</f>
        <v/>
      </c>
      <c r="BE35" s="55" t="str">
        <f>IFERROR(VLOOKUP(tblCompPuntosCal[[#This Row],[Punto 7]],tblBD_PatronMasa[[Código Patrón]:[mpe]],6,FALSE),"")</f>
        <v/>
      </c>
      <c r="BF35" s="55" t="str">
        <f>IFERROR(VLOOKUP(tblCompPuntosCal[[#This Row],[Punto 7]],tblBD_PatronMasa[[Código Patrón]:[mpe]],7,FALSE),"")</f>
        <v/>
      </c>
      <c r="BG35" s="55" t="str">
        <f>IFERROR(VLOOKUP(tblCompPuntosCal[[#This Row],[Punto 7]],tblBD_PatronMasa[[Código Patrón]:[mpe]],9,FALSE),"")</f>
        <v/>
      </c>
      <c r="BH35" s="66" t="str">
        <f>IF(switch="Sí",IFERROR(VLOOKUP(tblCompPuntosCal[[#This Row],[Punto 7]],'kU(E)'!$AB$7:$AK$56,10,FALSE)*1000,""),IFERROR(VLOOKUP(tblCompPuntosCal[[#This Row],[Punto 7]],'kU(E)'!$AB$7:$AK$56,8,FALSE)*1000,""))</f>
        <v/>
      </c>
      <c r="BI35" s="55" t="str">
        <f>IFERROR(IF('kU(E)'!$E$6&lt;&gt;0,INDEX(deltaMconv,MATCH(tblCompPuntosCal[[#This Row],[mN7]],MnomDeltaT),MATCH('kU(E)'!$E$6,deltaT,-1))/SQRT(3),""),"")</f>
        <v/>
      </c>
      <c r="BJ35" s="62"/>
      <c r="BK35" s="55" t="str">
        <f>IFERROR(VLOOKUP(tblCompPuntosCal[[#This Row],[Punto 8]],tblBD_PatronMasa[[Código Patrón]:[mpe]],4,FALSE),"")</f>
        <v/>
      </c>
      <c r="BL35" s="55" t="str">
        <f>IFERROR(VLOOKUP(tblCompPuntosCal[[#This Row],[Punto 8]],tblBD_PatronMasa[[Código Patrón]:[mpe]],6,FALSE),"")</f>
        <v/>
      </c>
      <c r="BM35" s="55" t="str">
        <f>IFERROR(VLOOKUP(tblCompPuntosCal[[#This Row],[Punto 8]],tblBD_PatronMasa[[Código Patrón]:[mpe]],7,FALSE),"")</f>
        <v/>
      </c>
      <c r="BN35" s="55" t="str">
        <f>IFERROR(VLOOKUP(tblCompPuntosCal[[#This Row],[Punto 8]],tblBD_PatronMasa[[Código Patrón]:[mpe]],9,FALSE),"")</f>
        <v/>
      </c>
      <c r="BO35" s="66" t="str">
        <f>IF(switch="Sí",IFERROR(VLOOKUP(tblCompPuntosCal[[#This Row],[Punto 8]],'kU(E)'!$AB$7:$AK$56,10,FALSE)*1000,""),IFERROR(VLOOKUP(tblCompPuntosCal[[#This Row],[Punto 8]],'kU(E)'!$AB$7:$AK$56,8,FALSE)*1000,""))</f>
        <v/>
      </c>
      <c r="BP35" s="55" t="str">
        <f>IFERROR(IF('kU(E)'!$E$6&lt;&gt;0,INDEX(deltaMconv,MATCH(tblCompPuntosCal[[#This Row],[mN8]],MnomDeltaT),MATCH('kU(E)'!$E$6,deltaT,-1))/SQRT(3),""),"")</f>
        <v/>
      </c>
      <c r="BQ35" s="62"/>
      <c r="BR35" s="55" t="str">
        <f>IFERROR(VLOOKUP(tblCompPuntosCal[[#This Row],[Punto 9]],tblBD_PatronMasa[[Código Patrón]:[mpe]],4,FALSE),"")</f>
        <v/>
      </c>
      <c r="BS35" s="55" t="str">
        <f>IFERROR(VLOOKUP(tblCompPuntosCal[[#This Row],[Punto 9]],tblBD_PatronMasa[[Código Patrón]:[mpe]],6,FALSE),"")</f>
        <v/>
      </c>
      <c r="BT35" s="55" t="str">
        <f>IFERROR(VLOOKUP(tblCompPuntosCal[[#This Row],[Punto 9]],tblBD_PatronMasa[[Código Patrón]:[mpe]],7,FALSE),"")</f>
        <v/>
      </c>
      <c r="BU35" s="55" t="str">
        <f>IFERROR(VLOOKUP(tblCompPuntosCal[[#This Row],[Punto 9]],tblBD_PatronMasa[[Código Patrón]:[mpe]],9,FALSE),"")</f>
        <v/>
      </c>
      <c r="BV35" s="66" t="str">
        <f>IF(switch="Sí",IFERROR(VLOOKUP(tblCompPuntosCal[[#This Row],[Punto 9]],'kU(E)'!$AB$7:$AK$56,10,FALSE)*1000,""),IFERROR(VLOOKUP(tblCompPuntosCal[[#This Row],[Punto 9]],'kU(E)'!$AB$7:$AK$56,8,FALSE)*1000,""))</f>
        <v/>
      </c>
      <c r="BW35" s="55" t="str">
        <f>IFERROR(IF('kU(E)'!$E$6&lt;&gt;0,INDEX(deltaMconv,MATCH(tblCompPuntosCal[[#This Row],[mN9]],MnomDeltaT),MATCH('kU(E)'!$E$6,deltaT,-1))/SQRT(3),""),"")</f>
        <v/>
      </c>
      <c r="BX35" s="62"/>
      <c r="BY35" s="55" t="str">
        <f>IFERROR(VLOOKUP(tblCompPuntosCal[[#This Row],[Punto 10]],tblBD_PatronMasa[[Código Patrón]:[mpe]],4,FALSE),"")</f>
        <v/>
      </c>
      <c r="BZ35" s="55" t="str">
        <f>IFERROR(VLOOKUP(tblCompPuntosCal[[#This Row],[Punto 10]],tblBD_PatronMasa[[Código Patrón]:[mpe]],6,FALSE),"")</f>
        <v/>
      </c>
      <c r="CA35" s="59" t="str">
        <f>IFERROR(VLOOKUP(tblCompPuntosCal[[#This Row],[Punto 10]],tblBD_PatronMasa[[Código Patrón]:[mpe]],7,FALSE),"")</f>
        <v/>
      </c>
      <c r="CB35" s="59" t="str">
        <f>IFERROR(VLOOKUP(tblCompPuntosCal[[#This Row],[Punto 10]],tblBD_PatronMasa[[Código Patrón]:[mpe]],9,FALSE),"")</f>
        <v/>
      </c>
      <c r="CC35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35" s="59" t="str">
        <f>IFERROR(IF('kU(E)'!$E$6&lt;&gt;0,INDEX(deltaMconv,MATCH(tblCompPuntosCal[[#This Row],[mN10]],MnomDeltaT),MATCH('kU(E)'!$E$6,deltaT,-1))/SQRT(3),""),"")</f>
        <v/>
      </c>
      <c r="CG35" s="38">
        <v>31</v>
      </c>
      <c r="CH35" s="35">
        <f>tblCompPuntosCal[[#This Row],[Punto 1]]</f>
        <v>0</v>
      </c>
      <c r="CI35" s="35" t="str">
        <f>IF(tblTrazabilidad[[#This Row],[Código]]=0,"",IFERROR(IF(SEARCH("JM",tblTrazabilidad[[#This Row],[Código]])&gt;0,"Juego de pesas",),"Pesa"))</f>
        <v/>
      </c>
      <c r="CJ35" s="35" t="str">
        <f>IFERROR(VLOOKUP($CH35,tblBD_PatronMasa[[Código Patrón]:[mN-(mpe–U95)]],2,FALSE),"")</f>
        <v/>
      </c>
      <c r="CK35" s="35" t="str">
        <f>IFERROR(VLOOKUP($CH35,tblBD_PatronMasa[[Código Patrón]:[mN-(mpe–U95)]],13,FALSE),"")</f>
        <v/>
      </c>
      <c r="CL35" s="34" t="str">
        <f>IF(tblTrazabilidad[[#This Row],[Clase]]="F2",IFERROR(IF(VLOOKUP($CH35,tblBD_PatronMasa[[Código Patrón]:[mN-(mpe–U95)]],12,FALSE)=0,"",VLOOKUP($CH35,tblBD_PatronMasa[[Código Patrón]:[mN-(mpe–U95)]],12,FALSE)+731),""),IF(tblTrazabilidad[[#This Row],[Clase]]="F1",IFERROR(IF(VLOOKUP($CH35,tblBD_PatronMasa[[Código Patrón]:[mN-(mpe–U95)]],12,FALSE)=0,"",VLOOKUP($CH35,tblBD_PatronMasa[[Código Patrón]:[mN-(mpe–U95)]],12,FALSE)+731),""),IFERROR(IF(VLOOKUP($CH35,tblBD_PatronMasa[[Código Patrón]:[mN-(mpe–U95)]],12,FALSE)=0,"",VLOOKUP($CH35,tblBD_PatronMasa[[Código Patrón]:[mN-(mpe–U95)]],12,FALSE)+366),"")))</f>
        <v/>
      </c>
      <c r="CM35" s="33" t="str">
        <f>IFERROR(VLOOKUP($CH35,tblBD_PatronMasa[[Código Patrón]:[mN-(mpe–U95)]],3,FALSE),"")</f>
        <v/>
      </c>
      <c r="CO35" s="46"/>
      <c r="CP35" s="57" t="str">
        <f>IFERROR(VLOOKUP(CS35,tblTrazabilidad[[Código]:[Próxima calibración]],2,0),"")</f>
        <v/>
      </c>
      <c r="CQ35" s="58" t="str">
        <f>IFERROR(VLOOKUP(CS35,tblTrazabilidad[[Código]:[Clase]],6,0),"")</f>
        <v/>
      </c>
      <c r="CR35" s="57" t="str">
        <f>IFERROR(VLOOKUP(CS35,tblTrazabilidad[[Código]:[Próxima calibración]],3,0),"")</f>
        <v/>
      </c>
      <c r="CS35" s="56" t="str">
        <f t="shared" si="1"/>
        <v/>
      </c>
      <c r="CT35" s="55" t="str">
        <f>IFERROR(IF(VLOOKUP(CS35,tblTrazabilidad[[Código]:[Próxima calibración]],4,0)=0,"",VLOOKUP(CS35,tblTrazabilidad[[Código]:[Próxima calibración]],4,0)),"")</f>
        <v/>
      </c>
      <c r="CU35" s="54" t="str">
        <f>IFERROR(VLOOKUP(CS35,tblTrazabilidad[[Código]:[Próxima calibración]],5,0),"")</f>
        <v/>
      </c>
      <c r="CV35" s="53">
        <f t="shared" si="0"/>
        <v>0</v>
      </c>
      <c r="CW35" s="52" t="str">
        <f>IFERROR(LOOKUP(2,1/(COUNTIF($CW$4:CW34,tblTrazabilidad[Código])=0),tblTrazabilidad[Código]),"")</f>
        <v/>
      </c>
      <c r="DC35" s="1"/>
      <c r="DD35" s="1"/>
      <c r="DF35"/>
      <c r="DG35"/>
    </row>
    <row r="36" spans="2:111" x14ac:dyDescent="0.3">
      <c r="C36" s="79" t="s">
        <v>149</v>
      </c>
      <c r="L36" s="8">
        <v>33</v>
      </c>
      <c r="M36" s="62"/>
      <c r="N36" s="59" t="str">
        <f>IFERROR(VLOOKUP(tblCompPuntosCal[[#This Row],[Punto 1]],tblBD_PatronMasa[[Código Patrón]:[mpe]],4,FALSE),"")</f>
        <v/>
      </c>
      <c r="O36" s="59" t="str">
        <f>IFERROR(VLOOKUP(tblCompPuntosCal[[#This Row],[Punto 1]],tblBD_PatronMasa[[Código Patrón]:[mpe]],6,FALSE),"")</f>
        <v/>
      </c>
      <c r="P36" s="55" t="str">
        <f>IFERROR(VLOOKUP(tblCompPuntosCal[[#This Row],[Punto 1]],tblBD_PatronMasa[[Código Patrón]:[mpe]],7,FALSE),"")</f>
        <v/>
      </c>
      <c r="Q36" s="55" t="str">
        <f>IFERROR(VLOOKUP(tblCompPuntosCal[[#This Row],[Punto 1]],tblBD_PatronMasa[[Código Patrón]:[mpe]],9,FALSE),"")</f>
        <v/>
      </c>
      <c r="R36" s="66" t="str">
        <f>IF(switch="Sí",IFERROR(VLOOKUP(tblCompPuntosCal[[#This Row],[Punto 1]],'kU(E)'!$AB$7:$AK$56,10,FALSE)*1000,""),IFERROR(VLOOKUP(tblCompPuntosCal[[#This Row],[Punto 1]],'kU(E)'!$AB$7:$AK$56*1000,8,FALSE),""))</f>
        <v/>
      </c>
      <c r="S36" s="55" t="str">
        <f>IFERROR(IF('kU(E)'!$E$6&lt;&gt;0,INDEX(deltaMconv,MATCH(tblCompPuntosCal[[#This Row],[mN1]],MnomDeltaT),MATCH('kU(E)'!$E$6,deltaT,-1))/SQRT(3),""),"")</f>
        <v/>
      </c>
      <c r="T36" s="62"/>
      <c r="U36" s="55" t="str">
        <f>IFERROR(VLOOKUP(tblCompPuntosCal[[#This Row],[Punto 2]],tblBD_PatronMasa[[Código Patrón]:[mpe]],4,FALSE),"")</f>
        <v/>
      </c>
      <c r="V36" s="55" t="str">
        <f>IFERROR(VLOOKUP(tblCompPuntosCal[[#This Row],[Punto 2]],tblBD_PatronMasa[[Código Patrón]:[mpe]],6,FALSE),"")</f>
        <v/>
      </c>
      <c r="W36" s="55" t="str">
        <f>IFERROR(VLOOKUP(tblCompPuntosCal[[#This Row],[Punto 2]],tblBD_PatronMasa[[Código Patrón]:[mpe]],7,FALSE),"")</f>
        <v/>
      </c>
      <c r="X36" s="55" t="str">
        <f>IFERROR(VLOOKUP(tblCompPuntosCal[[#This Row],[Punto 2]],tblBD_PatronMasa[[Código Patrón]:[mpe]],9,FALSE),"")</f>
        <v/>
      </c>
      <c r="Y36" s="66" t="str">
        <f>IF(switch="Sí",IFERROR(VLOOKUP(tblCompPuntosCal[[#This Row],[Punto 2]],'kU(E)'!$AB$7:$AK$56,10,FALSE)*1000,""),IFERROR(VLOOKUP(tblCompPuntosCal[[#This Row],[Punto 2]],'kU(E)'!$AB$7:$AK$56*1000,8,FALSE),""))</f>
        <v/>
      </c>
      <c r="Z36" s="55" t="str">
        <f>IFERROR(IF('kU(E)'!$E$6&lt;&gt;0,INDEX(deltaMconv,MATCH(tblCompPuntosCal[[#This Row],[mN2]],MnomDeltaT),MATCH('kU(E)'!$E$6,deltaT,-1))/SQRT(3),""),"")</f>
        <v/>
      </c>
      <c r="AA36" s="62"/>
      <c r="AB36" s="55" t="str">
        <f>IFERROR(VLOOKUP(tblCompPuntosCal[[#This Row],[Punto 3]],tblBD_PatronMasa[[Código Patrón]:[mpe]],4,FALSE),"")</f>
        <v/>
      </c>
      <c r="AC36" s="55" t="str">
        <f>IFERROR(VLOOKUP(tblCompPuntosCal[[#This Row],[Punto 3]],tblBD_PatronMasa[[Código Patrón]:[mpe]],6,FALSE),"")</f>
        <v/>
      </c>
      <c r="AD36" s="67" t="str">
        <f>IFERROR(VLOOKUP(tblCompPuntosCal[[#This Row],[Punto 3]],tblBD_PatronMasa[[Código Patrón]:[mpe]],7,FALSE),"")</f>
        <v/>
      </c>
      <c r="AE36" s="67" t="str">
        <f>IFERROR(VLOOKUP(tblCompPuntosCal[[#This Row],[Punto 3]],tblBD_PatronMasa[[Código Patrón]:[mpe]],9,FALSE),"")</f>
        <v/>
      </c>
      <c r="AF36" s="63" t="str">
        <f>IF(switch="Sí",IFERROR(VLOOKUP(tblCompPuntosCal[[#This Row],[Punto 3]],'kU(E)'!$AB$7:$AK$56,10,FALSE)*1000,""),IFERROR(VLOOKUP(tblCompPuntosCal[[#This Row],[Punto 3]],'kU(E)'!$AB$7:$AK$56*1000,8,FALSE),""))</f>
        <v/>
      </c>
      <c r="AG36" s="67" t="str">
        <f>IFERROR(IF('kU(E)'!$E$6&lt;&gt;0,INDEX(deltaMconv,MATCH(tblCompPuntosCal[[#This Row],[mN3]],MnomDeltaT),MATCH('kU(E)'!$E$6,deltaT,-1))/SQRT(3),""),"")</f>
        <v/>
      </c>
      <c r="AH36" s="62"/>
      <c r="AI36" s="67" t="str">
        <f>IFERROR(VLOOKUP(tblCompPuntosCal[[#This Row],[Punto 4]],tblBD_PatronMasa[[Código Patrón]:[mpe]],4,FALSE),"")</f>
        <v/>
      </c>
      <c r="AJ36" s="55" t="str">
        <f>IFERROR(VLOOKUP(tblCompPuntosCal[[#This Row],[Punto 4]],tblBD_PatronMasa[[Código Patrón]:[mpe]],6,FALSE),"")</f>
        <v/>
      </c>
      <c r="AK36" s="55" t="str">
        <f>IFERROR(VLOOKUP(tblCompPuntosCal[[#This Row],[Punto 4]],tblBD_PatronMasa[[Código Patrón]:[mpe]],7,FALSE),"")</f>
        <v/>
      </c>
      <c r="AL36" s="55" t="str">
        <f>IFERROR(VLOOKUP(tblCompPuntosCal[[#This Row],[Punto 4]],tblBD_PatronMasa[[Código Patrón]:[mpe]],9,FALSE),"")</f>
        <v/>
      </c>
      <c r="AM36" s="66" t="str">
        <f>IF(switch="Sí",IFERROR(VLOOKUP(tblCompPuntosCal[[#This Row],[Punto 4]],'kU(E)'!$AB$7:$AK$56,10,FALSE)*1000,""),IFERROR(VLOOKUP(tblCompPuntosCal[[#This Row],[Punto 4]],'kU(E)'!$AB$7:$AK$56,8,FALSE)*1000,""))</f>
        <v/>
      </c>
      <c r="AN36" s="55" t="str">
        <f>IFERROR(IF('kU(E)'!$E$6&lt;&gt;0,INDEX(deltaMconv,MATCH(tblCompPuntosCal[[#This Row],[mN4]],MnomDeltaT),MATCH('kU(E)'!$E$6,deltaT,-1))/SQRT(3),""),"")</f>
        <v/>
      </c>
      <c r="AO36" s="62"/>
      <c r="AP36" s="55" t="str">
        <f>IFERROR(VLOOKUP(tblCompPuntosCal[[#This Row],[Punto 5]],tblBD_PatronMasa[[Código Patrón]:[mpe]],4,FALSE),"")</f>
        <v/>
      </c>
      <c r="AQ36" s="55" t="str">
        <f>IFERROR(VLOOKUP(tblCompPuntosCal[[#This Row],[Punto 5]],tblBD_PatronMasa[[Código Patrón]:[mpe]],6,FALSE),"")</f>
        <v/>
      </c>
      <c r="AR36" s="55" t="str">
        <f>IFERROR(VLOOKUP(tblCompPuntosCal[[#This Row],[Punto 5]],tblBD_PatronMasa[[Código Patrón]:[mpe]],7,FALSE),"")</f>
        <v/>
      </c>
      <c r="AS36" s="55" t="str">
        <f>IFERROR(VLOOKUP(tblCompPuntosCal[[#This Row],[Punto 5]],tblBD_PatronMasa[[Código Patrón]:[mpe]],9,FALSE),"")</f>
        <v/>
      </c>
      <c r="AT36" s="66" t="str">
        <f>IF(switch="Sí",IFERROR(VLOOKUP(tblCompPuntosCal[[#This Row],[Punto 5]],'kU(E)'!$AB$7:$AK$56,10,FALSE)*1000,""),IFERROR(VLOOKUP(tblCompPuntosCal[[#This Row],[Punto 5]],'kU(E)'!$AB$7:$AK$56,8,FALSE)*1000,""))</f>
        <v/>
      </c>
      <c r="AU36" s="55" t="str">
        <f>IFERROR(IF('kU(E)'!$E$6&lt;&gt;0,INDEX(deltaMconv,MATCH(tblCompPuntosCal[[#This Row],[mN5]],MnomDeltaT),MATCH('kU(E)'!$E$6,deltaT,-1))/SQRT(3),""),"")</f>
        <v/>
      </c>
      <c r="AV36" s="62"/>
      <c r="AW36" s="55" t="str">
        <f>IFERROR(VLOOKUP(tblCompPuntosCal[[#This Row],[Punto 6]],tblBD_PatronMasa[[Código Patrón]:[mpe]],4,FALSE),"")</f>
        <v/>
      </c>
      <c r="AX36" s="55" t="str">
        <f>IFERROR(VLOOKUP(tblCompPuntosCal[[#This Row],[Punto 6]],tblBD_PatronMasa[[Código Patrón]:[mpe]],6,FALSE),"")</f>
        <v/>
      </c>
      <c r="AY36" s="55" t="str">
        <f>IFERROR(VLOOKUP(tblCompPuntosCal[[#This Row],[Punto 6]],tblBD_PatronMasa[[Código Patrón]:[mpe]],7,FALSE),"")</f>
        <v/>
      </c>
      <c r="AZ36" s="55" t="str">
        <f>IFERROR(VLOOKUP(tblCompPuntosCal[[#This Row],[Punto 6]],tblBD_PatronMasa[[Código Patrón]:[mpe]],9,FALSE),"")</f>
        <v/>
      </c>
      <c r="BA36" s="66" t="str">
        <f>IF(switch="Sí",IFERROR(VLOOKUP(tblCompPuntosCal[[#This Row],[Punto 6]],'kU(E)'!$AB$7:$AK$56,10,FALSE)*1000,""),IFERROR(VLOOKUP(tblCompPuntosCal[[#This Row],[Punto 6]],'kU(E)'!$AB$7:$AK$56,8,FALSE)*1000,""))</f>
        <v/>
      </c>
      <c r="BB36" s="55" t="str">
        <f>IFERROR(IF('kU(E)'!$E$6&lt;&gt;0,INDEX(deltaMconv,MATCH(tblCompPuntosCal[[#This Row],[mN6]],MnomDeltaT),MATCH('kU(E)'!$E$6,deltaT,-1))/SQRT(3),""),"")</f>
        <v/>
      </c>
      <c r="BC36" s="62"/>
      <c r="BD36" s="55" t="str">
        <f>IFERROR(VLOOKUP(tblCompPuntosCal[[#This Row],[Punto 7]],tblBD_PatronMasa[[Código Patrón]:[mpe]],4,FALSE),"")</f>
        <v/>
      </c>
      <c r="BE36" s="55" t="str">
        <f>IFERROR(VLOOKUP(tblCompPuntosCal[[#This Row],[Punto 7]],tblBD_PatronMasa[[Código Patrón]:[mpe]],6,FALSE),"")</f>
        <v/>
      </c>
      <c r="BF36" s="55" t="str">
        <f>IFERROR(VLOOKUP(tblCompPuntosCal[[#This Row],[Punto 7]],tblBD_PatronMasa[[Código Patrón]:[mpe]],7,FALSE),"")</f>
        <v/>
      </c>
      <c r="BG36" s="55" t="str">
        <f>IFERROR(VLOOKUP(tblCompPuntosCal[[#This Row],[Punto 7]],tblBD_PatronMasa[[Código Patrón]:[mpe]],9,FALSE),"")</f>
        <v/>
      </c>
      <c r="BH36" s="66" t="str">
        <f>IF(switch="Sí",IFERROR(VLOOKUP(tblCompPuntosCal[[#This Row],[Punto 7]],'kU(E)'!$AB$7:$AK$56,10,FALSE)*1000,""),IFERROR(VLOOKUP(tblCompPuntosCal[[#This Row],[Punto 7]],'kU(E)'!$AB$7:$AK$56,8,FALSE)*1000,""))</f>
        <v/>
      </c>
      <c r="BI36" s="55" t="str">
        <f>IFERROR(IF('kU(E)'!$E$6&lt;&gt;0,INDEX(deltaMconv,MATCH(tblCompPuntosCal[[#This Row],[mN7]],MnomDeltaT),MATCH('kU(E)'!$E$6,deltaT,-1))/SQRT(3),""),"")</f>
        <v/>
      </c>
      <c r="BJ36" s="62"/>
      <c r="BK36" s="55" t="str">
        <f>IFERROR(VLOOKUP(tblCompPuntosCal[[#This Row],[Punto 8]],tblBD_PatronMasa[[Código Patrón]:[mpe]],4,FALSE),"")</f>
        <v/>
      </c>
      <c r="BL36" s="55" t="str">
        <f>IFERROR(VLOOKUP(tblCompPuntosCal[[#This Row],[Punto 8]],tblBD_PatronMasa[[Código Patrón]:[mpe]],6,FALSE),"")</f>
        <v/>
      </c>
      <c r="BM36" s="55" t="str">
        <f>IFERROR(VLOOKUP(tblCompPuntosCal[[#This Row],[Punto 8]],tblBD_PatronMasa[[Código Patrón]:[mpe]],7,FALSE),"")</f>
        <v/>
      </c>
      <c r="BN36" s="55" t="str">
        <f>IFERROR(VLOOKUP(tblCompPuntosCal[[#This Row],[Punto 8]],tblBD_PatronMasa[[Código Patrón]:[mpe]],9,FALSE),"")</f>
        <v/>
      </c>
      <c r="BO36" s="66" t="str">
        <f>IF(switch="Sí",IFERROR(VLOOKUP(tblCompPuntosCal[[#This Row],[Punto 8]],'kU(E)'!$AB$7:$AK$56,10,FALSE)*1000,""),IFERROR(VLOOKUP(tblCompPuntosCal[[#This Row],[Punto 8]],'kU(E)'!$AB$7:$AK$56,8,FALSE)*1000,""))</f>
        <v/>
      </c>
      <c r="BP36" s="55" t="str">
        <f>IFERROR(IF('kU(E)'!$E$6&lt;&gt;0,INDEX(deltaMconv,MATCH(tblCompPuntosCal[[#This Row],[mN8]],MnomDeltaT),MATCH('kU(E)'!$E$6,deltaT,-1))/SQRT(3),""),"")</f>
        <v/>
      </c>
      <c r="BQ36" s="62"/>
      <c r="BR36" s="55" t="str">
        <f>IFERROR(VLOOKUP(tblCompPuntosCal[[#This Row],[Punto 9]],tblBD_PatronMasa[[Código Patrón]:[mpe]],4,FALSE),"")</f>
        <v/>
      </c>
      <c r="BS36" s="55" t="str">
        <f>IFERROR(VLOOKUP(tblCompPuntosCal[[#This Row],[Punto 9]],tblBD_PatronMasa[[Código Patrón]:[mpe]],6,FALSE),"")</f>
        <v/>
      </c>
      <c r="BT36" s="55" t="str">
        <f>IFERROR(VLOOKUP(tblCompPuntosCal[[#This Row],[Punto 9]],tblBD_PatronMasa[[Código Patrón]:[mpe]],7,FALSE),"")</f>
        <v/>
      </c>
      <c r="BU36" s="55" t="str">
        <f>IFERROR(VLOOKUP(tblCompPuntosCal[[#This Row],[Punto 9]],tblBD_PatronMasa[[Código Patrón]:[mpe]],9,FALSE),"")</f>
        <v/>
      </c>
      <c r="BV36" s="66" t="str">
        <f>IF(switch="Sí",IFERROR(VLOOKUP(tblCompPuntosCal[[#This Row],[Punto 9]],'kU(E)'!$AB$7:$AK$56,10,FALSE)*1000,""),IFERROR(VLOOKUP(tblCompPuntosCal[[#This Row],[Punto 9]],'kU(E)'!$AB$7:$AK$56,8,FALSE)*1000,""))</f>
        <v/>
      </c>
      <c r="BW36" s="55" t="str">
        <f>IFERROR(IF('kU(E)'!$E$6&lt;&gt;0,INDEX(deltaMconv,MATCH(tblCompPuntosCal[[#This Row],[mN9]],MnomDeltaT),MATCH('kU(E)'!$E$6,deltaT,-1))/SQRT(3),""),"")</f>
        <v/>
      </c>
      <c r="BX36" s="62"/>
      <c r="BY36" s="55" t="str">
        <f>IFERROR(VLOOKUP(tblCompPuntosCal[[#This Row],[Punto 10]],tblBD_PatronMasa[[Código Patrón]:[mpe]],4,FALSE),"")</f>
        <v/>
      </c>
      <c r="BZ36" s="55" t="str">
        <f>IFERROR(VLOOKUP(tblCompPuntosCal[[#This Row],[Punto 10]],tblBD_PatronMasa[[Código Patrón]:[mpe]],6,FALSE),"")</f>
        <v/>
      </c>
      <c r="CA36" s="59" t="str">
        <f>IFERROR(VLOOKUP(tblCompPuntosCal[[#This Row],[Punto 10]],tblBD_PatronMasa[[Código Patrón]:[mpe]],7,FALSE),"")</f>
        <v/>
      </c>
      <c r="CB36" s="59" t="str">
        <f>IFERROR(VLOOKUP(tblCompPuntosCal[[#This Row],[Punto 10]],tblBD_PatronMasa[[Código Patrón]:[mpe]],9,FALSE),"")</f>
        <v/>
      </c>
      <c r="CC36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36" s="59" t="str">
        <f>IFERROR(IF('kU(E)'!$E$6&lt;&gt;0,INDEX(deltaMconv,MATCH(tblCompPuntosCal[[#This Row],[mN10]],MnomDeltaT),MATCH('kU(E)'!$E$6,deltaT,-1))/SQRT(3),""),"")</f>
        <v/>
      </c>
      <c r="CG36" s="38">
        <v>32</v>
      </c>
      <c r="CH36" s="35">
        <f>tblCompPuntosCal[[#This Row],[Punto 1]]</f>
        <v>0</v>
      </c>
      <c r="CI36" s="35" t="str">
        <f>IF(tblTrazabilidad[[#This Row],[Código]]=0,"",IFERROR(IF(SEARCH("JM",tblTrazabilidad[[#This Row],[Código]])&gt;0,"Juego de pesas",),"Pesa"))</f>
        <v/>
      </c>
      <c r="CJ36" s="35" t="str">
        <f>IFERROR(VLOOKUP($CH36,tblBD_PatronMasa[[Código Patrón]:[mN-(mpe–U95)]],2,FALSE),"")</f>
        <v/>
      </c>
      <c r="CK36" s="35" t="str">
        <f>IFERROR(VLOOKUP($CH36,tblBD_PatronMasa[[Código Patrón]:[mN-(mpe–U95)]],13,FALSE),"")</f>
        <v/>
      </c>
      <c r="CL36" s="34" t="str">
        <f>IF(tblTrazabilidad[[#This Row],[Clase]]="F2",IFERROR(IF(VLOOKUP($CH36,tblBD_PatronMasa[[Código Patrón]:[mN-(mpe–U95)]],12,FALSE)=0,"",VLOOKUP($CH36,tblBD_PatronMasa[[Código Patrón]:[mN-(mpe–U95)]],12,FALSE)+731),""),IF(tblTrazabilidad[[#This Row],[Clase]]="F1",IFERROR(IF(VLOOKUP($CH36,tblBD_PatronMasa[[Código Patrón]:[mN-(mpe–U95)]],12,FALSE)=0,"",VLOOKUP($CH36,tblBD_PatronMasa[[Código Patrón]:[mN-(mpe–U95)]],12,FALSE)+731),""),IFERROR(IF(VLOOKUP($CH36,tblBD_PatronMasa[[Código Patrón]:[mN-(mpe–U95)]],12,FALSE)=0,"",VLOOKUP($CH36,tblBD_PatronMasa[[Código Patrón]:[mN-(mpe–U95)]],12,FALSE)+366),"")))</f>
        <v/>
      </c>
      <c r="CM36" s="33" t="str">
        <f>IFERROR(VLOOKUP($CH36,tblBD_PatronMasa[[Código Patrón]:[mN-(mpe–U95)]],3,FALSE),"")</f>
        <v/>
      </c>
      <c r="CO36" s="46"/>
      <c r="CP36" s="57" t="str">
        <f>IFERROR(VLOOKUP(CS36,tblTrazabilidad[[Código]:[Próxima calibración]],2,0),"")</f>
        <v/>
      </c>
      <c r="CQ36" s="58" t="str">
        <f>IFERROR(VLOOKUP(CS36,tblTrazabilidad[[Código]:[Clase]],6,0),"")</f>
        <v/>
      </c>
      <c r="CR36" s="57" t="str">
        <f>IFERROR(VLOOKUP(CS36,tblTrazabilidad[[Código]:[Próxima calibración]],3,0),"")</f>
        <v/>
      </c>
      <c r="CS36" s="56" t="str">
        <f t="shared" si="1"/>
        <v/>
      </c>
      <c r="CT36" s="55" t="str">
        <f>IFERROR(IF(VLOOKUP(CS36,tblTrazabilidad[[Código]:[Próxima calibración]],4,0)=0,"",VLOOKUP(CS36,tblTrazabilidad[[Código]:[Próxima calibración]],4,0)),"")</f>
        <v/>
      </c>
      <c r="CU36" s="54" t="str">
        <f>IFERROR(VLOOKUP(CS36,tblTrazabilidad[[Código]:[Próxima calibración]],5,0),"")</f>
        <v/>
      </c>
      <c r="CV36" s="53">
        <f t="shared" si="0"/>
        <v>0</v>
      </c>
      <c r="CW36" s="52" t="str">
        <f>IFERROR(LOOKUP(2,1/(COUNTIF($CW$4:CW35,tblTrazabilidad[Código])=0),tblTrazabilidad[Código]),"")</f>
        <v/>
      </c>
      <c r="DC36" s="1"/>
      <c r="DD36" s="1"/>
      <c r="DF36"/>
      <c r="DG36"/>
    </row>
    <row r="37" spans="2:111" x14ac:dyDescent="0.3">
      <c r="B37" s="4" t="s">
        <v>153</v>
      </c>
      <c r="C37" s="88">
        <v>1</v>
      </c>
      <c r="I37" s="45"/>
      <c r="J37" s="45"/>
      <c r="L37" s="8">
        <v>34</v>
      </c>
      <c r="M37" s="62"/>
      <c r="N37" s="59" t="str">
        <f>IFERROR(VLOOKUP(tblCompPuntosCal[[#This Row],[Punto 1]],tblBD_PatronMasa[[Código Patrón]:[mpe]],4,FALSE),"")</f>
        <v/>
      </c>
      <c r="O37" s="59" t="str">
        <f>IFERROR(VLOOKUP(tblCompPuntosCal[[#This Row],[Punto 1]],tblBD_PatronMasa[[Código Patrón]:[mpe]],6,FALSE),"")</f>
        <v/>
      </c>
      <c r="P37" s="55" t="str">
        <f>IFERROR(VLOOKUP(tblCompPuntosCal[[#This Row],[Punto 1]],tblBD_PatronMasa[[Código Patrón]:[mpe]],7,FALSE),"")</f>
        <v/>
      </c>
      <c r="Q37" s="55" t="str">
        <f>IFERROR(VLOOKUP(tblCompPuntosCal[[#This Row],[Punto 1]],tblBD_PatronMasa[[Código Patrón]:[mpe]],9,FALSE),"")</f>
        <v/>
      </c>
      <c r="R37" s="66" t="str">
        <f>IF(switch="Sí",IFERROR(VLOOKUP(tblCompPuntosCal[[#This Row],[Punto 1]],'kU(E)'!$AB$7:$AK$56,10,FALSE)*1000,""),IFERROR(VLOOKUP(tblCompPuntosCal[[#This Row],[Punto 1]],'kU(E)'!$AB$7:$AK$56*1000,8,FALSE),""))</f>
        <v/>
      </c>
      <c r="S37" s="55" t="str">
        <f>IFERROR(IF('kU(E)'!$E$6&lt;&gt;0,INDEX(deltaMconv,MATCH(tblCompPuntosCal[[#This Row],[mN1]],MnomDeltaT),MATCH('kU(E)'!$E$6,deltaT,-1))/SQRT(3),""),"")</f>
        <v/>
      </c>
      <c r="T37" s="62"/>
      <c r="U37" s="55" t="str">
        <f>IFERROR(VLOOKUP(tblCompPuntosCal[[#This Row],[Punto 2]],tblBD_PatronMasa[[Código Patrón]:[mpe]],4,FALSE),"")</f>
        <v/>
      </c>
      <c r="V37" s="55" t="str">
        <f>IFERROR(VLOOKUP(tblCompPuntosCal[[#This Row],[Punto 2]],tblBD_PatronMasa[[Código Patrón]:[mpe]],6,FALSE),"")</f>
        <v/>
      </c>
      <c r="W37" s="55" t="str">
        <f>IFERROR(VLOOKUP(tblCompPuntosCal[[#This Row],[Punto 2]],tblBD_PatronMasa[[Código Patrón]:[mpe]],7,FALSE),"")</f>
        <v/>
      </c>
      <c r="X37" s="55" t="str">
        <f>IFERROR(VLOOKUP(tblCompPuntosCal[[#This Row],[Punto 2]],tblBD_PatronMasa[[Código Patrón]:[mpe]],9,FALSE),"")</f>
        <v/>
      </c>
      <c r="Y37" s="66" t="str">
        <f>IF(switch="Sí",IFERROR(VLOOKUP(tblCompPuntosCal[[#This Row],[Punto 2]],'kU(E)'!$AB$7:$AK$56,10,FALSE)*1000,""),IFERROR(VLOOKUP(tblCompPuntosCal[[#This Row],[Punto 2]],'kU(E)'!$AB$7:$AK$56*1000,8,FALSE),""))</f>
        <v/>
      </c>
      <c r="Z37" s="55" t="str">
        <f>IFERROR(IF('kU(E)'!$E$6&lt;&gt;0,INDEX(deltaMconv,MATCH(tblCompPuntosCal[[#This Row],[mN2]],MnomDeltaT),MATCH('kU(E)'!$E$6,deltaT,-1))/SQRT(3),""),"")</f>
        <v/>
      </c>
      <c r="AA37" s="62"/>
      <c r="AB37" s="55" t="str">
        <f>IFERROR(VLOOKUP(tblCompPuntosCal[[#This Row],[Punto 3]],tblBD_PatronMasa[[Código Patrón]:[mpe]],4,FALSE),"")</f>
        <v/>
      </c>
      <c r="AC37" s="55" t="str">
        <f>IFERROR(VLOOKUP(tblCompPuntosCal[[#This Row],[Punto 3]],tblBD_PatronMasa[[Código Patrón]:[mpe]],6,FALSE),"")</f>
        <v/>
      </c>
      <c r="AD37" s="67" t="str">
        <f>IFERROR(VLOOKUP(tblCompPuntosCal[[#This Row],[Punto 3]],tblBD_PatronMasa[[Código Patrón]:[mpe]],7,FALSE),"")</f>
        <v/>
      </c>
      <c r="AE37" s="67" t="str">
        <f>IFERROR(VLOOKUP(tblCompPuntosCal[[#This Row],[Punto 3]],tblBD_PatronMasa[[Código Patrón]:[mpe]],9,FALSE),"")</f>
        <v/>
      </c>
      <c r="AF37" s="63" t="str">
        <f>IF(switch="Sí",IFERROR(VLOOKUP(tblCompPuntosCal[[#This Row],[Punto 3]],'kU(E)'!$AB$7:$AK$56,10,FALSE)*1000,""),IFERROR(VLOOKUP(tblCompPuntosCal[[#This Row],[Punto 3]],'kU(E)'!$AB$7:$AK$56*1000,8,FALSE),""))</f>
        <v/>
      </c>
      <c r="AG37" s="67" t="str">
        <f>IFERROR(IF('kU(E)'!$E$6&lt;&gt;0,INDEX(deltaMconv,MATCH(tblCompPuntosCal[[#This Row],[mN3]],MnomDeltaT),MATCH('kU(E)'!$E$6,deltaT,-1))/SQRT(3),""),"")</f>
        <v/>
      </c>
      <c r="AH37" s="62"/>
      <c r="AI37" s="67" t="str">
        <f>IFERROR(VLOOKUP(tblCompPuntosCal[[#This Row],[Punto 4]],tblBD_PatronMasa[[Código Patrón]:[mpe]],4,FALSE),"")</f>
        <v/>
      </c>
      <c r="AJ37" s="55" t="str">
        <f>IFERROR(VLOOKUP(tblCompPuntosCal[[#This Row],[Punto 4]],tblBD_PatronMasa[[Código Patrón]:[mpe]],6,FALSE),"")</f>
        <v/>
      </c>
      <c r="AK37" s="55" t="str">
        <f>IFERROR(VLOOKUP(tblCompPuntosCal[[#This Row],[Punto 4]],tblBD_PatronMasa[[Código Patrón]:[mpe]],7,FALSE),"")</f>
        <v/>
      </c>
      <c r="AL37" s="55" t="str">
        <f>IFERROR(VLOOKUP(tblCompPuntosCal[[#This Row],[Punto 4]],tblBD_PatronMasa[[Código Patrón]:[mpe]],9,FALSE),"")</f>
        <v/>
      </c>
      <c r="AM37" s="66" t="str">
        <f>IF(switch="Sí",IFERROR(VLOOKUP(tblCompPuntosCal[[#This Row],[Punto 4]],'kU(E)'!$AB$7:$AK$56,10,FALSE)*1000,""),IFERROR(VLOOKUP(tblCompPuntosCal[[#This Row],[Punto 4]],'kU(E)'!$AB$7:$AK$56,8,FALSE)*1000,""))</f>
        <v/>
      </c>
      <c r="AN37" s="55" t="str">
        <f>IFERROR(IF('kU(E)'!$E$6&lt;&gt;0,INDEX(deltaMconv,MATCH(tblCompPuntosCal[[#This Row],[mN4]],MnomDeltaT),MATCH('kU(E)'!$E$6,deltaT,-1))/SQRT(3),""),"")</f>
        <v/>
      </c>
      <c r="AO37" s="62"/>
      <c r="AP37" s="55" t="str">
        <f>IFERROR(VLOOKUP(tblCompPuntosCal[[#This Row],[Punto 5]],tblBD_PatronMasa[[Código Patrón]:[mpe]],4,FALSE),"")</f>
        <v/>
      </c>
      <c r="AQ37" s="55" t="str">
        <f>IFERROR(VLOOKUP(tblCompPuntosCal[[#This Row],[Punto 5]],tblBD_PatronMasa[[Código Patrón]:[mpe]],6,FALSE),"")</f>
        <v/>
      </c>
      <c r="AR37" s="55" t="str">
        <f>IFERROR(VLOOKUP(tblCompPuntosCal[[#This Row],[Punto 5]],tblBD_PatronMasa[[Código Patrón]:[mpe]],7,FALSE),"")</f>
        <v/>
      </c>
      <c r="AS37" s="55" t="str">
        <f>IFERROR(VLOOKUP(tblCompPuntosCal[[#This Row],[Punto 5]],tblBD_PatronMasa[[Código Patrón]:[mpe]],9,FALSE),"")</f>
        <v/>
      </c>
      <c r="AT37" s="66" t="str">
        <f>IF(switch="Sí",IFERROR(VLOOKUP(tblCompPuntosCal[[#This Row],[Punto 5]],'kU(E)'!$AB$7:$AK$56,10,FALSE)*1000,""),IFERROR(VLOOKUP(tblCompPuntosCal[[#This Row],[Punto 5]],'kU(E)'!$AB$7:$AK$56,8,FALSE)*1000,""))</f>
        <v/>
      </c>
      <c r="AU37" s="55" t="str">
        <f>IFERROR(IF('kU(E)'!$E$6&lt;&gt;0,INDEX(deltaMconv,MATCH(tblCompPuntosCal[[#This Row],[mN5]],MnomDeltaT),MATCH('kU(E)'!$E$6,deltaT,-1))/SQRT(3),""),"")</f>
        <v/>
      </c>
      <c r="AV37" s="62"/>
      <c r="AW37" s="55" t="str">
        <f>IFERROR(VLOOKUP(tblCompPuntosCal[[#This Row],[Punto 6]],tblBD_PatronMasa[[Código Patrón]:[mpe]],4,FALSE),"")</f>
        <v/>
      </c>
      <c r="AX37" s="55" t="str">
        <f>IFERROR(VLOOKUP(tblCompPuntosCal[[#This Row],[Punto 6]],tblBD_PatronMasa[[Código Patrón]:[mpe]],6,FALSE),"")</f>
        <v/>
      </c>
      <c r="AY37" s="55" t="str">
        <f>IFERROR(VLOOKUP(tblCompPuntosCal[[#This Row],[Punto 6]],tblBD_PatronMasa[[Código Patrón]:[mpe]],7,FALSE),"")</f>
        <v/>
      </c>
      <c r="AZ37" s="55" t="str">
        <f>IFERROR(VLOOKUP(tblCompPuntosCal[[#This Row],[Punto 6]],tblBD_PatronMasa[[Código Patrón]:[mpe]],9,FALSE),"")</f>
        <v/>
      </c>
      <c r="BA37" s="66" t="str">
        <f>IF(switch="Sí",IFERROR(VLOOKUP(tblCompPuntosCal[[#This Row],[Punto 6]],'kU(E)'!$AB$7:$AK$56,10,FALSE)*1000,""),IFERROR(VLOOKUP(tblCompPuntosCal[[#This Row],[Punto 6]],'kU(E)'!$AB$7:$AK$56,8,FALSE)*1000,""))</f>
        <v/>
      </c>
      <c r="BB37" s="55" t="str">
        <f>IFERROR(IF('kU(E)'!$E$6&lt;&gt;0,INDEX(deltaMconv,MATCH(tblCompPuntosCal[[#This Row],[mN6]],MnomDeltaT),MATCH('kU(E)'!$E$6,deltaT,-1))/SQRT(3),""),"")</f>
        <v/>
      </c>
      <c r="BC37" s="62"/>
      <c r="BD37" s="55" t="str">
        <f>IFERROR(VLOOKUP(tblCompPuntosCal[[#This Row],[Punto 7]],tblBD_PatronMasa[[Código Patrón]:[mpe]],4,FALSE),"")</f>
        <v/>
      </c>
      <c r="BE37" s="55" t="str">
        <f>IFERROR(VLOOKUP(tblCompPuntosCal[[#This Row],[Punto 7]],tblBD_PatronMasa[[Código Patrón]:[mpe]],6,FALSE),"")</f>
        <v/>
      </c>
      <c r="BF37" s="55" t="str">
        <f>IFERROR(VLOOKUP(tblCompPuntosCal[[#This Row],[Punto 7]],tblBD_PatronMasa[[Código Patrón]:[mpe]],7,FALSE),"")</f>
        <v/>
      </c>
      <c r="BG37" s="55" t="str">
        <f>IFERROR(VLOOKUP(tblCompPuntosCal[[#This Row],[Punto 7]],tblBD_PatronMasa[[Código Patrón]:[mpe]],9,FALSE),"")</f>
        <v/>
      </c>
      <c r="BH37" s="66" t="str">
        <f>IF(switch="Sí",IFERROR(VLOOKUP(tblCompPuntosCal[[#This Row],[Punto 7]],'kU(E)'!$AB$7:$AK$56,10,FALSE)*1000,""),IFERROR(VLOOKUP(tblCompPuntosCal[[#This Row],[Punto 7]],'kU(E)'!$AB$7:$AK$56,8,FALSE)*1000,""))</f>
        <v/>
      </c>
      <c r="BI37" s="55" t="str">
        <f>IFERROR(IF('kU(E)'!$E$6&lt;&gt;0,INDEX(deltaMconv,MATCH(tblCompPuntosCal[[#This Row],[mN7]],MnomDeltaT),MATCH('kU(E)'!$E$6,deltaT,-1))/SQRT(3),""),"")</f>
        <v/>
      </c>
      <c r="BJ37" s="62"/>
      <c r="BK37" s="55" t="str">
        <f>IFERROR(VLOOKUP(tblCompPuntosCal[[#This Row],[Punto 8]],tblBD_PatronMasa[[Código Patrón]:[mpe]],4,FALSE),"")</f>
        <v/>
      </c>
      <c r="BL37" s="55" t="str">
        <f>IFERROR(VLOOKUP(tblCompPuntosCal[[#This Row],[Punto 8]],tblBD_PatronMasa[[Código Patrón]:[mpe]],6,FALSE),"")</f>
        <v/>
      </c>
      <c r="BM37" s="55" t="str">
        <f>IFERROR(VLOOKUP(tblCompPuntosCal[[#This Row],[Punto 8]],tblBD_PatronMasa[[Código Patrón]:[mpe]],7,FALSE),"")</f>
        <v/>
      </c>
      <c r="BN37" s="55" t="str">
        <f>IFERROR(VLOOKUP(tblCompPuntosCal[[#This Row],[Punto 8]],tblBD_PatronMasa[[Código Patrón]:[mpe]],9,FALSE),"")</f>
        <v/>
      </c>
      <c r="BO37" s="66" t="str">
        <f>IF(switch="Sí",IFERROR(VLOOKUP(tblCompPuntosCal[[#This Row],[Punto 8]],'kU(E)'!$AB$7:$AK$56,10,FALSE)*1000,""),IFERROR(VLOOKUP(tblCompPuntosCal[[#This Row],[Punto 8]],'kU(E)'!$AB$7:$AK$56,8,FALSE)*1000,""))</f>
        <v/>
      </c>
      <c r="BP37" s="55" t="str">
        <f>IFERROR(IF('kU(E)'!$E$6&lt;&gt;0,INDEX(deltaMconv,MATCH(tblCompPuntosCal[[#This Row],[mN8]],MnomDeltaT),MATCH('kU(E)'!$E$6,deltaT,-1))/SQRT(3),""),"")</f>
        <v/>
      </c>
      <c r="BQ37" s="62"/>
      <c r="BR37" s="55" t="str">
        <f>IFERROR(VLOOKUP(tblCompPuntosCal[[#This Row],[Punto 9]],tblBD_PatronMasa[[Código Patrón]:[mpe]],4,FALSE),"")</f>
        <v/>
      </c>
      <c r="BS37" s="55" t="str">
        <f>IFERROR(VLOOKUP(tblCompPuntosCal[[#This Row],[Punto 9]],tblBD_PatronMasa[[Código Patrón]:[mpe]],6,FALSE),"")</f>
        <v/>
      </c>
      <c r="BT37" s="55" t="str">
        <f>IFERROR(VLOOKUP(tblCompPuntosCal[[#This Row],[Punto 9]],tblBD_PatronMasa[[Código Patrón]:[mpe]],7,FALSE),"")</f>
        <v/>
      </c>
      <c r="BU37" s="55" t="str">
        <f>IFERROR(VLOOKUP(tblCompPuntosCal[[#This Row],[Punto 9]],tblBD_PatronMasa[[Código Patrón]:[mpe]],9,FALSE),"")</f>
        <v/>
      </c>
      <c r="BV37" s="66" t="str">
        <f>IF(switch="Sí",IFERROR(VLOOKUP(tblCompPuntosCal[[#This Row],[Punto 9]],'kU(E)'!$AB$7:$AK$56,10,FALSE)*1000,""),IFERROR(VLOOKUP(tblCompPuntosCal[[#This Row],[Punto 9]],'kU(E)'!$AB$7:$AK$56,8,FALSE)*1000,""))</f>
        <v/>
      </c>
      <c r="BW37" s="55" t="str">
        <f>IFERROR(IF('kU(E)'!$E$6&lt;&gt;0,INDEX(deltaMconv,MATCH(tblCompPuntosCal[[#This Row],[mN9]],MnomDeltaT),MATCH('kU(E)'!$E$6,deltaT,-1))/SQRT(3),""),"")</f>
        <v/>
      </c>
      <c r="BX37" s="62"/>
      <c r="BY37" s="55" t="str">
        <f>IFERROR(VLOOKUP(tblCompPuntosCal[[#This Row],[Punto 10]],tblBD_PatronMasa[[Código Patrón]:[mpe]],4,FALSE),"")</f>
        <v/>
      </c>
      <c r="BZ37" s="55" t="str">
        <f>IFERROR(VLOOKUP(tblCompPuntosCal[[#This Row],[Punto 10]],tblBD_PatronMasa[[Código Patrón]:[mpe]],6,FALSE),"")</f>
        <v/>
      </c>
      <c r="CA37" s="59" t="str">
        <f>IFERROR(VLOOKUP(tblCompPuntosCal[[#This Row],[Punto 10]],tblBD_PatronMasa[[Código Patrón]:[mpe]],7,FALSE),"")</f>
        <v/>
      </c>
      <c r="CB37" s="59" t="str">
        <f>IFERROR(VLOOKUP(tblCompPuntosCal[[#This Row],[Punto 10]],tblBD_PatronMasa[[Código Patrón]:[mpe]],9,FALSE),"")</f>
        <v/>
      </c>
      <c r="CC37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37" s="59" t="str">
        <f>IFERROR(IF('kU(E)'!$E$6&lt;&gt;0,INDEX(deltaMconv,MATCH(tblCompPuntosCal[[#This Row],[mN10]],MnomDeltaT),MATCH('kU(E)'!$E$6,deltaT,-1))/SQRT(3),""),"")</f>
        <v/>
      </c>
      <c r="CG37" s="38">
        <v>33</v>
      </c>
      <c r="CH37" s="35">
        <f>tblCompPuntosCal[[#This Row],[Punto 1]]</f>
        <v>0</v>
      </c>
      <c r="CI37" s="35" t="str">
        <f>IF(tblTrazabilidad[[#This Row],[Código]]=0,"",IFERROR(IF(SEARCH("JM",tblTrazabilidad[[#This Row],[Código]])&gt;0,"Juego de pesas",),"Pesa"))</f>
        <v/>
      </c>
      <c r="CJ37" s="35" t="str">
        <f>IFERROR(VLOOKUP($CH37,tblBD_PatronMasa[[Código Patrón]:[mN-(mpe–U95)]],2,FALSE),"")</f>
        <v/>
      </c>
      <c r="CK37" s="35" t="str">
        <f>IFERROR(VLOOKUP($CH37,tblBD_PatronMasa[[Código Patrón]:[mN-(mpe–U95)]],13,FALSE),"")</f>
        <v/>
      </c>
      <c r="CL37" s="34" t="str">
        <f>IF(tblTrazabilidad[[#This Row],[Clase]]="F2",IFERROR(IF(VLOOKUP($CH37,tblBD_PatronMasa[[Código Patrón]:[mN-(mpe–U95)]],12,FALSE)=0,"",VLOOKUP($CH37,tblBD_PatronMasa[[Código Patrón]:[mN-(mpe–U95)]],12,FALSE)+731),""),IF(tblTrazabilidad[[#This Row],[Clase]]="F1",IFERROR(IF(VLOOKUP($CH37,tblBD_PatronMasa[[Código Patrón]:[mN-(mpe–U95)]],12,FALSE)=0,"",VLOOKUP($CH37,tblBD_PatronMasa[[Código Patrón]:[mN-(mpe–U95)]],12,FALSE)+731),""),IFERROR(IF(VLOOKUP($CH37,tblBD_PatronMasa[[Código Patrón]:[mN-(mpe–U95)]],12,FALSE)=0,"",VLOOKUP($CH37,tblBD_PatronMasa[[Código Patrón]:[mN-(mpe–U95)]],12,FALSE)+366),"")))</f>
        <v/>
      </c>
      <c r="CM37" s="33" t="str">
        <f>IFERROR(VLOOKUP($CH37,tblBD_PatronMasa[[Código Patrón]:[mN-(mpe–U95)]],3,FALSE),"")</f>
        <v/>
      </c>
      <c r="CO37" s="46"/>
      <c r="CP37" s="57" t="str">
        <f>IFERROR(VLOOKUP(CS37,tblTrazabilidad[[Código]:[Próxima calibración]],2,0),"")</f>
        <v/>
      </c>
      <c r="CQ37" s="58" t="str">
        <f>IFERROR(VLOOKUP(CS37,tblTrazabilidad[[Código]:[Clase]],6,0),"")</f>
        <v/>
      </c>
      <c r="CR37" s="57" t="str">
        <f>IFERROR(VLOOKUP(CS37,tblTrazabilidad[[Código]:[Próxima calibración]],3,0),"")</f>
        <v/>
      </c>
      <c r="CS37" s="56" t="str">
        <f t="shared" si="1"/>
        <v/>
      </c>
      <c r="CT37" s="55" t="str">
        <f>IFERROR(IF(VLOOKUP(CS37,tblTrazabilidad[[Código]:[Próxima calibración]],4,0)=0,"",VLOOKUP(CS37,tblTrazabilidad[[Código]:[Próxima calibración]],4,0)),"")</f>
        <v/>
      </c>
      <c r="CU37" s="54" t="str">
        <f>IFERROR(VLOOKUP(CS37,tblTrazabilidad[[Código]:[Próxima calibración]],5,0),"")</f>
        <v/>
      </c>
      <c r="CV37" s="53">
        <f t="shared" ref="CV37:CV54" si="4">COUNTIF($CW$5:$CW$54,"&gt;="&amp;CW37)</f>
        <v>0</v>
      </c>
      <c r="CW37" s="52" t="str">
        <f>IFERROR(LOOKUP(2,1/(COUNTIF($CW$4:CW36,tblTrazabilidad[Código])=0),tblTrazabilidad[Código]),"")</f>
        <v/>
      </c>
      <c r="DC37" s="1"/>
      <c r="DD37" s="1"/>
      <c r="DF37"/>
      <c r="DG37"/>
    </row>
    <row r="38" spans="2:111" x14ac:dyDescent="0.3">
      <c r="I38" s="45"/>
      <c r="J38" s="45"/>
      <c r="L38" s="8">
        <v>35</v>
      </c>
      <c r="M38" s="62"/>
      <c r="N38" s="59" t="str">
        <f>IFERROR(VLOOKUP(tblCompPuntosCal[[#This Row],[Punto 1]],tblBD_PatronMasa[[Código Patrón]:[mpe]],4,FALSE),"")</f>
        <v/>
      </c>
      <c r="O38" s="59" t="str">
        <f>IFERROR(VLOOKUP(tblCompPuntosCal[[#This Row],[Punto 1]],tblBD_PatronMasa[[Código Patrón]:[mpe]],6,FALSE),"")</f>
        <v/>
      </c>
      <c r="P38" s="55" t="str">
        <f>IFERROR(VLOOKUP(tblCompPuntosCal[[#This Row],[Punto 1]],tblBD_PatronMasa[[Código Patrón]:[mpe]],7,FALSE),"")</f>
        <v/>
      </c>
      <c r="Q38" s="55" t="str">
        <f>IFERROR(VLOOKUP(tblCompPuntosCal[[#This Row],[Punto 1]],tblBD_PatronMasa[[Código Patrón]:[mpe]],9,FALSE),"")</f>
        <v/>
      </c>
      <c r="R38" s="66" t="str">
        <f>IF(switch="Sí",IFERROR(VLOOKUP(tblCompPuntosCal[[#This Row],[Punto 1]],'kU(E)'!$AB$7:$AK$56,10,FALSE)*1000,""),IFERROR(VLOOKUP(tblCompPuntosCal[[#This Row],[Punto 1]],'kU(E)'!$AB$7:$AK$56*1000,8,FALSE),""))</f>
        <v/>
      </c>
      <c r="S38" s="55" t="str">
        <f>IFERROR(IF('kU(E)'!$E$6&lt;&gt;0,INDEX(deltaMconv,MATCH(tblCompPuntosCal[[#This Row],[mN1]],MnomDeltaT),MATCH('kU(E)'!$E$6,deltaT,-1))/SQRT(3),""),"")</f>
        <v/>
      </c>
      <c r="T38" s="62"/>
      <c r="U38" s="55" t="str">
        <f>IFERROR(VLOOKUP(tblCompPuntosCal[[#This Row],[Punto 2]],tblBD_PatronMasa[[Código Patrón]:[mpe]],4,FALSE),"")</f>
        <v/>
      </c>
      <c r="V38" s="55" t="str">
        <f>IFERROR(VLOOKUP(tblCompPuntosCal[[#This Row],[Punto 2]],tblBD_PatronMasa[[Código Patrón]:[mpe]],6,FALSE),"")</f>
        <v/>
      </c>
      <c r="W38" s="55" t="str">
        <f>IFERROR(VLOOKUP(tblCompPuntosCal[[#This Row],[Punto 2]],tblBD_PatronMasa[[Código Patrón]:[mpe]],7,FALSE),"")</f>
        <v/>
      </c>
      <c r="X38" s="55" t="str">
        <f>IFERROR(VLOOKUP(tblCompPuntosCal[[#This Row],[Punto 2]],tblBD_PatronMasa[[Código Patrón]:[mpe]],9,FALSE),"")</f>
        <v/>
      </c>
      <c r="Y38" s="66" t="str">
        <f>IF(switch="Sí",IFERROR(VLOOKUP(tblCompPuntosCal[[#This Row],[Punto 2]],'kU(E)'!$AB$7:$AK$56,10,FALSE)*1000,""),IFERROR(VLOOKUP(tblCompPuntosCal[[#This Row],[Punto 2]],'kU(E)'!$AB$7:$AK$56*1000,8,FALSE),""))</f>
        <v/>
      </c>
      <c r="Z38" s="55" t="str">
        <f>IFERROR(IF('kU(E)'!$E$6&lt;&gt;0,INDEX(deltaMconv,MATCH(tblCompPuntosCal[[#This Row],[mN2]],MnomDeltaT),MATCH('kU(E)'!$E$6,deltaT,-1))/SQRT(3),""),"")</f>
        <v/>
      </c>
      <c r="AA38" s="62"/>
      <c r="AB38" s="55" t="str">
        <f>IFERROR(VLOOKUP(tblCompPuntosCal[[#This Row],[Punto 3]],tblBD_PatronMasa[[Código Patrón]:[mpe]],4,FALSE),"")</f>
        <v/>
      </c>
      <c r="AC38" s="55" t="str">
        <f>IFERROR(VLOOKUP(tblCompPuntosCal[[#This Row],[Punto 3]],tblBD_PatronMasa[[Código Patrón]:[mpe]],6,FALSE),"")</f>
        <v/>
      </c>
      <c r="AD38" s="67" t="str">
        <f>IFERROR(VLOOKUP(tblCompPuntosCal[[#This Row],[Punto 3]],tblBD_PatronMasa[[Código Patrón]:[mpe]],7,FALSE),"")</f>
        <v/>
      </c>
      <c r="AE38" s="67" t="str">
        <f>IFERROR(VLOOKUP(tblCompPuntosCal[[#This Row],[Punto 3]],tblBD_PatronMasa[[Código Patrón]:[mpe]],9,FALSE),"")</f>
        <v/>
      </c>
      <c r="AF38" s="63" t="str">
        <f>IF(switch="Sí",IFERROR(VLOOKUP(tblCompPuntosCal[[#This Row],[Punto 3]],'kU(E)'!$AB$7:$AK$56,10,FALSE)*1000,""),IFERROR(VLOOKUP(tblCompPuntosCal[[#This Row],[Punto 3]],'kU(E)'!$AB$7:$AK$56*1000,8,FALSE),""))</f>
        <v/>
      </c>
      <c r="AG38" s="67" t="str">
        <f>IFERROR(IF('kU(E)'!$E$6&lt;&gt;0,INDEX(deltaMconv,MATCH(tblCompPuntosCal[[#This Row],[mN3]],MnomDeltaT),MATCH('kU(E)'!$E$6,deltaT,-1))/SQRT(3),""),"")</f>
        <v/>
      </c>
      <c r="AH38" s="62"/>
      <c r="AI38" s="67" t="str">
        <f>IFERROR(VLOOKUP(tblCompPuntosCal[[#This Row],[Punto 4]],tblBD_PatronMasa[[Código Patrón]:[mpe]],4,FALSE),"")</f>
        <v/>
      </c>
      <c r="AJ38" s="55" t="str">
        <f>IFERROR(VLOOKUP(tblCompPuntosCal[[#This Row],[Punto 4]],tblBD_PatronMasa[[Código Patrón]:[mpe]],6,FALSE),"")</f>
        <v/>
      </c>
      <c r="AK38" s="55" t="str">
        <f>IFERROR(VLOOKUP(tblCompPuntosCal[[#This Row],[Punto 4]],tblBD_PatronMasa[[Código Patrón]:[mpe]],7,FALSE),"")</f>
        <v/>
      </c>
      <c r="AL38" s="55" t="str">
        <f>IFERROR(VLOOKUP(tblCompPuntosCal[[#This Row],[Punto 4]],tblBD_PatronMasa[[Código Patrón]:[mpe]],9,FALSE),"")</f>
        <v/>
      </c>
      <c r="AM38" s="66" t="str">
        <f>IF(switch="Sí",IFERROR(VLOOKUP(tblCompPuntosCal[[#This Row],[Punto 4]],'kU(E)'!$AB$7:$AK$56,10,FALSE)*1000,""),IFERROR(VLOOKUP(tblCompPuntosCal[[#This Row],[Punto 4]],'kU(E)'!$AB$7:$AK$56,8,FALSE)*1000,""))</f>
        <v/>
      </c>
      <c r="AN38" s="55" t="str">
        <f>IFERROR(IF('kU(E)'!$E$6&lt;&gt;0,INDEX(deltaMconv,MATCH(tblCompPuntosCal[[#This Row],[mN4]],MnomDeltaT),MATCH('kU(E)'!$E$6,deltaT,-1))/SQRT(3),""),"")</f>
        <v/>
      </c>
      <c r="AO38" s="62"/>
      <c r="AP38" s="55" t="str">
        <f>IFERROR(VLOOKUP(tblCompPuntosCal[[#This Row],[Punto 5]],tblBD_PatronMasa[[Código Patrón]:[mpe]],4,FALSE),"")</f>
        <v/>
      </c>
      <c r="AQ38" s="55" t="str">
        <f>IFERROR(VLOOKUP(tblCompPuntosCal[[#This Row],[Punto 5]],tblBD_PatronMasa[[Código Patrón]:[mpe]],6,FALSE),"")</f>
        <v/>
      </c>
      <c r="AR38" s="55" t="str">
        <f>IFERROR(VLOOKUP(tblCompPuntosCal[[#This Row],[Punto 5]],tblBD_PatronMasa[[Código Patrón]:[mpe]],7,FALSE),"")</f>
        <v/>
      </c>
      <c r="AS38" s="55" t="str">
        <f>IFERROR(VLOOKUP(tblCompPuntosCal[[#This Row],[Punto 5]],tblBD_PatronMasa[[Código Patrón]:[mpe]],9,FALSE),"")</f>
        <v/>
      </c>
      <c r="AT38" s="66" t="str">
        <f>IF(switch="Sí",IFERROR(VLOOKUP(tblCompPuntosCal[[#This Row],[Punto 5]],'kU(E)'!$AB$7:$AK$56,10,FALSE)*1000,""),IFERROR(VLOOKUP(tblCompPuntosCal[[#This Row],[Punto 5]],'kU(E)'!$AB$7:$AK$56,8,FALSE)*1000,""))</f>
        <v/>
      </c>
      <c r="AU38" s="55" t="str">
        <f>IFERROR(IF('kU(E)'!$E$6&lt;&gt;0,INDEX(deltaMconv,MATCH(tblCompPuntosCal[[#This Row],[mN5]],MnomDeltaT),MATCH('kU(E)'!$E$6,deltaT,-1))/SQRT(3),""),"")</f>
        <v/>
      </c>
      <c r="AV38" s="62"/>
      <c r="AW38" s="55" t="str">
        <f>IFERROR(VLOOKUP(tblCompPuntosCal[[#This Row],[Punto 6]],tblBD_PatronMasa[[Código Patrón]:[mpe]],4,FALSE),"")</f>
        <v/>
      </c>
      <c r="AX38" s="55" t="str">
        <f>IFERROR(VLOOKUP(tblCompPuntosCal[[#This Row],[Punto 6]],tblBD_PatronMasa[[Código Patrón]:[mpe]],6,FALSE),"")</f>
        <v/>
      </c>
      <c r="AY38" s="55" t="str">
        <f>IFERROR(VLOOKUP(tblCompPuntosCal[[#This Row],[Punto 6]],tblBD_PatronMasa[[Código Patrón]:[mpe]],7,FALSE),"")</f>
        <v/>
      </c>
      <c r="AZ38" s="55" t="str">
        <f>IFERROR(VLOOKUP(tblCompPuntosCal[[#This Row],[Punto 6]],tblBD_PatronMasa[[Código Patrón]:[mpe]],9,FALSE),"")</f>
        <v/>
      </c>
      <c r="BA38" s="66" t="str">
        <f>IF(switch="Sí",IFERROR(VLOOKUP(tblCompPuntosCal[[#This Row],[Punto 6]],'kU(E)'!$AB$7:$AK$56,10,FALSE)*1000,""),IFERROR(VLOOKUP(tblCompPuntosCal[[#This Row],[Punto 6]],'kU(E)'!$AB$7:$AK$56,8,FALSE)*1000,""))</f>
        <v/>
      </c>
      <c r="BB38" s="55" t="str">
        <f>IFERROR(IF('kU(E)'!$E$6&lt;&gt;0,INDEX(deltaMconv,MATCH(tblCompPuntosCal[[#This Row],[mN6]],MnomDeltaT),MATCH('kU(E)'!$E$6,deltaT,-1))/SQRT(3),""),"")</f>
        <v/>
      </c>
      <c r="BC38" s="62"/>
      <c r="BD38" s="55" t="str">
        <f>IFERROR(VLOOKUP(tblCompPuntosCal[[#This Row],[Punto 7]],tblBD_PatronMasa[[Código Patrón]:[mpe]],4,FALSE),"")</f>
        <v/>
      </c>
      <c r="BE38" s="55" t="str">
        <f>IFERROR(VLOOKUP(tblCompPuntosCal[[#This Row],[Punto 7]],tblBD_PatronMasa[[Código Patrón]:[mpe]],6,FALSE),"")</f>
        <v/>
      </c>
      <c r="BF38" s="55" t="str">
        <f>IFERROR(VLOOKUP(tblCompPuntosCal[[#This Row],[Punto 7]],tblBD_PatronMasa[[Código Patrón]:[mpe]],7,FALSE),"")</f>
        <v/>
      </c>
      <c r="BG38" s="55" t="str">
        <f>IFERROR(VLOOKUP(tblCompPuntosCal[[#This Row],[Punto 7]],tblBD_PatronMasa[[Código Patrón]:[mpe]],9,FALSE),"")</f>
        <v/>
      </c>
      <c r="BH38" s="66" t="str">
        <f>IF(switch="Sí",IFERROR(VLOOKUP(tblCompPuntosCal[[#This Row],[Punto 7]],'kU(E)'!$AB$7:$AK$56,10,FALSE)*1000,""),IFERROR(VLOOKUP(tblCompPuntosCal[[#This Row],[Punto 7]],'kU(E)'!$AB$7:$AK$56,8,FALSE)*1000,""))</f>
        <v/>
      </c>
      <c r="BI38" s="55" t="str">
        <f>IFERROR(IF('kU(E)'!$E$6&lt;&gt;0,INDEX(deltaMconv,MATCH(tblCompPuntosCal[[#This Row],[mN7]],MnomDeltaT),MATCH('kU(E)'!$E$6,deltaT,-1))/SQRT(3),""),"")</f>
        <v/>
      </c>
      <c r="BJ38" s="62"/>
      <c r="BK38" s="55" t="str">
        <f>IFERROR(VLOOKUP(tblCompPuntosCal[[#This Row],[Punto 8]],tblBD_PatronMasa[[Código Patrón]:[mpe]],4,FALSE),"")</f>
        <v/>
      </c>
      <c r="BL38" s="55" t="str">
        <f>IFERROR(VLOOKUP(tblCompPuntosCal[[#This Row],[Punto 8]],tblBD_PatronMasa[[Código Patrón]:[mpe]],6,FALSE),"")</f>
        <v/>
      </c>
      <c r="BM38" s="55" t="str">
        <f>IFERROR(VLOOKUP(tblCompPuntosCal[[#This Row],[Punto 8]],tblBD_PatronMasa[[Código Patrón]:[mpe]],7,FALSE),"")</f>
        <v/>
      </c>
      <c r="BN38" s="55" t="str">
        <f>IFERROR(VLOOKUP(tblCompPuntosCal[[#This Row],[Punto 8]],tblBD_PatronMasa[[Código Patrón]:[mpe]],9,FALSE),"")</f>
        <v/>
      </c>
      <c r="BO38" s="66" t="str">
        <f>IF(switch="Sí",IFERROR(VLOOKUP(tblCompPuntosCal[[#This Row],[Punto 8]],'kU(E)'!$AB$7:$AK$56,10,FALSE)*1000,""),IFERROR(VLOOKUP(tblCompPuntosCal[[#This Row],[Punto 8]],'kU(E)'!$AB$7:$AK$56,8,FALSE)*1000,""))</f>
        <v/>
      </c>
      <c r="BP38" s="55" t="str">
        <f>IFERROR(IF('kU(E)'!$E$6&lt;&gt;0,INDEX(deltaMconv,MATCH(tblCompPuntosCal[[#This Row],[mN8]],MnomDeltaT),MATCH('kU(E)'!$E$6,deltaT,-1))/SQRT(3),""),"")</f>
        <v/>
      </c>
      <c r="BQ38" s="62"/>
      <c r="BR38" s="55" t="str">
        <f>IFERROR(VLOOKUP(tblCompPuntosCal[[#This Row],[Punto 9]],tblBD_PatronMasa[[Código Patrón]:[mpe]],4,FALSE),"")</f>
        <v/>
      </c>
      <c r="BS38" s="55" t="str">
        <f>IFERROR(VLOOKUP(tblCompPuntosCal[[#This Row],[Punto 9]],tblBD_PatronMasa[[Código Patrón]:[mpe]],6,FALSE),"")</f>
        <v/>
      </c>
      <c r="BT38" s="55" t="str">
        <f>IFERROR(VLOOKUP(tblCompPuntosCal[[#This Row],[Punto 9]],tblBD_PatronMasa[[Código Patrón]:[mpe]],7,FALSE),"")</f>
        <v/>
      </c>
      <c r="BU38" s="55" t="str">
        <f>IFERROR(VLOOKUP(tblCompPuntosCal[[#This Row],[Punto 9]],tblBD_PatronMasa[[Código Patrón]:[mpe]],9,FALSE),"")</f>
        <v/>
      </c>
      <c r="BV38" s="66" t="str">
        <f>IF(switch="Sí",IFERROR(VLOOKUP(tblCompPuntosCal[[#This Row],[Punto 9]],'kU(E)'!$AB$7:$AK$56,10,FALSE)*1000,""),IFERROR(VLOOKUP(tblCompPuntosCal[[#This Row],[Punto 9]],'kU(E)'!$AB$7:$AK$56,8,FALSE)*1000,""))</f>
        <v/>
      </c>
      <c r="BW38" s="55" t="str">
        <f>IFERROR(IF('kU(E)'!$E$6&lt;&gt;0,INDEX(deltaMconv,MATCH(tblCompPuntosCal[[#This Row],[mN9]],MnomDeltaT),MATCH('kU(E)'!$E$6,deltaT,-1))/SQRT(3),""),"")</f>
        <v/>
      </c>
      <c r="BX38" s="62"/>
      <c r="BY38" s="55" t="str">
        <f>IFERROR(VLOOKUP(tblCompPuntosCal[[#This Row],[Punto 10]],tblBD_PatronMasa[[Código Patrón]:[mpe]],4,FALSE),"")</f>
        <v/>
      </c>
      <c r="BZ38" s="55" t="str">
        <f>IFERROR(VLOOKUP(tblCompPuntosCal[[#This Row],[Punto 10]],tblBD_PatronMasa[[Código Patrón]:[mpe]],6,FALSE),"")</f>
        <v/>
      </c>
      <c r="CA38" s="59" t="str">
        <f>IFERROR(VLOOKUP(tblCompPuntosCal[[#This Row],[Punto 10]],tblBD_PatronMasa[[Código Patrón]:[mpe]],7,FALSE),"")</f>
        <v/>
      </c>
      <c r="CB38" s="59" t="str">
        <f>IFERROR(VLOOKUP(tblCompPuntosCal[[#This Row],[Punto 10]],tblBD_PatronMasa[[Código Patrón]:[mpe]],9,FALSE),"")</f>
        <v/>
      </c>
      <c r="CC38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38" s="59" t="str">
        <f>IFERROR(IF('kU(E)'!$E$6&lt;&gt;0,INDEX(deltaMconv,MATCH(tblCompPuntosCal[[#This Row],[mN10]],MnomDeltaT),MATCH('kU(E)'!$E$6,deltaT,-1))/SQRT(3),""),"")</f>
        <v/>
      </c>
      <c r="CG38" s="38">
        <v>34</v>
      </c>
      <c r="CH38" s="35">
        <f>tblCompPuntosCal[[#This Row],[Punto 1]]</f>
        <v>0</v>
      </c>
      <c r="CI38" s="35" t="str">
        <f>IF(tblTrazabilidad[[#This Row],[Código]]=0,"",IFERROR(IF(SEARCH("JM",tblTrazabilidad[[#This Row],[Código]])&gt;0,"Juego de pesas",),"Pesa"))</f>
        <v/>
      </c>
      <c r="CJ38" s="35" t="str">
        <f>IFERROR(VLOOKUP($CH38,tblBD_PatronMasa[[Código Patrón]:[mN-(mpe–U95)]],2,FALSE),"")</f>
        <v/>
      </c>
      <c r="CK38" s="35" t="str">
        <f>IFERROR(VLOOKUP($CH38,tblBD_PatronMasa[[Código Patrón]:[mN-(mpe–U95)]],13,FALSE),"")</f>
        <v/>
      </c>
      <c r="CL38" s="34" t="str">
        <f>IF(tblTrazabilidad[[#This Row],[Clase]]="F2",IFERROR(IF(VLOOKUP($CH38,tblBD_PatronMasa[[Código Patrón]:[mN-(mpe–U95)]],12,FALSE)=0,"",VLOOKUP($CH38,tblBD_PatronMasa[[Código Patrón]:[mN-(mpe–U95)]],12,FALSE)+731),""),IF(tblTrazabilidad[[#This Row],[Clase]]="F1",IFERROR(IF(VLOOKUP($CH38,tblBD_PatronMasa[[Código Patrón]:[mN-(mpe–U95)]],12,FALSE)=0,"",VLOOKUP($CH38,tblBD_PatronMasa[[Código Patrón]:[mN-(mpe–U95)]],12,FALSE)+731),""),IFERROR(IF(VLOOKUP($CH38,tblBD_PatronMasa[[Código Patrón]:[mN-(mpe–U95)]],12,FALSE)=0,"",VLOOKUP($CH38,tblBD_PatronMasa[[Código Patrón]:[mN-(mpe–U95)]],12,FALSE)+366),"")))</f>
        <v/>
      </c>
      <c r="CM38" s="33" t="str">
        <f>IFERROR(VLOOKUP($CH38,tblBD_PatronMasa[[Código Patrón]:[mN-(mpe–U95)]],3,FALSE),"")</f>
        <v/>
      </c>
      <c r="CO38" s="46"/>
      <c r="CP38" s="57" t="str">
        <f>IFERROR(VLOOKUP(CS38,tblTrazabilidad[[Código]:[Próxima calibración]],2,0),"")</f>
        <v/>
      </c>
      <c r="CQ38" s="58" t="str">
        <f>IFERROR(VLOOKUP(CS38,tblTrazabilidad[[Código]:[Clase]],6,0),"")</f>
        <v/>
      </c>
      <c r="CR38" s="57" t="str">
        <f>IFERROR(VLOOKUP(CS38,tblTrazabilidad[[Código]:[Próxima calibración]],3,0),"")</f>
        <v/>
      </c>
      <c r="CS38" s="56" t="str">
        <f t="shared" ref="CS38:CS54" si="5">IFERROR(VLOOKUP(ROW()-ROW($CS$5),$CV$6:$CW$54,2,FALSE),"")</f>
        <v/>
      </c>
      <c r="CT38" s="55" t="str">
        <f>IFERROR(IF(VLOOKUP(CS38,tblTrazabilidad[[Código]:[Próxima calibración]],4,0)=0,"",VLOOKUP(CS38,tblTrazabilidad[[Código]:[Próxima calibración]],4,0)),"")</f>
        <v/>
      </c>
      <c r="CU38" s="54" t="str">
        <f>IFERROR(VLOOKUP(CS38,tblTrazabilidad[[Código]:[Próxima calibración]],5,0),"")</f>
        <v/>
      </c>
      <c r="CV38" s="53">
        <f t="shared" si="4"/>
        <v>0</v>
      </c>
      <c r="CW38" s="52" t="str">
        <f>IFERROR(LOOKUP(2,1/(COUNTIF($CW$4:CW37,tblTrazabilidad[Código])=0),tblTrazabilidad[Código]),"")</f>
        <v/>
      </c>
      <c r="DC38" s="1"/>
      <c r="DD38" s="1"/>
      <c r="DF38"/>
      <c r="DG38"/>
    </row>
    <row r="39" spans="2:111" ht="30" x14ac:dyDescent="0.3">
      <c r="B39" s="87" t="s">
        <v>147</v>
      </c>
      <c r="C39" s="86">
        <f>IFERROR(IF(UnidadEscala="g",CHOOSE(PuntoRep,punto1,punto2,punto3,punto4,punto5,punto6,punto7,punto8,punto9,punto10),IF(UnidadEscala="kg",CHOOSE(PuntoRep,punto1,punto2,punto3,punto4,punto5,punto6,punto7,punto8,punto9,punto10)/1000,CHOOSE(PuntoRep,punto1,punto2,punto3,punto4,punto5,punto6,punto7,punto8,punto9,punto10)*0.0022)),"")</f>
        <v>0</v>
      </c>
      <c r="D39" s="75" t="s">
        <v>146</v>
      </c>
      <c r="E39" s="75" t="s">
        <v>145</v>
      </c>
      <c r="F39" s="75" t="s">
        <v>144</v>
      </c>
      <c r="G39" s="75" t="s">
        <v>152</v>
      </c>
      <c r="H39" s="353" t="s">
        <v>151</v>
      </c>
      <c r="I39" s="354"/>
      <c r="J39" s="354"/>
      <c r="K39" s="354"/>
      <c r="L39" s="8">
        <v>36</v>
      </c>
      <c r="M39" s="62"/>
      <c r="N39" s="59" t="str">
        <f>IFERROR(VLOOKUP(tblCompPuntosCal[[#This Row],[Punto 1]],tblBD_PatronMasa[[Código Patrón]:[mpe]],4,FALSE),"")</f>
        <v/>
      </c>
      <c r="O39" s="59" t="str">
        <f>IFERROR(VLOOKUP(tblCompPuntosCal[[#This Row],[Punto 1]],tblBD_PatronMasa[[Código Patrón]:[mpe]],6,FALSE),"")</f>
        <v/>
      </c>
      <c r="P39" s="55" t="str">
        <f>IFERROR(VLOOKUP(tblCompPuntosCal[[#This Row],[Punto 1]],tblBD_PatronMasa[[Código Patrón]:[mpe]],7,FALSE),"")</f>
        <v/>
      </c>
      <c r="Q39" s="55" t="str">
        <f>IFERROR(VLOOKUP(tblCompPuntosCal[[#This Row],[Punto 1]],tblBD_PatronMasa[[Código Patrón]:[mpe]],9,FALSE),"")</f>
        <v/>
      </c>
      <c r="R39" s="66" t="str">
        <f>IF(switch="Sí",IFERROR(VLOOKUP(tblCompPuntosCal[[#This Row],[Punto 1]],'kU(E)'!$AB$7:$AK$56,10,FALSE)*1000,""),IFERROR(VLOOKUP(tblCompPuntosCal[[#This Row],[Punto 1]],'kU(E)'!$AB$7:$AK$56*1000,8,FALSE),""))</f>
        <v/>
      </c>
      <c r="S39" s="55" t="str">
        <f>IFERROR(IF('kU(E)'!$E$6&lt;&gt;0,INDEX(deltaMconv,MATCH(tblCompPuntosCal[[#This Row],[mN1]],MnomDeltaT),MATCH('kU(E)'!$E$6,deltaT,-1))/SQRT(3),""),"")</f>
        <v/>
      </c>
      <c r="T39" s="62"/>
      <c r="U39" s="55" t="str">
        <f>IFERROR(VLOOKUP(tblCompPuntosCal[[#This Row],[Punto 2]],tblBD_PatronMasa[[Código Patrón]:[mpe]],4,FALSE),"")</f>
        <v/>
      </c>
      <c r="V39" s="55" t="str">
        <f>IFERROR(VLOOKUP(tblCompPuntosCal[[#This Row],[Punto 2]],tblBD_PatronMasa[[Código Patrón]:[mpe]],6,FALSE),"")</f>
        <v/>
      </c>
      <c r="W39" s="55" t="str">
        <f>IFERROR(VLOOKUP(tblCompPuntosCal[[#This Row],[Punto 2]],tblBD_PatronMasa[[Código Patrón]:[mpe]],7,FALSE),"")</f>
        <v/>
      </c>
      <c r="X39" s="55" t="str">
        <f>IFERROR(VLOOKUP(tblCompPuntosCal[[#This Row],[Punto 2]],tblBD_PatronMasa[[Código Patrón]:[mpe]],9,FALSE),"")</f>
        <v/>
      </c>
      <c r="Y39" s="66" t="str">
        <f>IF(switch="Sí",IFERROR(VLOOKUP(tblCompPuntosCal[[#This Row],[Punto 2]],'kU(E)'!$AB$7:$AK$56,10,FALSE)*1000,""),IFERROR(VLOOKUP(tblCompPuntosCal[[#This Row],[Punto 2]],'kU(E)'!$AB$7:$AK$56*1000,8,FALSE),""))</f>
        <v/>
      </c>
      <c r="Z39" s="55" t="str">
        <f>IFERROR(IF('kU(E)'!$E$6&lt;&gt;0,INDEX(deltaMconv,MATCH(tblCompPuntosCal[[#This Row],[mN2]],MnomDeltaT),MATCH('kU(E)'!$E$6,deltaT,-1))/SQRT(3),""),"")</f>
        <v/>
      </c>
      <c r="AA39" s="62"/>
      <c r="AB39" s="55" t="str">
        <f>IFERROR(VLOOKUP(tblCompPuntosCal[[#This Row],[Punto 3]],tblBD_PatronMasa[[Código Patrón]:[mpe]],4,FALSE),"")</f>
        <v/>
      </c>
      <c r="AC39" s="55" t="str">
        <f>IFERROR(VLOOKUP(tblCompPuntosCal[[#This Row],[Punto 3]],tblBD_PatronMasa[[Código Patrón]:[mpe]],6,FALSE),"")</f>
        <v/>
      </c>
      <c r="AD39" s="67" t="str">
        <f>IFERROR(VLOOKUP(tblCompPuntosCal[[#This Row],[Punto 3]],tblBD_PatronMasa[[Código Patrón]:[mpe]],7,FALSE),"")</f>
        <v/>
      </c>
      <c r="AE39" s="67" t="str">
        <f>IFERROR(VLOOKUP(tblCompPuntosCal[[#This Row],[Punto 3]],tblBD_PatronMasa[[Código Patrón]:[mpe]],9,FALSE),"")</f>
        <v/>
      </c>
      <c r="AF39" s="63" t="str">
        <f>IF(switch="Sí",IFERROR(VLOOKUP(tblCompPuntosCal[[#This Row],[Punto 3]],'kU(E)'!$AB$7:$AK$56,10,FALSE)*1000,""),IFERROR(VLOOKUP(tblCompPuntosCal[[#This Row],[Punto 3]],'kU(E)'!$AB$7:$AK$56*1000,8,FALSE),""))</f>
        <v/>
      </c>
      <c r="AG39" s="67" t="str">
        <f>IFERROR(IF('kU(E)'!$E$6&lt;&gt;0,INDEX(deltaMconv,MATCH(tblCompPuntosCal[[#This Row],[mN3]],MnomDeltaT),MATCH('kU(E)'!$E$6,deltaT,-1))/SQRT(3),""),"")</f>
        <v/>
      </c>
      <c r="AH39" s="62"/>
      <c r="AI39" s="67" t="str">
        <f>IFERROR(VLOOKUP(tblCompPuntosCal[[#This Row],[Punto 4]],tblBD_PatronMasa[[Código Patrón]:[mpe]],4,FALSE),"")</f>
        <v/>
      </c>
      <c r="AJ39" s="55" t="str">
        <f>IFERROR(VLOOKUP(tblCompPuntosCal[[#This Row],[Punto 4]],tblBD_PatronMasa[[Código Patrón]:[mpe]],6,FALSE),"")</f>
        <v/>
      </c>
      <c r="AK39" s="55" t="str">
        <f>IFERROR(VLOOKUP(tblCompPuntosCal[[#This Row],[Punto 4]],tblBD_PatronMasa[[Código Patrón]:[mpe]],7,FALSE),"")</f>
        <v/>
      </c>
      <c r="AL39" s="55" t="str">
        <f>IFERROR(VLOOKUP(tblCompPuntosCal[[#This Row],[Punto 4]],tblBD_PatronMasa[[Código Patrón]:[mpe]],9,FALSE),"")</f>
        <v/>
      </c>
      <c r="AM39" s="66" t="str">
        <f>IF(switch="Sí",IFERROR(VLOOKUP(tblCompPuntosCal[[#This Row],[Punto 4]],'kU(E)'!$AB$7:$AK$56,10,FALSE)*1000,""),IFERROR(VLOOKUP(tblCompPuntosCal[[#This Row],[Punto 4]],'kU(E)'!$AB$7:$AK$56,8,FALSE)*1000,""))</f>
        <v/>
      </c>
      <c r="AN39" s="55" t="str">
        <f>IFERROR(IF('kU(E)'!$E$6&lt;&gt;0,INDEX(deltaMconv,MATCH(tblCompPuntosCal[[#This Row],[mN4]],MnomDeltaT),MATCH('kU(E)'!$E$6,deltaT,-1))/SQRT(3),""),"")</f>
        <v/>
      </c>
      <c r="AO39" s="62"/>
      <c r="AP39" s="55" t="str">
        <f>IFERROR(VLOOKUP(tblCompPuntosCal[[#This Row],[Punto 5]],tblBD_PatronMasa[[Código Patrón]:[mpe]],4,FALSE),"")</f>
        <v/>
      </c>
      <c r="AQ39" s="55" t="str">
        <f>IFERROR(VLOOKUP(tblCompPuntosCal[[#This Row],[Punto 5]],tblBD_PatronMasa[[Código Patrón]:[mpe]],6,FALSE),"")</f>
        <v/>
      </c>
      <c r="AR39" s="55" t="str">
        <f>IFERROR(VLOOKUP(tblCompPuntosCal[[#This Row],[Punto 5]],tblBD_PatronMasa[[Código Patrón]:[mpe]],7,FALSE),"")</f>
        <v/>
      </c>
      <c r="AS39" s="55" t="str">
        <f>IFERROR(VLOOKUP(tblCompPuntosCal[[#This Row],[Punto 5]],tblBD_PatronMasa[[Código Patrón]:[mpe]],9,FALSE),"")</f>
        <v/>
      </c>
      <c r="AT39" s="66" t="str">
        <f>IF(switch="Sí",IFERROR(VLOOKUP(tblCompPuntosCal[[#This Row],[Punto 5]],'kU(E)'!$AB$7:$AK$56,10,FALSE)*1000,""),IFERROR(VLOOKUP(tblCompPuntosCal[[#This Row],[Punto 5]],'kU(E)'!$AB$7:$AK$56,8,FALSE)*1000,""))</f>
        <v/>
      </c>
      <c r="AU39" s="55" t="str">
        <f>IFERROR(IF('kU(E)'!$E$6&lt;&gt;0,INDEX(deltaMconv,MATCH(tblCompPuntosCal[[#This Row],[mN5]],MnomDeltaT),MATCH('kU(E)'!$E$6,deltaT,-1))/SQRT(3),""),"")</f>
        <v/>
      </c>
      <c r="AV39" s="62"/>
      <c r="AW39" s="55" t="str">
        <f>IFERROR(VLOOKUP(tblCompPuntosCal[[#This Row],[Punto 6]],tblBD_PatronMasa[[Código Patrón]:[mpe]],4,FALSE),"")</f>
        <v/>
      </c>
      <c r="AX39" s="55" t="str">
        <f>IFERROR(VLOOKUP(tblCompPuntosCal[[#This Row],[Punto 6]],tblBD_PatronMasa[[Código Patrón]:[mpe]],6,FALSE),"")</f>
        <v/>
      </c>
      <c r="AY39" s="55" t="str">
        <f>IFERROR(VLOOKUP(tblCompPuntosCal[[#This Row],[Punto 6]],tblBD_PatronMasa[[Código Patrón]:[mpe]],7,FALSE),"")</f>
        <v/>
      </c>
      <c r="AZ39" s="55" t="str">
        <f>IFERROR(VLOOKUP(tblCompPuntosCal[[#This Row],[Punto 6]],tblBD_PatronMasa[[Código Patrón]:[mpe]],9,FALSE),"")</f>
        <v/>
      </c>
      <c r="BA39" s="66" t="str">
        <f>IF(switch="Sí",IFERROR(VLOOKUP(tblCompPuntosCal[[#This Row],[Punto 6]],'kU(E)'!$AB$7:$AK$56,10,FALSE)*1000,""),IFERROR(VLOOKUP(tblCompPuntosCal[[#This Row],[Punto 6]],'kU(E)'!$AB$7:$AK$56,8,FALSE)*1000,""))</f>
        <v/>
      </c>
      <c r="BB39" s="55" t="str">
        <f>IFERROR(IF('kU(E)'!$E$6&lt;&gt;0,INDEX(deltaMconv,MATCH(tblCompPuntosCal[[#This Row],[mN6]],MnomDeltaT),MATCH('kU(E)'!$E$6,deltaT,-1))/SQRT(3),""),"")</f>
        <v/>
      </c>
      <c r="BC39" s="62"/>
      <c r="BD39" s="55" t="str">
        <f>IFERROR(VLOOKUP(tblCompPuntosCal[[#This Row],[Punto 7]],tblBD_PatronMasa[[Código Patrón]:[mpe]],4,FALSE),"")</f>
        <v/>
      </c>
      <c r="BE39" s="55" t="str">
        <f>IFERROR(VLOOKUP(tblCompPuntosCal[[#This Row],[Punto 7]],tblBD_PatronMasa[[Código Patrón]:[mpe]],6,FALSE),"")</f>
        <v/>
      </c>
      <c r="BF39" s="55" t="str">
        <f>IFERROR(VLOOKUP(tblCompPuntosCal[[#This Row],[Punto 7]],tblBD_PatronMasa[[Código Patrón]:[mpe]],7,FALSE),"")</f>
        <v/>
      </c>
      <c r="BG39" s="55" t="str">
        <f>IFERROR(VLOOKUP(tblCompPuntosCal[[#This Row],[Punto 7]],tblBD_PatronMasa[[Código Patrón]:[mpe]],9,FALSE),"")</f>
        <v/>
      </c>
      <c r="BH39" s="66" t="str">
        <f>IF(switch="Sí",IFERROR(VLOOKUP(tblCompPuntosCal[[#This Row],[Punto 7]],'kU(E)'!$AB$7:$AK$56,10,FALSE)*1000,""),IFERROR(VLOOKUP(tblCompPuntosCal[[#This Row],[Punto 7]],'kU(E)'!$AB$7:$AK$56,8,FALSE)*1000,""))</f>
        <v/>
      </c>
      <c r="BI39" s="55" t="str">
        <f>IFERROR(IF('kU(E)'!$E$6&lt;&gt;0,INDEX(deltaMconv,MATCH(tblCompPuntosCal[[#This Row],[mN7]],MnomDeltaT),MATCH('kU(E)'!$E$6,deltaT,-1))/SQRT(3),""),"")</f>
        <v/>
      </c>
      <c r="BJ39" s="62"/>
      <c r="BK39" s="55" t="str">
        <f>IFERROR(VLOOKUP(tblCompPuntosCal[[#This Row],[Punto 8]],tblBD_PatronMasa[[Código Patrón]:[mpe]],4,FALSE),"")</f>
        <v/>
      </c>
      <c r="BL39" s="55" t="str">
        <f>IFERROR(VLOOKUP(tblCompPuntosCal[[#This Row],[Punto 8]],tblBD_PatronMasa[[Código Patrón]:[mpe]],6,FALSE),"")</f>
        <v/>
      </c>
      <c r="BM39" s="55" t="str">
        <f>IFERROR(VLOOKUP(tblCompPuntosCal[[#This Row],[Punto 8]],tblBD_PatronMasa[[Código Patrón]:[mpe]],7,FALSE),"")</f>
        <v/>
      </c>
      <c r="BN39" s="55" t="str">
        <f>IFERROR(VLOOKUP(tblCompPuntosCal[[#This Row],[Punto 8]],tblBD_PatronMasa[[Código Patrón]:[mpe]],9,FALSE),"")</f>
        <v/>
      </c>
      <c r="BO39" s="66" t="str">
        <f>IF(switch="Sí",IFERROR(VLOOKUP(tblCompPuntosCal[[#This Row],[Punto 8]],'kU(E)'!$AB$7:$AK$56,10,FALSE)*1000,""),IFERROR(VLOOKUP(tblCompPuntosCal[[#This Row],[Punto 8]],'kU(E)'!$AB$7:$AK$56,8,FALSE)*1000,""))</f>
        <v/>
      </c>
      <c r="BP39" s="55" t="str">
        <f>IFERROR(IF('kU(E)'!$E$6&lt;&gt;0,INDEX(deltaMconv,MATCH(tblCompPuntosCal[[#This Row],[mN8]],MnomDeltaT),MATCH('kU(E)'!$E$6,deltaT,-1))/SQRT(3),""),"")</f>
        <v/>
      </c>
      <c r="BQ39" s="62"/>
      <c r="BR39" s="55" t="str">
        <f>IFERROR(VLOOKUP(tblCompPuntosCal[[#This Row],[Punto 9]],tblBD_PatronMasa[[Código Patrón]:[mpe]],4,FALSE),"")</f>
        <v/>
      </c>
      <c r="BS39" s="55" t="str">
        <f>IFERROR(VLOOKUP(tblCompPuntosCal[[#This Row],[Punto 9]],tblBD_PatronMasa[[Código Patrón]:[mpe]],6,FALSE),"")</f>
        <v/>
      </c>
      <c r="BT39" s="55" t="str">
        <f>IFERROR(VLOOKUP(tblCompPuntosCal[[#This Row],[Punto 9]],tblBD_PatronMasa[[Código Patrón]:[mpe]],7,FALSE),"")</f>
        <v/>
      </c>
      <c r="BU39" s="55" t="str">
        <f>IFERROR(VLOOKUP(tblCompPuntosCal[[#This Row],[Punto 9]],tblBD_PatronMasa[[Código Patrón]:[mpe]],9,FALSE),"")</f>
        <v/>
      </c>
      <c r="BV39" s="66" t="str">
        <f>IF(switch="Sí",IFERROR(VLOOKUP(tblCompPuntosCal[[#This Row],[Punto 9]],'kU(E)'!$AB$7:$AK$56,10,FALSE)*1000,""),IFERROR(VLOOKUP(tblCompPuntosCal[[#This Row],[Punto 9]],'kU(E)'!$AB$7:$AK$56,8,FALSE)*1000,""))</f>
        <v/>
      </c>
      <c r="BW39" s="55" t="str">
        <f>IFERROR(IF('kU(E)'!$E$6&lt;&gt;0,INDEX(deltaMconv,MATCH(tblCompPuntosCal[[#This Row],[mN9]],MnomDeltaT),MATCH('kU(E)'!$E$6,deltaT,-1))/SQRT(3),""),"")</f>
        <v/>
      </c>
      <c r="BX39" s="62"/>
      <c r="BY39" s="55" t="str">
        <f>IFERROR(VLOOKUP(tblCompPuntosCal[[#This Row],[Punto 10]],tblBD_PatronMasa[[Código Patrón]:[mpe]],4,FALSE),"")</f>
        <v/>
      </c>
      <c r="BZ39" s="55" t="str">
        <f>IFERROR(VLOOKUP(tblCompPuntosCal[[#This Row],[Punto 10]],tblBD_PatronMasa[[Código Patrón]:[mpe]],6,FALSE),"")</f>
        <v/>
      </c>
      <c r="CA39" s="59" t="str">
        <f>IFERROR(VLOOKUP(tblCompPuntosCal[[#This Row],[Punto 10]],tblBD_PatronMasa[[Código Patrón]:[mpe]],7,FALSE),"")</f>
        <v/>
      </c>
      <c r="CB39" s="59" t="str">
        <f>IFERROR(VLOOKUP(tblCompPuntosCal[[#This Row],[Punto 10]],tblBD_PatronMasa[[Código Patrón]:[mpe]],9,FALSE),"")</f>
        <v/>
      </c>
      <c r="CC39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39" s="59" t="str">
        <f>IFERROR(IF('kU(E)'!$E$6&lt;&gt;0,INDEX(deltaMconv,MATCH(tblCompPuntosCal[[#This Row],[mN10]],MnomDeltaT),MATCH('kU(E)'!$E$6,deltaT,-1))/SQRT(3),""),"")</f>
        <v/>
      </c>
      <c r="CG39" s="38">
        <v>35</v>
      </c>
      <c r="CH39" s="35">
        <f>tblCompPuntosCal[[#This Row],[Punto 1]]</f>
        <v>0</v>
      </c>
      <c r="CI39" s="35" t="str">
        <f>IF(tblTrazabilidad[[#This Row],[Código]]=0,"",IFERROR(IF(SEARCH("JM",tblTrazabilidad[[#This Row],[Código]])&gt;0,"Juego de pesas",),"Pesa"))</f>
        <v/>
      </c>
      <c r="CJ39" s="35" t="str">
        <f>IFERROR(VLOOKUP($CH39,tblBD_PatronMasa[[Código Patrón]:[mN-(mpe–U95)]],2,FALSE),"")</f>
        <v/>
      </c>
      <c r="CK39" s="35" t="str">
        <f>IFERROR(VLOOKUP($CH39,tblBD_PatronMasa[[Código Patrón]:[mN-(mpe–U95)]],13,FALSE),"")</f>
        <v/>
      </c>
      <c r="CL39" s="34" t="str">
        <f>IF(tblTrazabilidad[[#This Row],[Clase]]="F2",IFERROR(IF(VLOOKUP($CH39,tblBD_PatronMasa[[Código Patrón]:[mN-(mpe–U95)]],12,FALSE)=0,"",VLOOKUP($CH39,tblBD_PatronMasa[[Código Patrón]:[mN-(mpe–U95)]],12,FALSE)+731),""),IF(tblTrazabilidad[[#This Row],[Clase]]="F1",IFERROR(IF(VLOOKUP($CH39,tblBD_PatronMasa[[Código Patrón]:[mN-(mpe–U95)]],12,FALSE)=0,"",VLOOKUP($CH39,tblBD_PatronMasa[[Código Patrón]:[mN-(mpe–U95)]],12,FALSE)+731),""),IFERROR(IF(VLOOKUP($CH39,tblBD_PatronMasa[[Código Patrón]:[mN-(mpe–U95)]],12,FALSE)=0,"",VLOOKUP($CH39,tblBD_PatronMasa[[Código Patrón]:[mN-(mpe–U95)]],12,FALSE)+366),"")))</f>
        <v/>
      </c>
      <c r="CM39" s="33" t="str">
        <f>IFERROR(VLOOKUP($CH39,tblBD_PatronMasa[[Código Patrón]:[mN-(mpe–U95)]],3,FALSE),"")</f>
        <v/>
      </c>
      <c r="CO39" s="46"/>
      <c r="CP39" s="57" t="str">
        <f>IFERROR(VLOOKUP(CS39,tblTrazabilidad[[Código]:[Próxima calibración]],2,0),"")</f>
        <v/>
      </c>
      <c r="CQ39" s="58" t="str">
        <f>IFERROR(VLOOKUP(CS39,tblTrazabilidad[[Código]:[Clase]],6,0),"")</f>
        <v/>
      </c>
      <c r="CR39" s="57" t="str">
        <f>IFERROR(VLOOKUP(CS39,tblTrazabilidad[[Código]:[Próxima calibración]],3,0),"")</f>
        <v/>
      </c>
      <c r="CS39" s="56" t="str">
        <f t="shared" si="5"/>
        <v/>
      </c>
      <c r="CT39" s="55" t="str">
        <f>IFERROR(IF(VLOOKUP(CS39,tblTrazabilidad[[Código]:[Próxima calibración]],4,0)=0,"",VLOOKUP(CS39,tblTrazabilidad[[Código]:[Próxima calibración]],4,0)),"")</f>
        <v/>
      </c>
      <c r="CU39" s="54" t="str">
        <f>IFERROR(VLOOKUP(CS39,tblTrazabilidad[[Código]:[Próxima calibración]],5,0),"")</f>
        <v/>
      </c>
      <c r="CV39" s="53">
        <f t="shared" si="4"/>
        <v>0</v>
      </c>
      <c r="CW39" s="52" t="str">
        <f>IFERROR(LOOKUP(2,1/(COUNTIF($CW$4:CW38,tblTrazabilidad[Código])=0),tblTrazabilidad[Código]),"")</f>
        <v/>
      </c>
      <c r="DC39" s="1"/>
      <c r="DD39" s="1"/>
      <c r="DF39"/>
      <c r="DG39"/>
    </row>
    <row r="40" spans="2:111" x14ac:dyDescent="0.3">
      <c r="B40" s="85" t="s">
        <v>141</v>
      </c>
      <c r="C40" s="74" t="str">
        <f>UnidadEscala</f>
        <v>g</v>
      </c>
      <c r="D40" s="84">
        <v>1</v>
      </c>
      <c r="E40" s="83"/>
      <c r="F40" s="50"/>
      <c r="G40" s="82" t="str">
        <f>IF(E40="","",E40-F40)</f>
        <v/>
      </c>
      <c r="H40" s="353"/>
      <c r="I40" s="354"/>
      <c r="J40" s="354"/>
      <c r="K40" s="354"/>
      <c r="L40" s="8">
        <v>37</v>
      </c>
      <c r="M40" s="62"/>
      <c r="N40" s="59" t="str">
        <f>IFERROR(VLOOKUP(tblCompPuntosCal[[#This Row],[Punto 1]],tblBD_PatronMasa[[Código Patrón]:[mpe]],4,FALSE),"")</f>
        <v/>
      </c>
      <c r="O40" s="59" t="str">
        <f>IFERROR(VLOOKUP(tblCompPuntosCal[[#This Row],[Punto 1]],tblBD_PatronMasa[[Código Patrón]:[mpe]],6,FALSE),"")</f>
        <v/>
      </c>
      <c r="P40" s="55" t="str">
        <f>IFERROR(VLOOKUP(tblCompPuntosCal[[#This Row],[Punto 1]],tblBD_PatronMasa[[Código Patrón]:[mpe]],7,FALSE),"")</f>
        <v/>
      </c>
      <c r="Q40" s="55" t="str">
        <f>IFERROR(VLOOKUP(tblCompPuntosCal[[#This Row],[Punto 1]],tblBD_PatronMasa[[Código Patrón]:[mpe]],9,FALSE),"")</f>
        <v/>
      </c>
      <c r="R40" s="66" t="str">
        <f>IF(switch="Sí",IFERROR(VLOOKUP(tblCompPuntosCal[[#This Row],[Punto 1]],'kU(E)'!$AB$7:$AK$56,10,FALSE)*1000,""),IFERROR(VLOOKUP(tblCompPuntosCal[[#This Row],[Punto 1]],'kU(E)'!$AB$7:$AK$56*1000,8,FALSE),""))</f>
        <v/>
      </c>
      <c r="S40" s="55" t="str">
        <f>IFERROR(IF('kU(E)'!$E$6&lt;&gt;0,INDEX(deltaMconv,MATCH(tblCompPuntosCal[[#This Row],[mN1]],MnomDeltaT),MATCH('kU(E)'!$E$6,deltaT,-1))/SQRT(3),""),"")</f>
        <v/>
      </c>
      <c r="T40" s="62"/>
      <c r="U40" s="55" t="str">
        <f>IFERROR(VLOOKUP(tblCompPuntosCal[[#This Row],[Punto 2]],tblBD_PatronMasa[[Código Patrón]:[mpe]],4,FALSE),"")</f>
        <v/>
      </c>
      <c r="V40" s="55" t="str">
        <f>IFERROR(VLOOKUP(tblCompPuntosCal[[#This Row],[Punto 2]],tblBD_PatronMasa[[Código Patrón]:[mpe]],6,FALSE),"")</f>
        <v/>
      </c>
      <c r="W40" s="55" t="str">
        <f>IFERROR(VLOOKUP(tblCompPuntosCal[[#This Row],[Punto 2]],tblBD_PatronMasa[[Código Patrón]:[mpe]],7,FALSE),"")</f>
        <v/>
      </c>
      <c r="X40" s="55" t="str">
        <f>IFERROR(VLOOKUP(tblCompPuntosCal[[#This Row],[Punto 2]],tblBD_PatronMasa[[Código Patrón]:[mpe]],9,FALSE),"")</f>
        <v/>
      </c>
      <c r="Y40" s="66" t="str">
        <f>IF(switch="Sí",IFERROR(VLOOKUP(tblCompPuntosCal[[#This Row],[Punto 2]],'kU(E)'!$AB$7:$AK$56,10,FALSE)*1000,""),IFERROR(VLOOKUP(tblCompPuntosCal[[#This Row],[Punto 2]],'kU(E)'!$AB$7:$AK$56*1000,8,FALSE),""))</f>
        <v/>
      </c>
      <c r="Z40" s="55" t="str">
        <f>IFERROR(IF('kU(E)'!$E$6&lt;&gt;0,INDEX(deltaMconv,MATCH(tblCompPuntosCal[[#This Row],[mN2]],MnomDeltaT),MATCH('kU(E)'!$E$6,deltaT,-1))/SQRT(3),""),"")</f>
        <v/>
      </c>
      <c r="AA40" s="62"/>
      <c r="AB40" s="55" t="str">
        <f>IFERROR(VLOOKUP(tblCompPuntosCal[[#This Row],[Punto 3]],tblBD_PatronMasa[[Código Patrón]:[mpe]],4,FALSE),"")</f>
        <v/>
      </c>
      <c r="AC40" s="55" t="str">
        <f>IFERROR(VLOOKUP(tblCompPuntosCal[[#This Row],[Punto 3]],tblBD_PatronMasa[[Código Patrón]:[mpe]],6,FALSE),"")</f>
        <v/>
      </c>
      <c r="AD40" s="67" t="str">
        <f>IFERROR(VLOOKUP(tblCompPuntosCal[[#This Row],[Punto 3]],tblBD_PatronMasa[[Código Patrón]:[mpe]],7,FALSE),"")</f>
        <v/>
      </c>
      <c r="AE40" s="67" t="str">
        <f>IFERROR(VLOOKUP(tblCompPuntosCal[[#This Row],[Punto 3]],tblBD_PatronMasa[[Código Patrón]:[mpe]],9,FALSE),"")</f>
        <v/>
      </c>
      <c r="AF40" s="63" t="str">
        <f>IF(switch="Sí",IFERROR(VLOOKUP(tblCompPuntosCal[[#This Row],[Punto 3]],'kU(E)'!$AB$7:$AK$56,10,FALSE)*1000,""),IFERROR(VLOOKUP(tblCompPuntosCal[[#This Row],[Punto 3]],'kU(E)'!$AB$7:$AK$56*1000,8,FALSE),""))</f>
        <v/>
      </c>
      <c r="AG40" s="67" t="str">
        <f>IFERROR(IF('kU(E)'!$E$6&lt;&gt;0,INDEX(deltaMconv,MATCH(tblCompPuntosCal[[#This Row],[mN3]],MnomDeltaT),MATCH('kU(E)'!$E$6,deltaT,-1))/SQRT(3),""),"")</f>
        <v/>
      </c>
      <c r="AH40" s="62"/>
      <c r="AI40" s="67" t="str">
        <f>IFERROR(VLOOKUP(tblCompPuntosCal[[#This Row],[Punto 4]],tblBD_PatronMasa[[Código Patrón]:[mpe]],4,FALSE),"")</f>
        <v/>
      </c>
      <c r="AJ40" s="55" t="str">
        <f>IFERROR(VLOOKUP(tblCompPuntosCal[[#This Row],[Punto 4]],tblBD_PatronMasa[[Código Patrón]:[mpe]],6,FALSE),"")</f>
        <v/>
      </c>
      <c r="AK40" s="55" t="str">
        <f>IFERROR(VLOOKUP(tblCompPuntosCal[[#This Row],[Punto 4]],tblBD_PatronMasa[[Código Patrón]:[mpe]],7,FALSE),"")</f>
        <v/>
      </c>
      <c r="AL40" s="55" t="str">
        <f>IFERROR(VLOOKUP(tblCompPuntosCal[[#This Row],[Punto 4]],tblBD_PatronMasa[[Código Patrón]:[mpe]],9,FALSE),"")</f>
        <v/>
      </c>
      <c r="AM40" s="66" t="str">
        <f>IF(switch="Sí",IFERROR(VLOOKUP(tblCompPuntosCal[[#This Row],[Punto 4]],'kU(E)'!$AB$7:$AK$56,10,FALSE)*1000,""),IFERROR(VLOOKUP(tblCompPuntosCal[[#This Row],[Punto 4]],'kU(E)'!$AB$7:$AK$56,8,FALSE)*1000,""))</f>
        <v/>
      </c>
      <c r="AN40" s="55" t="str">
        <f>IFERROR(IF('kU(E)'!$E$6&lt;&gt;0,INDEX(deltaMconv,MATCH(tblCompPuntosCal[[#This Row],[mN4]],MnomDeltaT),MATCH('kU(E)'!$E$6,deltaT,-1))/SQRT(3),""),"")</f>
        <v/>
      </c>
      <c r="AO40" s="62"/>
      <c r="AP40" s="55" t="str">
        <f>IFERROR(VLOOKUP(tblCompPuntosCal[[#This Row],[Punto 5]],tblBD_PatronMasa[[Código Patrón]:[mpe]],4,FALSE),"")</f>
        <v/>
      </c>
      <c r="AQ40" s="55" t="str">
        <f>IFERROR(VLOOKUP(tblCompPuntosCal[[#This Row],[Punto 5]],tblBD_PatronMasa[[Código Patrón]:[mpe]],6,FALSE),"")</f>
        <v/>
      </c>
      <c r="AR40" s="55" t="str">
        <f>IFERROR(VLOOKUP(tblCompPuntosCal[[#This Row],[Punto 5]],tblBD_PatronMasa[[Código Patrón]:[mpe]],7,FALSE),"")</f>
        <v/>
      </c>
      <c r="AS40" s="55" t="str">
        <f>IFERROR(VLOOKUP(tblCompPuntosCal[[#This Row],[Punto 5]],tblBD_PatronMasa[[Código Patrón]:[mpe]],9,FALSE),"")</f>
        <v/>
      </c>
      <c r="AT40" s="66" t="str">
        <f>IF(switch="Sí",IFERROR(VLOOKUP(tblCompPuntosCal[[#This Row],[Punto 5]],'kU(E)'!$AB$7:$AK$56,10,FALSE)*1000,""),IFERROR(VLOOKUP(tblCompPuntosCal[[#This Row],[Punto 5]],'kU(E)'!$AB$7:$AK$56,8,FALSE)*1000,""))</f>
        <v/>
      </c>
      <c r="AU40" s="55" t="str">
        <f>IFERROR(IF('kU(E)'!$E$6&lt;&gt;0,INDEX(deltaMconv,MATCH(tblCompPuntosCal[[#This Row],[mN5]],MnomDeltaT),MATCH('kU(E)'!$E$6,deltaT,-1))/SQRT(3),""),"")</f>
        <v/>
      </c>
      <c r="AV40" s="62"/>
      <c r="AW40" s="55" t="str">
        <f>IFERROR(VLOOKUP(tblCompPuntosCal[[#This Row],[Punto 6]],tblBD_PatronMasa[[Código Patrón]:[mpe]],4,FALSE),"")</f>
        <v/>
      </c>
      <c r="AX40" s="55" t="str">
        <f>IFERROR(VLOOKUP(tblCompPuntosCal[[#This Row],[Punto 6]],tblBD_PatronMasa[[Código Patrón]:[mpe]],6,FALSE),"")</f>
        <v/>
      </c>
      <c r="AY40" s="55" t="str">
        <f>IFERROR(VLOOKUP(tblCompPuntosCal[[#This Row],[Punto 6]],tblBD_PatronMasa[[Código Patrón]:[mpe]],7,FALSE),"")</f>
        <v/>
      </c>
      <c r="AZ40" s="55" t="str">
        <f>IFERROR(VLOOKUP(tblCompPuntosCal[[#This Row],[Punto 6]],tblBD_PatronMasa[[Código Patrón]:[mpe]],9,FALSE),"")</f>
        <v/>
      </c>
      <c r="BA40" s="66" t="str">
        <f>IF(switch="Sí",IFERROR(VLOOKUP(tblCompPuntosCal[[#This Row],[Punto 6]],'kU(E)'!$AB$7:$AK$56,10,FALSE)*1000,""),IFERROR(VLOOKUP(tblCompPuntosCal[[#This Row],[Punto 6]],'kU(E)'!$AB$7:$AK$56,8,FALSE)*1000,""))</f>
        <v/>
      </c>
      <c r="BB40" s="55" t="str">
        <f>IFERROR(IF('kU(E)'!$E$6&lt;&gt;0,INDEX(deltaMconv,MATCH(tblCompPuntosCal[[#This Row],[mN6]],MnomDeltaT),MATCH('kU(E)'!$E$6,deltaT,-1))/SQRT(3),""),"")</f>
        <v/>
      </c>
      <c r="BC40" s="62"/>
      <c r="BD40" s="55" t="str">
        <f>IFERROR(VLOOKUP(tblCompPuntosCal[[#This Row],[Punto 7]],tblBD_PatronMasa[[Código Patrón]:[mpe]],4,FALSE),"")</f>
        <v/>
      </c>
      <c r="BE40" s="55" t="str">
        <f>IFERROR(VLOOKUP(tblCompPuntosCal[[#This Row],[Punto 7]],tblBD_PatronMasa[[Código Patrón]:[mpe]],6,FALSE),"")</f>
        <v/>
      </c>
      <c r="BF40" s="55" t="str">
        <f>IFERROR(VLOOKUP(tblCompPuntosCal[[#This Row],[Punto 7]],tblBD_PatronMasa[[Código Patrón]:[mpe]],7,FALSE),"")</f>
        <v/>
      </c>
      <c r="BG40" s="55" t="str">
        <f>IFERROR(VLOOKUP(tblCompPuntosCal[[#This Row],[Punto 7]],tblBD_PatronMasa[[Código Patrón]:[mpe]],9,FALSE),"")</f>
        <v/>
      </c>
      <c r="BH40" s="66" t="str">
        <f>IF(switch="Sí",IFERROR(VLOOKUP(tblCompPuntosCal[[#This Row],[Punto 7]],'kU(E)'!$AB$7:$AK$56,10,FALSE)*1000,""),IFERROR(VLOOKUP(tblCompPuntosCal[[#This Row],[Punto 7]],'kU(E)'!$AB$7:$AK$56,8,FALSE)*1000,""))</f>
        <v/>
      </c>
      <c r="BI40" s="55" t="str">
        <f>IFERROR(IF('kU(E)'!$E$6&lt;&gt;0,INDEX(deltaMconv,MATCH(tblCompPuntosCal[[#This Row],[mN7]],MnomDeltaT),MATCH('kU(E)'!$E$6,deltaT,-1))/SQRT(3),""),"")</f>
        <v/>
      </c>
      <c r="BJ40" s="62"/>
      <c r="BK40" s="55" t="str">
        <f>IFERROR(VLOOKUP(tblCompPuntosCal[[#This Row],[Punto 8]],tblBD_PatronMasa[[Código Patrón]:[mpe]],4,FALSE),"")</f>
        <v/>
      </c>
      <c r="BL40" s="55" t="str">
        <f>IFERROR(VLOOKUP(tblCompPuntosCal[[#This Row],[Punto 8]],tblBD_PatronMasa[[Código Patrón]:[mpe]],6,FALSE),"")</f>
        <v/>
      </c>
      <c r="BM40" s="55" t="str">
        <f>IFERROR(VLOOKUP(tblCompPuntosCal[[#This Row],[Punto 8]],tblBD_PatronMasa[[Código Patrón]:[mpe]],7,FALSE),"")</f>
        <v/>
      </c>
      <c r="BN40" s="55" t="str">
        <f>IFERROR(VLOOKUP(tblCompPuntosCal[[#This Row],[Punto 8]],tblBD_PatronMasa[[Código Patrón]:[mpe]],9,FALSE),"")</f>
        <v/>
      </c>
      <c r="BO40" s="66" t="str">
        <f>IF(switch="Sí",IFERROR(VLOOKUP(tblCompPuntosCal[[#This Row],[Punto 8]],'kU(E)'!$AB$7:$AK$56,10,FALSE)*1000,""),IFERROR(VLOOKUP(tblCompPuntosCal[[#This Row],[Punto 8]],'kU(E)'!$AB$7:$AK$56,8,FALSE)*1000,""))</f>
        <v/>
      </c>
      <c r="BP40" s="55" t="str">
        <f>IFERROR(IF('kU(E)'!$E$6&lt;&gt;0,INDEX(deltaMconv,MATCH(tblCompPuntosCal[[#This Row],[mN8]],MnomDeltaT),MATCH('kU(E)'!$E$6,deltaT,-1))/SQRT(3),""),"")</f>
        <v/>
      </c>
      <c r="BQ40" s="62"/>
      <c r="BR40" s="55" t="str">
        <f>IFERROR(VLOOKUP(tblCompPuntosCal[[#This Row],[Punto 9]],tblBD_PatronMasa[[Código Patrón]:[mpe]],4,FALSE),"")</f>
        <v/>
      </c>
      <c r="BS40" s="55" t="str">
        <f>IFERROR(VLOOKUP(tblCompPuntosCal[[#This Row],[Punto 9]],tblBD_PatronMasa[[Código Patrón]:[mpe]],6,FALSE),"")</f>
        <v/>
      </c>
      <c r="BT40" s="55" t="str">
        <f>IFERROR(VLOOKUP(tblCompPuntosCal[[#This Row],[Punto 9]],tblBD_PatronMasa[[Código Patrón]:[mpe]],7,FALSE),"")</f>
        <v/>
      </c>
      <c r="BU40" s="55" t="str">
        <f>IFERROR(VLOOKUP(tblCompPuntosCal[[#This Row],[Punto 9]],tblBD_PatronMasa[[Código Patrón]:[mpe]],9,FALSE),"")</f>
        <v/>
      </c>
      <c r="BV40" s="66" t="str">
        <f>IF(switch="Sí",IFERROR(VLOOKUP(tblCompPuntosCal[[#This Row],[Punto 9]],'kU(E)'!$AB$7:$AK$56,10,FALSE)*1000,""),IFERROR(VLOOKUP(tblCompPuntosCal[[#This Row],[Punto 9]],'kU(E)'!$AB$7:$AK$56,8,FALSE)*1000,""))</f>
        <v/>
      </c>
      <c r="BW40" s="55" t="str">
        <f>IFERROR(IF('kU(E)'!$E$6&lt;&gt;0,INDEX(deltaMconv,MATCH(tblCompPuntosCal[[#This Row],[mN9]],MnomDeltaT),MATCH('kU(E)'!$E$6,deltaT,-1))/SQRT(3),""),"")</f>
        <v/>
      </c>
      <c r="BX40" s="62"/>
      <c r="BY40" s="55" t="str">
        <f>IFERROR(VLOOKUP(tblCompPuntosCal[[#This Row],[Punto 10]],tblBD_PatronMasa[[Código Patrón]:[mpe]],4,FALSE),"")</f>
        <v/>
      </c>
      <c r="BZ40" s="55" t="str">
        <f>IFERROR(VLOOKUP(tblCompPuntosCal[[#This Row],[Punto 10]],tblBD_PatronMasa[[Código Patrón]:[mpe]],6,FALSE),"")</f>
        <v/>
      </c>
      <c r="CA40" s="59" t="str">
        <f>IFERROR(VLOOKUP(tblCompPuntosCal[[#This Row],[Punto 10]],tblBD_PatronMasa[[Código Patrón]:[mpe]],7,FALSE),"")</f>
        <v/>
      </c>
      <c r="CB40" s="59" t="str">
        <f>IFERROR(VLOOKUP(tblCompPuntosCal[[#This Row],[Punto 10]],tblBD_PatronMasa[[Código Patrón]:[mpe]],9,FALSE),"")</f>
        <v/>
      </c>
      <c r="CC40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40" s="59" t="str">
        <f>IFERROR(IF('kU(E)'!$E$6&lt;&gt;0,INDEX(deltaMconv,MATCH(tblCompPuntosCal[[#This Row],[mN10]],MnomDeltaT),MATCH('kU(E)'!$E$6,deltaT,-1))/SQRT(3),""),"")</f>
        <v/>
      </c>
      <c r="CG40" s="38">
        <v>36</v>
      </c>
      <c r="CH40" s="35">
        <f>tblCompPuntosCal[[#This Row],[Punto 1]]</f>
        <v>0</v>
      </c>
      <c r="CI40" s="35" t="str">
        <f>IF(tblTrazabilidad[[#This Row],[Código]]=0,"",IFERROR(IF(SEARCH("JM",tblTrazabilidad[[#This Row],[Código]])&gt;0,"Juego de pesas",),"Pesa"))</f>
        <v/>
      </c>
      <c r="CJ40" s="35" t="str">
        <f>IFERROR(VLOOKUP($CH40,tblBD_PatronMasa[[Código Patrón]:[mN-(mpe–U95)]],2,FALSE),"")</f>
        <v/>
      </c>
      <c r="CK40" s="35" t="str">
        <f>IFERROR(VLOOKUP($CH40,tblBD_PatronMasa[[Código Patrón]:[mN-(mpe–U95)]],13,FALSE),"")</f>
        <v/>
      </c>
      <c r="CL40" s="34" t="str">
        <f>IF(tblTrazabilidad[[#This Row],[Clase]]="F2",IFERROR(IF(VLOOKUP($CH40,tblBD_PatronMasa[[Código Patrón]:[mN-(mpe–U95)]],12,FALSE)=0,"",VLOOKUP($CH40,tblBD_PatronMasa[[Código Patrón]:[mN-(mpe–U95)]],12,FALSE)+731),""),IF(tblTrazabilidad[[#This Row],[Clase]]="F1",IFERROR(IF(VLOOKUP($CH40,tblBD_PatronMasa[[Código Patrón]:[mN-(mpe–U95)]],12,FALSE)=0,"",VLOOKUP($CH40,tblBD_PatronMasa[[Código Patrón]:[mN-(mpe–U95)]],12,FALSE)+731),""),IFERROR(IF(VLOOKUP($CH40,tblBD_PatronMasa[[Código Patrón]:[mN-(mpe–U95)]],12,FALSE)=0,"",VLOOKUP($CH40,tblBD_PatronMasa[[Código Patrón]:[mN-(mpe–U95)]],12,FALSE)+366),"")))</f>
        <v/>
      </c>
      <c r="CM40" s="33" t="str">
        <f>IFERROR(VLOOKUP($CH40,tblBD_PatronMasa[[Código Patrón]:[mN-(mpe–U95)]],3,FALSE),"")</f>
        <v/>
      </c>
      <c r="CO40" s="46"/>
      <c r="CP40" s="57" t="str">
        <f>IFERROR(VLOOKUP(CS40,tblTrazabilidad[[Código]:[Próxima calibración]],2,0),"")</f>
        <v/>
      </c>
      <c r="CQ40" s="58" t="str">
        <f>IFERROR(VLOOKUP(CS40,tblTrazabilidad[[Código]:[Clase]],6,0),"")</f>
        <v/>
      </c>
      <c r="CR40" s="57" t="str">
        <f>IFERROR(VLOOKUP(CS40,tblTrazabilidad[[Código]:[Próxima calibración]],3,0),"")</f>
        <v/>
      </c>
      <c r="CS40" s="56" t="str">
        <f t="shared" si="5"/>
        <v/>
      </c>
      <c r="CT40" s="55" t="str">
        <f>IFERROR(IF(VLOOKUP(CS40,tblTrazabilidad[[Código]:[Próxima calibración]],4,0)=0,"",VLOOKUP(CS40,tblTrazabilidad[[Código]:[Próxima calibración]],4,0)),"")</f>
        <v/>
      </c>
      <c r="CU40" s="54" t="str">
        <f>IFERROR(VLOOKUP(CS40,tblTrazabilidad[[Código]:[Próxima calibración]],5,0),"")</f>
        <v/>
      </c>
      <c r="CV40" s="53">
        <f t="shared" si="4"/>
        <v>0</v>
      </c>
      <c r="CW40" s="52" t="str">
        <f>IFERROR(LOOKUP(2,1/(COUNTIF($CW$4:CW39,tblTrazabilidad[Código])=0),tblTrazabilidad[Código]),"")</f>
        <v/>
      </c>
      <c r="DC40" s="1"/>
      <c r="DD40" s="1"/>
      <c r="DF40"/>
      <c r="DG40"/>
    </row>
    <row r="41" spans="2:111" x14ac:dyDescent="0.3">
      <c r="D41" s="84">
        <v>2</v>
      </c>
      <c r="E41" s="83"/>
      <c r="F41" s="50"/>
      <c r="G41" s="82" t="str">
        <f>IF(E41="","",E41-F41)</f>
        <v/>
      </c>
      <c r="I41" s="45"/>
      <c r="J41" s="45"/>
      <c r="L41" s="8">
        <v>38</v>
      </c>
      <c r="M41" s="62"/>
      <c r="N41" s="59" t="str">
        <f>IFERROR(VLOOKUP(tblCompPuntosCal[[#This Row],[Punto 1]],tblBD_PatronMasa[[Código Patrón]:[mpe]],4,FALSE),"")</f>
        <v/>
      </c>
      <c r="O41" s="59" t="str">
        <f>IFERROR(VLOOKUP(tblCompPuntosCal[[#This Row],[Punto 1]],tblBD_PatronMasa[[Código Patrón]:[mpe]],6,FALSE),"")</f>
        <v/>
      </c>
      <c r="P41" s="55" t="str">
        <f>IFERROR(VLOOKUP(tblCompPuntosCal[[#This Row],[Punto 1]],tblBD_PatronMasa[[Código Patrón]:[mpe]],7,FALSE),"")</f>
        <v/>
      </c>
      <c r="Q41" s="55" t="str">
        <f>IFERROR(VLOOKUP(tblCompPuntosCal[[#This Row],[Punto 1]],tblBD_PatronMasa[[Código Patrón]:[mpe]],9,FALSE),"")</f>
        <v/>
      </c>
      <c r="R41" s="66" t="str">
        <f>IF(switch="Sí",IFERROR(VLOOKUP(tblCompPuntosCal[[#This Row],[Punto 1]],'kU(E)'!$AB$7:$AK$56,10,FALSE)*1000,""),IFERROR(VLOOKUP(tblCompPuntosCal[[#This Row],[Punto 1]],'kU(E)'!$AB$7:$AK$56*1000,8,FALSE),""))</f>
        <v/>
      </c>
      <c r="S41" s="55" t="str">
        <f>IFERROR(IF('kU(E)'!$E$6&lt;&gt;0,INDEX(deltaMconv,MATCH(tblCompPuntosCal[[#This Row],[mN1]],MnomDeltaT),MATCH('kU(E)'!$E$6,deltaT,-1))/SQRT(3),""),"")</f>
        <v/>
      </c>
      <c r="T41" s="62"/>
      <c r="U41" s="55" t="str">
        <f>IFERROR(VLOOKUP(tblCompPuntosCal[[#This Row],[Punto 2]],tblBD_PatronMasa[[Código Patrón]:[mpe]],4,FALSE),"")</f>
        <v/>
      </c>
      <c r="V41" s="55" t="str">
        <f>IFERROR(VLOOKUP(tblCompPuntosCal[[#This Row],[Punto 2]],tblBD_PatronMasa[[Código Patrón]:[mpe]],6,FALSE),"")</f>
        <v/>
      </c>
      <c r="W41" s="55" t="str">
        <f>IFERROR(VLOOKUP(tblCompPuntosCal[[#This Row],[Punto 2]],tblBD_PatronMasa[[Código Patrón]:[mpe]],7,FALSE),"")</f>
        <v/>
      </c>
      <c r="X41" s="55" t="str">
        <f>IFERROR(VLOOKUP(tblCompPuntosCal[[#This Row],[Punto 2]],tblBD_PatronMasa[[Código Patrón]:[mpe]],9,FALSE),"")</f>
        <v/>
      </c>
      <c r="Y41" s="66" t="str">
        <f>IF(switch="Sí",IFERROR(VLOOKUP(tblCompPuntosCal[[#This Row],[Punto 2]],'kU(E)'!$AB$7:$AK$56,10,FALSE)*1000,""),IFERROR(VLOOKUP(tblCompPuntosCal[[#This Row],[Punto 2]],'kU(E)'!$AB$7:$AK$56*1000,8,FALSE),""))</f>
        <v/>
      </c>
      <c r="Z41" s="55" t="str">
        <f>IFERROR(IF('kU(E)'!$E$6&lt;&gt;0,INDEX(deltaMconv,MATCH(tblCompPuntosCal[[#This Row],[mN2]],MnomDeltaT),MATCH('kU(E)'!$E$6,deltaT,-1))/SQRT(3),""),"")</f>
        <v/>
      </c>
      <c r="AA41" s="62"/>
      <c r="AB41" s="55" t="str">
        <f>IFERROR(VLOOKUP(tblCompPuntosCal[[#This Row],[Punto 3]],tblBD_PatronMasa[[Código Patrón]:[mpe]],4,FALSE),"")</f>
        <v/>
      </c>
      <c r="AC41" s="55" t="str">
        <f>IFERROR(VLOOKUP(tblCompPuntosCal[[#This Row],[Punto 3]],tblBD_PatronMasa[[Código Patrón]:[mpe]],6,FALSE),"")</f>
        <v/>
      </c>
      <c r="AD41" s="67" t="str">
        <f>IFERROR(VLOOKUP(tblCompPuntosCal[[#This Row],[Punto 3]],tblBD_PatronMasa[[Código Patrón]:[mpe]],7,FALSE),"")</f>
        <v/>
      </c>
      <c r="AE41" s="67" t="str">
        <f>IFERROR(VLOOKUP(tblCompPuntosCal[[#This Row],[Punto 3]],tblBD_PatronMasa[[Código Patrón]:[mpe]],9,FALSE),"")</f>
        <v/>
      </c>
      <c r="AF41" s="63" t="str">
        <f>IF(switch="Sí",IFERROR(VLOOKUP(tblCompPuntosCal[[#This Row],[Punto 3]],'kU(E)'!$AB$7:$AK$56,10,FALSE)*1000,""),IFERROR(VLOOKUP(tblCompPuntosCal[[#This Row],[Punto 3]],'kU(E)'!$AB$7:$AK$56*1000,8,FALSE),""))</f>
        <v/>
      </c>
      <c r="AG41" s="67" t="str">
        <f>IFERROR(IF('kU(E)'!$E$6&lt;&gt;0,INDEX(deltaMconv,MATCH(tblCompPuntosCal[[#This Row],[mN3]],MnomDeltaT),MATCH('kU(E)'!$E$6,deltaT,-1))/SQRT(3),""),"")</f>
        <v/>
      </c>
      <c r="AH41" s="62"/>
      <c r="AI41" s="67" t="str">
        <f>IFERROR(VLOOKUP(tblCompPuntosCal[[#This Row],[Punto 4]],tblBD_PatronMasa[[Código Patrón]:[mpe]],4,FALSE),"")</f>
        <v/>
      </c>
      <c r="AJ41" s="55" t="str">
        <f>IFERROR(VLOOKUP(tblCompPuntosCal[[#This Row],[Punto 4]],tblBD_PatronMasa[[Código Patrón]:[mpe]],6,FALSE),"")</f>
        <v/>
      </c>
      <c r="AK41" s="55" t="str">
        <f>IFERROR(VLOOKUP(tblCompPuntosCal[[#This Row],[Punto 4]],tblBD_PatronMasa[[Código Patrón]:[mpe]],7,FALSE),"")</f>
        <v/>
      </c>
      <c r="AL41" s="55" t="str">
        <f>IFERROR(VLOOKUP(tblCompPuntosCal[[#This Row],[Punto 4]],tblBD_PatronMasa[[Código Patrón]:[mpe]],9,FALSE),"")</f>
        <v/>
      </c>
      <c r="AM41" s="66" t="str">
        <f>IF(switch="Sí",IFERROR(VLOOKUP(tblCompPuntosCal[[#This Row],[Punto 4]],'kU(E)'!$AB$7:$AK$56,10,FALSE)*1000,""),IFERROR(VLOOKUP(tblCompPuntosCal[[#This Row],[Punto 4]],'kU(E)'!$AB$7:$AK$56,8,FALSE)*1000,""))</f>
        <v/>
      </c>
      <c r="AN41" s="55" t="str">
        <f>IFERROR(IF('kU(E)'!$E$6&lt;&gt;0,INDEX(deltaMconv,MATCH(tblCompPuntosCal[[#This Row],[mN4]],MnomDeltaT),MATCH('kU(E)'!$E$6,deltaT,-1))/SQRT(3),""),"")</f>
        <v/>
      </c>
      <c r="AO41" s="62"/>
      <c r="AP41" s="55" t="str">
        <f>IFERROR(VLOOKUP(tblCompPuntosCal[[#This Row],[Punto 5]],tblBD_PatronMasa[[Código Patrón]:[mpe]],4,FALSE),"")</f>
        <v/>
      </c>
      <c r="AQ41" s="55" t="str">
        <f>IFERROR(VLOOKUP(tblCompPuntosCal[[#This Row],[Punto 5]],tblBD_PatronMasa[[Código Patrón]:[mpe]],6,FALSE),"")</f>
        <v/>
      </c>
      <c r="AR41" s="55" t="str">
        <f>IFERROR(VLOOKUP(tblCompPuntosCal[[#This Row],[Punto 5]],tblBD_PatronMasa[[Código Patrón]:[mpe]],7,FALSE),"")</f>
        <v/>
      </c>
      <c r="AS41" s="55" t="str">
        <f>IFERROR(VLOOKUP(tblCompPuntosCal[[#This Row],[Punto 5]],tblBD_PatronMasa[[Código Patrón]:[mpe]],9,FALSE),"")</f>
        <v/>
      </c>
      <c r="AT41" s="66" t="str">
        <f>IF(switch="Sí",IFERROR(VLOOKUP(tblCompPuntosCal[[#This Row],[Punto 5]],'kU(E)'!$AB$7:$AK$56,10,FALSE)*1000,""),IFERROR(VLOOKUP(tblCompPuntosCal[[#This Row],[Punto 5]],'kU(E)'!$AB$7:$AK$56,8,FALSE)*1000,""))</f>
        <v/>
      </c>
      <c r="AU41" s="55" t="str">
        <f>IFERROR(IF('kU(E)'!$E$6&lt;&gt;0,INDEX(deltaMconv,MATCH(tblCompPuntosCal[[#This Row],[mN5]],MnomDeltaT),MATCH('kU(E)'!$E$6,deltaT,-1))/SQRT(3),""),"")</f>
        <v/>
      </c>
      <c r="AV41" s="62"/>
      <c r="AW41" s="55" t="str">
        <f>IFERROR(VLOOKUP(tblCompPuntosCal[[#This Row],[Punto 6]],tblBD_PatronMasa[[Código Patrón]:[mpe]],4,FALSE),"")</f>
        <v/>
      </c>
      <c r="AX41" s="55" t="str">
        <f>IFERROR(VLOOKUP(tblCompPuntosCal[[#This Row],[Punto 6]],tblBD_PatronMasa[[Código Patrón]:[mpe]],6,FALSE),"")</f>
        <v/>
      </c>
      <c r="AY41" s="55" t="str">
        <f>IFERROR(VLOOKUP(tblCompPuntosCal[[#This Row],[Punto 6]],tblBD_PatronMasa[[Código Patrón]:[mpe]],7,FALSE),"")</f>
        <v/>
      </c>
      <c r="AZ41" s="55" t="str">
        <f>IFERROR(VLOOKUP(tblCompPuntosCal[[#This Row],[Punto 6]],tblBD_PatronMasa[[Código Patrón]:[mpe]],9,FALSE),"")</f>
        <v/>
      </c>
      <c r="BA41" s="66" t="str">
        <f>IF(switch="Sí",IFERROR(VLOOKUP(tblCompPuntosCal[[#This Row],[Punto 6]],'kU(E)'!$AB$7:$AK$56,10,FALSE)*1000,""),IFERROR(VLOOKUP(tblCompPuntosCal[[#This Row],[Punto 6]],'kU(E)'!$AB$7:$AK$56,8,FALSE)*1000,""))</f>
        <v/>
      </c>
      <c r="BB41" s="55" t="str">
        <f>IFERROR(IF('kU(E)'!$E$6&lt;&gt;0,INDEX(deltaMconv,MATCH(tblCompPuntosCal[[#This Row],[mN6]],MnomDeltaT),MATCH('kU(E)'!$E$6,deltaT,-1))/SQRT(3),""),"")</f>
        <v/>
      </c>
      <c r="BC41" s="62"/>
      <c r="BD41" s="55" t="str">
        <f>IFERROR(VLOOKUP(tblCompPuntosCal[[#This Row],[Punto 7]],tblBD_PatronMasa[[Código Patrón]:[mpe]],4,FALSE),"")</f>
        <v/>
      </c>
      <c r="BE41" s="55" t="str">
        <f>IFERROR(VLOOKUP(tblCompPuntosCal[[#This Row],[Punto 7]],tblBD_PatronMasa[[Código Patrón]:[mpe]],6,FALSE),"")</f>
        <v/>
      </c>
      <c r="BF41" s="55" t="str">
        <f>IFERROR(VLOOKUP(tblCompPuntosCal[[#This Row],[Punto 7]],tblBD_PatronMasa[[Código Patrón]:[mpe]],7,FALSE),"")</f>
        <v/>
      </c>
      <c r="BG41" s="55" t="str">
        <f>IFERROR(VLOOKUP(tblCompPuntosCal[[#This Row],[Punto 7]],tblBD_PatronMasa[[Código Patrón]:[mpe]],9,FALSE),"")</f>
        <v/>
      </c>
      <c r="BH41" s="66" t="str">
        <f>IF(switch="Sí",IFERROR(VLOOKUP(tblCompPuntosCal[[#This Row],[Punto 7]],'kU(E)'!$AB$7:$AK$56,10,FALSE)*1000,""),IFERROR(VLOOKUP(tblCompPuntosCal[[#This Row],[Punto 7]],'kU(E)'!$AB$7:$AK$56,8,FALSE)*1000,""))</f>
        <v/>
      </c>
      <c r="BI41" s="55" t="str">
        <f>IFERROR(IF('kU(E)'!$E$6&lt;&gt;0,INDEX(deltaMconv,MATCH(tblCompPuntosCal[[#This Row],[mN7]],MnomDeltaT),MATCH('kU(E)'!$E$6,deltaT,-1))/SQRT(3),""),"")</f>
        <v/>
      </c>
      <c r="BJ41" s="62"/>
      <c r="BK41" s="55" t="str">
        <f>IFERROR(VLOOKUP(tblCompPuntosCal[[#This Row],[Punto 8]],tblBD_PatronMasa[[Código Patrón]:[mpe]],4,FALSE),"")</f>
        <v/>
      </c>
      <c r="BL41" s="55" t="str">
        <f>IFERROR(VLOOKUP(tblCompPuntosCal[[#This Row],[Punto 8]],tblBD_PatronMasa[[Código Patrón]:[mpe]],6,FALSE),"")</f>
        <v/>
      </c>
      <c r="BM41" s="55" t="str">
        <f>IFERROR(VLOOKUP(tblCompPuntosCal[[#This Row],[Punto 8]],tblBD_PatronMasa[[Código Patrón]:[mpe]],7,FALSE),"")</f>
        <v/>
      </c>
      <c r="BN41" s="55" t="str">
        <f>IFERROR(VLOOKUP(tblCompPuntosCal[[#This Row],[Punto 8]],tblBD_PatronMasa[[Código Patrón]:[mpe]],9,FALSE),"")</f>
        <v/>
      </c>
      <c r="BO41" s="66" t="str">
        <f>IF(switch="Sí",IFERROR(VLOOKUP(tblCompPuntosCal[[#This Row],[Punto 8]],'kU(E)'!$AB$7:$AK$56,10,FALSE)*1000,""),IFERROR(VLOOKUP(tblCompPuntosCal[[#This Row],[Punto 8]],'kU(E)'!$AB$7:$AK$56,8,FALSE)*1000,""))</f>
        <v/>
      </c>
      <c r="BP41" s="55" t="str">
        <f>IFERROR(IF('kU(E)'!$E$6&lt;&gt;0,INDEX(deltaMconv,MATCH(tblCompPuntosCal[[#This Row],[mN8]],MnomDeltaT),MATCH('kU(E)'!$E$6,deltaT,-1))/SQRT(3),""),"")</f>
        <v/>
      </c>
      <c r="BQ41" s="62"/>
      <c r="BR41" s="55" t="str">
        <f>IFERROR(VLOOKUP(tblCompPuntosCal[[#This Row],[Punto 9]],tblBD_PatronMasa[[Código Patrón]:[mpe]],4,FALSE),"")</f>
        <v/>
      </c>
      <c r="BS41" s="55" t="str">
        <f>IFERROR(VLOOKUP(tblCompPuntosCal[[#This Row],[Punto 9]],tblBD_PatronMasa[[Código Patrón]:[mpe]],6,FALSE),"")</f>
        <v/>
      </c>
      <c r="BT41" s="55" t="str">
        <f>IFERROR(VLOOKUP(tblCompPuntosCal[[#This Row],[Punto 9]],tblBD_PatronMasa[[Código Patrón]:[mpe]],7,FALSE),"")</f>
        <v/>
      </c>
      <c r="BU41" s="55" t="str">
        <f>IFERROR(VLOOKUP(tblCompPuntosCal[[#This Row],[Punto 9]],tblBD_PatronMasa[[Código Patrón]:[mpe]],9,FALSE),"")</f>
        <v/>
      </c>
      <c r="BV41" s="66" t="str">
        <f>IF(switch="Sí",IFERROR(VLOOKUP(tblCompPuntosCal[[#This Row],[Punto 9]],'kU(E)'!$AB$7:$AK$56,10,FALSE)*1000,""),IFERROR(VLOOKUP(tblCompPuntosCal[[#This Row],[Punto 9]],'kU(E)'!$AB$7:$AK$56,8,FALSE)*1000,""))</f>
        <v/>
      </c>
      <c r="BW41" s="55" t="str">
        <f>IFERROR(IF('kU(E)'!$E$6&lt;&gt;0,INDEX(deltaMconv,MATCH(tblCompPuntosCal[[#This Row],[mN9]],MnomDeltaT),MATCH('kU(E)'!$E$6,deltaT,-1))/SQRT(3),""),"")</f>
        <v/>
      </c>
      <c r="BX41" s="62"/>
      <c r="BY41" s="55" t="str">
        <f>IFERROR(VLOOKUP(tblCompPuntosCal[[#This Row],[Punto 10]],tblBD_PatronMasa[[Código Patrón]:[mpe]],4,FALSE),"")</f>
        <v/>
      </c>
      <c r="BZ41" s="55" t="str">
        <f>IFERROR(VLOOKUP(tblCompPuntosCal[[#This Row],[Punto 10]],tblBD_PatronMasa[[Código Patrón]:[mpe]],6,FALSE),"")</f>
        <v/>
      </c>
      <c r="CA41" s="59" t="str">
        <f>IFERROR(VLOOKUP(tblCompPuntosCal[[#This Row],[Punto 10]],tblBD_PatronMasa[[Código Patrón]:[mpe]],7,FALSE),"")</f>
        <v/>
      </c>
      <c r="CB41" s="59" t="str">
        <f>IFERROR(VLOOKUP(tblCompPuntosCal[[#This Row],[Punto 10]],tblBD_PatronMasa[[Código Patrón]:[mpe]],9,FALSE),"")</f>
        <v/>
      </c>
      <c r="CC41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41" s="59" t="str">
        <f>IFERROR(IF('kU(E)'!$E$6&lt;&gt;0,INDEX(deltaMconv,MATCH(tblCompPuntosCal[[#This Row],[mN10]],MnomDeltaT),MATCH('kU(E)'!$E$6,deltaT,-1))/SQRT(3),""),"")</f>
        <v/>
      </c>
      <c r="CG41" s="38">
        <v>37</v>
      </c>
      <c r="CH41" s="35">
        <f>tblCompPuntosCal[[#This Row],[Punto 1]]</f>
        <v>0</v>
      </c>
      <c r="CI41" s="35" t="str">
        <f>IF(tblTrazabilidad[[#This Row],[Código]]=0,"",IFERROR(IF(SEARCH("JM",tblTrazabilidad[[#This Row],[Código]])&gt;0,"Juego de pesas",),"Pesa"))</f>
        <v/>
      </c>
      <c r="CJ41" s="35" t="str">
        <f>IFERROR(VLOOKUP($CH41,tblBD_PatronMasa[[Código Patrón]:[mN-(mpe–U95)]],2,FALSE),"")</f>
        <v/>
      </c>
      <c r="CK41" s="35" t="str">
        <f>IFERROR(VLOOKUP($CH41,tblBD_PatronMasa[[Código Patrón]:[mN-(mpe–U95)]],13,FALSE),"")</f>
        <v/>
      </c>
      <c r="CL41" s="34" t="str">
        <f>IF(tblTrazabilidad[[#This Row],[Clase]]="F2",IFERROR(IF(VLOOKUP($CH41,tblBD_PatronMasa[[Código Patrón]:[mN-(mpe–U95)]],12,FALSE)=0,"",VLOOKUP($CH41,tblBD_PatronMasa[[Código Patrón]:[mN-(mpe–U95)]],12,FALSE)+731),""),IF(tblTrazabilidad[[#This Row],[Clase]]="F1",IFERROR(IF(VLOOKUP($CH41,tblBD_PatronMasa[[Código Patrón]:[mN-(mpe–U95)]],12,FALSE)=0,"",VLOOKUP($CH41,tblBD_PatronMasa[[Código Patrón]:[mN-(mpe–U95)]],12,FALSE)+731),""),IFERROR(IF(VLOOKUP($CH41,tblBD_PatronMasa[[Código Patrón]:[mN-(mpe–U95)]],12,FALSE)=0,"",VLOOKUP($CH41,tblBD_PatronMasa[[Código Patrón]:[mN-(mpe–U95)]],12,FALSE)+366),"")))</f>
        <v/>
      </c>
      <c r="CM41" s="33" t="str">
        <f>IFERROR(VLOOKUP($CH41,tblBD_PatronMasa[[Código Patrón]:[mN-(mpe–U95)]],3,FALSE),"")</f>
        <v/>
      </c>
      <c r="CO41" s="46"/>
      <c r="CP41" s="57" t="str">
        <f>IFERROR(VLOOKUP(CS41,tblTrazabilidad[[Código]:[Próxima calibración]],2,0),"")</f>
        <v/>
      </c>
      <c r="CQ41" s="58" t="str">
        <f>IFERROR(VLOOKUP(CS41,tblTrazabilidad[[Código]:[Clase]],6,0),"")</f>
        <v/>
      </c>
      <c r="CR41" s="57" t="str">
        <f>IFERROR(VLOOKUP(CS41,tblTrazabilidad[[Código]:[Próxima calibración]],3,0),"")</f>
        <v/>
      </c>
      <c r="CS41" s="56" t="str">
        <f t="shared" si="5"/>
        <v/>
      </c>
      <c r="CT41" s="55" t="str">
        <f>IFERROR(IF(VLOOKUP(CS41,tblTrazabilidad[[Código]:[Próxima calibración]],4,0)=0,"",VLOOKUP(CS41,tblTrazabilidad[[Código]:[Próxima calibración]],4,0)),"")</f>
        <v/>
      </c>
      <c r="CU41" s="54" t="str">
        <f>IFERROR(VLOOKUP(CS41,tblTrazabilidad[[Código]:[Próxima calibración]],5,0),"")</f>
        <v/>
      </c>
      <c r="CV41" s="53">
        <f t="shared" si="4"/>
        <v>0</v>
      </c>
      <c r="CW41" s="52" t="str">
        <f>IFERROR(LOOKUP(2,1/(COUNTIF($CW$4:CW40,tblTrazabilidad[Código])=0),tblTrazabilidad[Código]),"")</f>
        <v/>
      </c>
      <c r="DC41" s="1"/>
      <c r="DD41" s="1"/>
      <c r="DF41"/>
      <c r="DG41"/>
    </row>
    <row r="42" spans="2:111" x14ac:dyDescent="0.3">
      <c r="D42" s="84">
        <v>3</v>
      </c>
      <c r="E42" s="83"/>
      <c r="F42" s="50"/>
      <c r="G42" s="82" t="str">
        <f>IF(E42="","",E42-F42)</f>
        <v/>
      </c>
      <c r="I42" s="45"/>
      <c r="J42" s="45"/>
      <c r="L42" s="8">
        <v>39</v>
      </c>
      <c r="M42" s="62"/>
      <c r="N42" s="59" t="str">
        <f>IFERROR(VLOOKUP(tblCompPuntosCal[[#This Row],[Punto 1]],tblBD_PatronMasa[[Código Patrón]:[mpe]],4,FALSE),"")</f>
        <v/>
      </c>
      <c r="O42" s="59" t="str">
        <f>IFERROR(VLOOKUP(tblCompPuntosCal[[#This Row],[Punto 1]],tblBD_PatronMasa[[Código Patrón]:[mpe]],6,FALSE),"")</f>
        <v/>
      </c>
      <c r="P42" s="55" t="str">
        <f>IFERROR(VLOOKUP(tblCompPuntosCal[[#This Row],[Punto 1]],tblBD_PatronMasa[[Código Patrón]:[mpe]],7,FALSE),"")</f>
        <v/>
      </c>
      <c r="Q42" s="55" t="str">
        <f>IFERROR(VLOOKUP(tblCompPuntosCal[[#This Row],[Punto 1]],tblBD_PatronMasa[[Código Patrón]:[mpe]],9,FALSE),"")</f>
        <v/>
      </c>
      <c r="R42" s="66" t="str">
        <f>IF(switch="Sí",IFERROR(VLOOKUP(tblCompPuntosCal[[#This Row],[Punto 1]],'kU(E)'!$AB$7:$AK$56,10,FALSE)*1000,""),IFERROR(VLOOKUP(tblCompPuntosCal[[#This Row],[Punto 1]],'kU(E)'!$AB$7:$AK$56*1000,8,FALSE),""))</f>
        <v/>
      </c>
      <c r="S42" s="55" t="str">
        <f>IFERROR(IF('kU(E)'!$E$6&lt;&gt;0,INDEX(deltaMconv,MATCH(tblCompPuntosCal[[#This Row],[mN1]],MnomDeltaT),MATCH('kU(E)'!$E$6,deltaT,-1))/SQRT(3),""),"")</f>
        <v/>
      </c>
      <c r="T42" s="62"/>
      <c r="U42" s="55" t="str">
        <f>IFERROR(VLOOKUP(tblCompPuntosCal[[#This Row],[Punto 2]],tblBD_PatronMasa[[Código Patrón]:[mpe]],4,FALSE),"")</f>
        <v/>
      </c>
      <c r="V42" s="55" t="str">
        <f>IFERROR(VLOOKUP(tblCompPuntosCal[[#This Row],[Punto 2]],tblBD_PatronMasa[[Código Patrón]:[mpe]],6,FALSE),"")</f>
        <v/>
      </c>
      <c r="W42" s="55" t="str">
        <f>IFERROR(VLOOKUP(tblCompPuntosCal[[#This Row],[Punto 2]],tblBD_PatronMasa[[Código Patrón]:[mpe]],7,FALSE),"")</f>
        <v/>
      </c>
      <c r="X42" s="55" t="str">
        <f>IFERROR(VLOOKUP(tblCompPuntosCal[[#This Row],[Punto 2]],tblBD_PatronMasa[[Código Patrón]:[mpe]],9,FALSE),"")</f>
        <v/>
      </c>
      <c r="Y42" s="66" t="str">
        <f>IF(switch="Sí",IFERROR(VLOOKUP(tblCompPuntosCal[[#This Row],[Punto 2]],'kU(E)'!$AB$7:$AK$56,10,FALSE)*1000,""),IFERROR(VLOOKUP(tblCompPuntosCal[[#This Row],[Punto 2]],'kU(E)'!$AB$7:$AK$56*1000,8,FALSE),""))</f>
        <v/>
      </c>
      <c r="Z42" s="55" t="str">
        <f>IFERROR(IF('kU(E)'!$E$6&lt;&gt;0,INDEX(deltaMconv,MATCH(tblCompPuntosCal[[#This Row],[mN2]],MnomDeltaT),MATCH('kU(E)'!$E$6,deltaT,-1))/SQRT(3),""),"")</f>
        <v/>
      </c>
      <c r="AA42" s="62"/>
      <c r="AB42" s="55" t="str">
        <f>IFERROR(VLOOKUP(tblCompPuntosCal[[#This Row],[Punto 3]],tblBD_PatronMasa[[Código Patrón]:[mpe]],4,FALSE),"")</f>
        <v/>
      </c>
      <c r="AC42" s="55" t="str">
        <f>IFERROR(VLOOKUP(tblCompPuntosCal[[#This Row],[Punto 3]],tblBD_PatronMasa[[Código Patrón]:[mpe]],6,FALSE),"")</f>
        <v/>
      </c>
      <c r="AD42" s="67" t="str">
        <f>IFERROR(VLOOKUP(tblCompPuntosCal[[#This Row],[Punto 3]],tblBD_PatronMasa[[Código Patrón]:[mpe]],7,FALSE),"")</f>
        <v/>
      </c>
      <c r="AE42" s="67" t="str">
        <f>IFERROR(VLOOKUP(tblCompPuntosCal[[#This Row],[Punto 3]],tblBD_PatronMasa[[Código Patrón]:[mpe]],9,FALSE),"")</f>
        <v/>
      </c>
      <c r="AF42" s="63" t="str">
        <f>IF(switch="Sí",IFERROR(VLOOKUP(tblCompPuntosCal[[#This Row],[Punto 3]],'kU(E)'!$AB$7:$AK$56,10,FALSE)*1000,""),IFERROR(VLOOKUP(tblCompPuntosCal[[#This Row],[Punto 3]],'kU(E)'!$AB$7:$AK$56*1000,8,FALSE),""))</f>
        <v/>
      </c>
      <c r="AG42" s="67" t="str">
        <f>IFERROR(IF('kU(E)'!$E$6&lt;&gt;0,INDEX(deltaMconv,MATCH(tblCompPuntosCal[[#This Row],[mN3]],MnomDeltaT),MATCH('kU(E)'!$E$6,deltaT,-1))/SQRT(3),""),"")</f>
        <v/>
      </c>
      <c r="AH42" s="62"/>
      <c r="AI42" s="67" t="str">
        <f>IFERROR(VLOOKUP(tblCompPuntosCal[[#This Row],[Punto 4]],tblBD_PatronMasa[[Código Patrón]:[mpe]],4,FALSE),"")</f>
        <v/>
      </c>
      <c r="AJ42" s="55" t="str">
        <f>IFERROR(VLOOKUP(tblCompPuntosCal[[#This Row],[Punto 4]],tblBD_PatronMasa[[Código Patrón]:[mpe]],6,FALSE),"")</f>
        <v/>
      </c>
      <c r="AK42" s="55" t="str">
        <f>IFERROR(VLOOKUP(tblCompPuntosCal[[#This Row],[Punto 4]],tblBD_PatronMasa[[Código Patrón]:[mpe]],7,FALSE),"")</f>
        <v/>
      </c>
      <c r="AL42" s="55" t="str">
        <f>IFERROR(VLOOKUP(tblCompPuntosCal[[#This Row],[Punto 4]],tblBD_PatronMasa[[Código Patrón]:[mpe]],9,FALSE),"")</f>
        <v/>
      </c>
      <c r="AM42" s="66" t="str">
        <f>IF(switch="Sí",IFERROR(VLOOKUP(tblCompPuntosCal[[#This Row],[Punto 4]],'kU(E)'!$AB$7:$AK$56,10,FALSE)*1000,""),IFERROR(VLOOKUP(tblCompPuntosCal[[#This Row],[Punto 4]],'kU(E)'!$AB$7:$AK$56,8,FALSE)*1000,""))</f>
        <v/>
      </c>
      <c r="AN42" s="55" t="str">
        <f>IFERROR(IF('kU(E)'!$E$6&lt;&gt;0,INDEX(deltaMconv,MATCH(tblCompPuntosCal[[#This Row],[mN4]],MnomDeltaT),MATCH('kU(E)'!$E$6,deltaT,-1))/SQRT(3),""),"")</f>
        <v/>
      </c>
      <c r="AO42" s="62"/>
      <c r="AP42" s="55" t="str">
        <f>IFERROR(VLOOKUP(tblCompPuntosCal[[#This Row],[Punto 5]],tblBD_PatronMasa[[Código Patrón]:[mpe]],4,FALSE),"")</f>
        <v/>
      </c>
      <c r="AQ42" s="55" t="str">
        <f>IFERROR(VLOOKUP(tblCompPuntosCal[[#This Row],[Punto 5]],tblBD_PatronMasa[[Código Patrón]:[mpe]],6,FALSE),"")</f>
        <v/>
      </c>
      <c r="AR42" s="55" t="str">
        <f>IFERROR(VLOOKUP(tblCompPuntosCal[[#This Row],[Punto 5]],tblBD_PatronMasa[[Código Patrón]:[mpe]],7,FALSE),"")</f>
        <v/>
      </c>
      <c r="AS42" s="55" t="str">
        <f>IFERROR(VLOOKUP(tblCompPuntosCal[[#This Row],[Punto 5]],tblBD_PatronMasa[[Código Patrón]:[mpe]],9,FALSE),"")</f>
        <v/>
      </c>
      <c r="AT42" s="66" t="str">
        <f>IF(switch="Sí",IFERROR(VLOOKUP(tblCompPuntosCal[[#This Row],[Punto 5]],'kU(E)'!$AB$7:$AK$56,10,FALSE)*1000,""),IFERROR(VLOOKUP(tblCompPuntosCal[[#This Row],[Punto 5]],'kU(E)'!$AB$7:$AK$56,8,FALSE)*1000,""))</f>
        <v/>
      </c>
      <c r="AU42" s="55" t="str">
        <f>IFERROR(IF('kU(E)'!$E$6&lt;&gt;0,INDEX(deltaMconv,MATCH(tblCompPuntosCal[[#This Row],[mN5]],MnomDeltaT),MATCH('kU(E)'!$E$6,deltaT,-1))/SQRT(3),""),"")</f>
        <v/>
      </c>
      <c r="AV42" s="62"/>
      <c r="AW42" s="55" t="str">
        <f>IFERROR(VLOOKUP(tblCompPuntosCal[[#This Row],[Punto 6]],tblBD_PatronMasa[[Código Patrón]:[mpe]],4,FALSE),"")</f>
        <v/>
      </c>
      <c r="AX42" s="55" t="str">
        <f>IFERROR(VLOOKUP(tblCompPuntosCal[[#This Row],[Punto 6]],tblBD_PatronMasa[[Código Patrón]:[mpe]],6,FALSE),"")</f>
        <v/>
      </c>
      <c r="AY42" s="55" t="str">
        <f>IFERROR(VLOOKUP(tblCompPuntosCal[[#This Row],[Punto 6]],tblBD_PatronMasa[[Código Patrón]:[mpe]],7,FALSE),"")</f>
        <v/>
      </c>
      <c r="AZ42" s="55" t="str">
        <f>IFERROR(VLOOKUP(tblCompPuntosCal[[#This Row],[Punto 6]],tblBD_PatronMasa[[Código Patrón]:[mpe]],9,FALSE),"")</f>
        <v/>
      </c>
      <c r="BA42" s="66" t="str">
        <f>IF(switch="Sí",IFERROR(VLOOKUP(tblCompPuntosCal[[#This Row],[Punto 6]],'kU(E)'!$AB$7:$AK$56,10,FALSE)*1000,""),IFERROR(VLOOKUP(tblCompPuntosCal[[#This Row],[Punto 6]],'kU(E)'!$AB$7:$AK$56,8,FALSE)*1000,""))</f>
        <v/>
      </c>
      <c r="BB42" s="55" t="str">
        <f>IFERROR(IF('kU(E)'!$E$6&lt;&gt;0,INDEX(deltaMconv,MATCH(tblCompPuntosCal[[#This Row],[mN6]],MnomDeltaT),MATCH('kU(E)'!$E$6,deltaT,-1))/SQRT(3),""),"")</f>
        <v/>
      </c>
      <c r="BC42" s="62"/>
      <c r="BD42" s="55" t="str">
        <f>IFERROR(VLOOKUP(tblCompPuntosCal[[#This Row],[Punto 7]],tblBD_PatronMasa[[Código Patrón]:[mpe]],4,FALSE),"")</f>
        <v/>
      </c>
      <c r="BE42" s="55" t="str">
        <f>IFERROR(VLOOKUP(tblCompPuntosCal[[#This Row],[Punto 7]],tblBD_PatronMasa[[Código Patrón]:[mpe]],6,FALSE),"")</f>
        <v/>
      </c>
      <c r="BF42" s="55" t="str">
        <f>IFERROR(VLOOKUP(tblCompPuntosCal[[#This Row],[Punto 7]],tblBD_PatronMasa[[Código Patrón]:[mpe]],7,FALSE),"")</f>
        <v/>
      </c>
      <c r="BG42" s="55" t="str">
        <f>IFERROR(VLOOKUP(tblCompPuntosCal[[#This Row],[Punto 7]],tblBD_PatronMasa[[Código Patrón]:[mpe]],9,FALSE),"")</f>
        <v/>
      </c>
      <c r="BH42" s="66" t="str">
        <f>IF(switch="Sí",IFERROR(VLOOKUP(tblCompPuntosCal[[#This Row],[Punto 7]],'kU(E)'!$AB$7:$AK$56,10,FALSE)*1000,""),IFERROR(VLOOKUP(tblCompPuntosCal[[#This Row],[Punto 7]],'kU(E)'!$AB$7:$AK$56,8,FALSE)*1000,""))</f>
        <v/>
      </c>
      <c r="BI42" s="55" t="str">
        <f>IFERROR(IF('kU(E)'!$E$6&lt;&gt;0,INDEX(deltaMconv,MATCH(tblCompPuntosCal[[#This Row],[mN7]],MnomDeltaT),MATCH('kU(E)'!$E$6,deltaT,-1))/SQRT(3),""),"")</f>
        <v/>
      </c>
      <c r="BJ42" s="62"/>
      <c r="BK42" s="55" t="str">
        <f>IFERROR(VLOOKUP(tblCompPuntosCal[[#This Row],[Punto 8]],tblBD_PatronMasa[[Código Patrón]:[mpe]],4,FALSE),"")</f>
        <v/>
      </c>
      <c r="BL42" s="55" t="str">
        <f>IFERROR(VLOOKUP(tblCompPuntosCal[[#This Row],[Punto 8]],tblBD_PatronMasa[[Código Patrón]:[mpe]],6,FALSE),"")</f>
        <v/>
      </c>
      <c r="BM42" s="55" t="str">
        <f>IFERROR(VLOOKUP(tblCompPuntosCal[[#This Row],[Punto 8]],tblBD_PatronMasa[[Código Patrón]:[mpe]],7,FALSE),"")</f>
        <v/>
      </c>
      <c r="BN42" s="55" t="str">
        <f>IFERROR(VLOOKUP(tblCompPuntosCal[[#This Row],[Punto 8]],tblBD_PatronMasa[[Código Patrón]:[mpe]],9,FALSE),"")</f>
        <v/>
      </c>
      <c r="BO42" s="66" t="str">
        <f>IF(switch="Sí",IFERROR(VLOOKUP(tblCompPuntosCal[[#This Row],[Punto 8]],'kU(E)'!$AB$7:$AK$56,10,FALSE)*1000,""),IFERROR(VLOOKUP(tblCompPuntosCal[[#This Row],[Punto 8]],'kU(E)'!$AB$7:$AK$56,8,FALSE)*1000,""))</f>
        <v/>
      </c>
      <c r="BP42" s="55" t="str">
        <f>IFERROR(IF('kU(E)'!$E$6&lt;&gt;0,INDEX(deltaMconv,MATCH(tblCompPuntosCal[[#This Row],[mN8]],MnomDeltaT),MATCH('kU(E)'!$E$6,deltaT,-1))/SQRT(3),""),"")</f>
        <v/>
      </c>
      <c r="BQ42" s="62"/>
      <c r="BR42" s="55" t="str">
        <f>IFERROR(VLOOKUP(tblCompPuntosCal[[#This Row],[Punto 9]],tblBD_PatronMasa[[Código Patrón]:[mpe]],4,FALSE),"")</f>
        <v/>
      </c>
      <c r="BS42" s="55" t="str">
        <f>IFERROR(VLOOKUP(tblCompPuntosCal[[#This Row],[Punto 9]],tblBD_PatronMasa[[Código Patrón]:[mpe]],6,FALSE),"")</f>
        <v/>
      </c>
      <c r="BT42" s="55" t="str">
        <f>IFERROR(VLOOKUP(tblCompPuntosCal[[#This Row],[Punto 9]],tblBD_PatronMasa[[Código Patrón]:[mpe]],7,FALSE),"")</f>
        <v/>
      </c>
      <c r="BU42" s="55" t="str">
        <f>IFERROR(VLOOKUP(tblCompPuntosCal[[#This Row],[Punto 9]],tblBD_PatronMasa[[Código Patrón]:[mpe]],9,FALSE),"")</f>
        <v/>
      </c>
      <c r="BV42" s="66" t="str">
        <f>IF(switch="Sí",IFERROR(VLOOKUP(tblCompPuntosCal[[#This Row],[Punto 9]],'kU(E)'!$AB$7:$AK$56,10,FALSE)*1000,""),IFERROR(VLOOKUP(tblCompPuntosCal[[#This Row],[Punto 9]],'kU(E)'!$AB$7:$AK$56,8,FALSE)*1000,""))</f>
        <v/>
      </c>
      <c r="BW42" s="55" t="str">
        <f>IFERROR(IF('kU(E)'!$E$6&lt;&gt;0,INDEX(deltaMconv,MATCH(tblCompPuntosCal[[#This Row],[mN9]],MnomDeltaT),MATCH('kU(E)'!$E$6,deltaT,-1))/SQRT(3),""),"")</f>
        <v/>
      </c>
      <c r="BX42" s="62"/>
      <c r="BY42" s="55" t="str">
        <f>IFERROR(VLOOKUP(tblCompPuntosCal[[#This Row],[Punto 10]],tblBD_PatronMasa[[Código Patrón]:[mpe]],4,FALSE),"")</f>
        <v/>
      </c>
      <c r="BZ42" s="55" t="str">
        <f>IFERROR(VLOOKUP(tblCompPuntosCal[[#This Row],[Punto 10]],tblBD_PatronMasa[[Código Patrón]:[mpe]],6,FALSE),"")</f>
        <v/>
      </c>
      <c r="CA42" s="59" t="str">
        <f>IFERROR(VLOOKUP(tblCompPuntosCal[[#This Row],[Punto 10]],tblBD_PatronMasa[[Código Patrón]:[mpe]],7,FALSE),"")</f>
        <v/>
      </c>
      <c r="CB42" s="59" t="str">
        <f>IFERROR(VLOOKUP(tblCompPuntosCal[[#This Row],[Punto 10]],tblBD_PatronMasa[[Código Patrón]:[mpe]],9,FALSE),"")</f>
        <v/>
      </c>
      <c r="CC42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42" s="59" t="str">
        <f>IFERROR(IF('kU(E)'!$E$6&lt;&gt;0,INDEX(deltaMconv,MATCH(tblCompPuntosCal[[#This Row],[mN10]],MnomDeltaT),MATCH('kU(E)'!$E$6,deltaT,-1))/SQRT(3),""),"")</f>
        <v/>
      </c>
      <c r="CG42" s="38">
        <v>38</v>
      </c>
      <c r="CH42" s="35">
        <f>tblCompPuntosCal[[#This Row],[Punto 1]]</f>
        <v>0</v>
      </c>
      <c r="CI42" s="35" t="str">
        <f>IF(tblTrazabilidad[[#This Row],[Código]]=0,"",IFERROR(IF(SEARCH("JM",tblTrazabilidad[[#This Row],[Código]])&gt;0,"Juego de pesas",),"Pesa"))</f>
        <v/>
      </c>
      <c r="CJ42" s="35" t="str">
        <f>IFERROR(VLOOKUP($CH42,tblBD_PatronMasa[[Código Patrón]:[mN-(mpe–U95)]],2,FALSE),"")</f>
        <v/>
      </c>
      <c r="CK42" s="35" t="str">
        <f>IFERROR(VLOOKUP($CH42,tblBD_PatronMasa[[Código Patrón]:[mN-(mpe–U95)]],13,FALSE),"")</f>
        <v/>
      </c>
      <c r="CL42" s="34" t="str">
        <f>IF(tblTrazabilidad[[#This Row],[Clase]]="F2",IFERROR(IF(VLOOKUP($CH42,tblBD_PatronMasa[[Código Patrón]:[mN-(mpe–U95)]],12,FALSE)=0,"",VLOOKUP($CH42,tblBD_PatronMasa[[Código Patrón]:[mN-(mpe–U95)]],12,FALSE)+731),""),IF(tblTrazabilidad[[#This Row],[Clase]]="F1",IFERROR(IF(VLOOKUP($CH42,tblBD_PatronMasa[[Código Patrón]:[mN-(mpe–U95)]],12,FALSE)=0,"",VLOOKUP($CH42,tblBD_PatronMasa[[Código Patrón]:[mN-(mpe–U95)]],12,FALSE)+731),""),IFERROR(IF(VLOOKUP($CH42,tblBD_PatronMasa[[Código Patrón]:[mN-(mpe–U95)]],12,FALSE)=0,"",VLOOKUP($CH42,tblBD_PatronMasa[[Código Patrón]:[mN-(mpe–U95)]],12,FALSE)+366),"")))</f>
        <v/>
      </c>
      <c r="CM42" s="33" t="str">
        <f>IFERROR(VLOOKUP($CH42,tblBD_PatronMasa[[Código Patrón]:[mN-(mpe–U95)]],3,FALSE),"")</f>
        <v/>
      </c>
      <c r="CO42" s="46"/>
      <c r="CP42" s="57" t="str">
        <f>IFERROR(VLOOKUP(CS42,tblTrazabilidad[[Código]:[Próxima calibración]],2,0),"")</f>
        <v/>
      </c>
      <c r="CQ42" s="58" t="str">
        <f>IFERROR(VLOOKUP(CS42,tblTrazabilidad[[Código]:[Clase]],6,0),"")</f>
        <v/>
      </c>
      <c r="CR42" s="57" t="str">
        <f>IFERROR(VLOOKUP(CS42,tblTrazabilidad[[Código]:[Próxima calibración]],3,0),"")</f>
        <v/>
      </c>
      <c r="CS42" s="56" t="str">
        <f t="shared" si="5"/>
        <v/>
      </c>
      <c r="CT42" s="55" t="str">
        <f>IFERROR(IF(VLOOKUP(CS42,tblTrazabilidad[[Código]:[Próxima calibración]],4,0)=0,"",VLOOKUP(CS42,tblTrazabilidad[[Código]:[Próxima calibración]],4,0)),"")</f>
        <v/>
      </c>
      <c r="CU42" s="54" t="str">
        <f>IFERROR(VLOOKUP(CS42,tblTrazabilidad[[Código]:[Próxima calibración]],5,0),"")</f>
        <v/>
      </c>
      <c r="CV42" s="53">
        <f t="shared" si="4"/>
        <v>0</v>
      </c>
      <c r="CW42" s="52" t="str">
        <f>IFERROR(LOOKUP(2,1/(COUNTIF($CW$4:CW41,tblTrazabilidad[Código])=0),tblTrazabilidad[Código]),"")</f>
        <v/>
      </c>
      <c r="DC42" s="1"/>
      <c r="DD42" s="1"/>
      <c r="DF42"/>
      <c r="DG42"/>
    </row>
    <row r="43" spans="2:111" x14ac:dyDescent="0.3">
      <c r="D43" s="84">
        <v>4</v>
      </c>
      <c r="E43" s="83"/>
      <c r="F43" s="50"/>
      <c r="G43" s="82" t="str">
        <f>IF(E43="","",E43-F43)</f>
        <v/>
      </c>
      <c r="I43" s="45"/>
      <c r="J43" s="45"/>
      <c r="L43" s="8">
        <v>40</v>
      </c>
      <c r="M43" s="62"/>
      <c r="N43" s="59" t="str">
        <f>IFERROR(VLOOKUP(tblCompPuntosCal[[#This Row],[Punto 1]],tblBD_PatronMasa[[Código Patrón]:[mpe]],4,FALSE),"")</f>
        <v/>
      </c>
      <c r="O43" s="59" t="str">
        <f>IFERROR(VLOOKUP(tblCompPuntosCal[[#This Row],[Punto 1]],tblBD_PatronMasa[[Código Patrón]:[mpe]],6,FALSE),"")</f>
        <v/>
      </c>
      <c r="P43" s="55" t="str">
        <f>IFERROR(VLOOKUP(tblCompPuntosCal[[#This Row],[Punto 1]],tblBD_PatronMasa[[Código Patrón]:[mpe]],7,FALSE),"")</f>
        <v/>
      </c>
      <c r="Q43" s="55" t="str">
        <f>IFERROR(VLOOKUP(tblCompPuntosCal[[#This Row],[Punto 1]],tblBD_PatronMasa[[Código Patrón]:[mpe]],9,FALSE),"")</f>
        <v/>
      </c>
      <c r="R43" s="66" t="str">
        <f>IF(switch="Sí",IFERROR(VLOOKUP(tblCompPuntosCal[[#This Row],[Punto 1]],'kU(E)'!$AB$7:$AK$56,10,FALSE)*1000,""),IFERROR(VLOOKUP(tblCompPuntosCal[[#This Row],[Punto 1]],'kU(E)'!$AB$7:$AK$56*1000,8,FALSE),""))</f>
        <v/>
      </c>
      <c r="S43" s="55" t="str">
        <f>IFERROR(IF('kU(E)'!$E$6&lt;&gt;0,INDEX(deltaMconv,MATCH(tblCompPuntosCal[[#This Row],[mN1]],MnomDeltaT),MATCH('kU(E)'!$E$6,deltaT,-1))/SQRT(3),""),"")</f>
        <v/>
      </c>
      <c r="T43" s="62"/>
      <c r="U43" s="55" t="str">
        <f>IFERROR(VLOOKUP(tblCompPuntosCal[[#This Row],[Punto 2]],tblBD_PatronMasa[[Código Patrón]:[mpe]],4,FALSE),"")</f>
        <v/>
      </c>
      <c r="V43" s="55" t="str">
        <f>IFERROR(VLOOKUP(tblCompPuntosCal[[#This Row],[Punto 2]],tblBD_PatronMasa[[Código Patrón]:[mpe]],6,FALSE),"")</f>
        <v/>
      </c>
      <c r="W43" s="55" t="str">
        <f>IFERROR(VLOOKUP(tblCompPuntosCal[[#This Row],[Punto 2]],tblBD_PatronMasa[[Código Patrón]:[mpe]],7,FALSE),"")</f>
        <v/>
      </c>
      <c r="X43" s="55" t="str">
        <f>IFERROR(VLOOKUP(tblCompPuntosCal[[#This Row],[Punto 2]],tblBD_PatronMasa[[Código Patrón]:[mpe]],9,FALSE),"")</f>
        <v/>
      </c>
      <c r="Y43" s="66" t="str">
        <f>IF(switch="Sí",IFERROR(VLOOKUP(tblCompPuntosCal[[#This Row],[Punto 2]],'kU(E)'!$AB$7:$AK$56,10,FALSE)*1000,""),IFERROR(VLOOKUP(tblCompPuntosCal[[#This Row],[Punto 2]],'kU(E)'!$AB$7:$AK$56*1000,8,FALSE),""))</f>
        <v/>
      </c>
      <c r="Z43" s="55" t="str">
        <f>IFERROR(IF('kU(E)'!$E$6&lt;&gt;0,INDEX(deltaMconv,MATCH(tblCompPuntosCal[[#This Row],[mN2]],MnomDeltaT),MATCH('kU(E)'!$E$6,deltaT,-1))/SQRT(3),""),"")</f>
        <v/>
      </c>
      <c r="AA43" s="62"/>
      <c r="AB43" s="55" t="str">
        <f>IFERROR(VLOOKUP(tblCompPuntosCal[[#This Row],[Punto 3]],tblBD_PatronMasa[[Código Patrón]:[mpe]],4,FALSE),"")</f>
        <v/>
      </c>
      <c r="AC43" s="55" t="str">
        <f>IFERROR(VLOOKUP(tblCompPuntosCal[[#This Row],[Punto 3]],tblBD_PatronMasa[[Código Patrón]:[mpe]],6,FALSE),"")</f>
        <v/>
      </c>
      <c r="AD43" s="67" t="str">
        <f>IFERROR(VLOOKUP(tblCompPuntosCal[[#This Row],[Punto 3]],tblBD_PatronMasa[[Código Patrón]:[mpe]],7,FALSE),"")</f>
        <v/>
      </c>
      <c r="AE43" s="67" t="str">
        <f>IFERROR(VLOOKUP(tblCompPuntosCal[[#This Row],[Punto 3]],tblBD_PatronMasa[[Código Patrón]:[mpe]],9,FALSE),"")</f>
        <v/>
      </c>
      <c r="AF43" s="63" t="str">
        <f>IF(switch="Sí",IFERROR(VLOOKUP(tblCompPuntosCal[[#This Row],[Punto 3]],'kU(E)'!$AB$7:$AK$56,10,FALSE)*1000,""),IFERROR(VLOOKUP(tblCompPuntosCal[[#This Row],[Punto 3]],'kU(E)'!$AB$7:$AK$56*1000,8,FALSE),""))</f>
        <v/>
      </c>
      <c r="AG43" s="67" t="str">
        <f>IFERROR(IF('kU(E)'!$E$6&lt;&gt;0,INDEX(deltaMconv,MATCH(tblCompPuntosCal[[#This Row],[mN3]],MnomDeltaT),MATCH('kU(E)'!$E$6,deltaT,-1))/SQRT(3),""),"")</f>
        <v/>
      </c>
      <c r="AH43" s="62"/>
      <c r="AI43" s="67" t="str">
        <f>IFERROR(VLOOKUP(tblCompPuntosCal[[#This Row],[Punto 4]],tblBD_PatronMasa[[Código Patrón]:[mpe]],4,FALSE),"")</f>
        <v/>
      </c>
      <c r="AJ43" s="55" t="str">
        <f>IFERROR(VLOOKUP(tblCompPuntosCal[[#This Row],[Punto 4]],tblBD_PatronMasa[[Código Patrón]:[mpe]],6,FALSE),"")</f>
        <v/>
      </c>
      <c r="AK43" s="55" t="str">
        <f>IFERROR(VLOOKUP(tblCompPuntosCal[[#This Row],[Punto 4]],tblBD_PatronMasa[[Código Patrón]:[mpe]],7,FALSE),"")</f>
        <v/>
      </c>
      <c r="AL43" s="55" t="str">
        <f>IFERROR(VLOOKUP(tblCompPuntosCal[[#This Row],[Punto 4]],tblBD_PatronMasa[[Código Patrón]:[mpe]],9,FALSE),"")</f>
        <v/>
      </c>
      <c r="AM43" s="66" t="str">
        <f>IF(switch="Sí",IFERROR(VLOOKUP(tblCompPuntosCal[[#This Row],[Punto 4]],'kU(E)'!$AB$7:$AK$56,10,FALSE)*1000,""),IFERROR(VLOOKUP(tblCompPuntosCal[[#This Row],[Punto 4]],'kU(E)'!$AB$7:$AK$56,8,FALSE)*1000,""))</f>
        <v/>
      </c>
      <c r="AN43" s="55" t="str">
        <f>IFERROR(IF('kU(E)'!$E$6&lt;&gt;0,INDEX(deltaMconv,MATCH(tblCompPuntosCal[[#This Row],[mN4]],MnomDeltaT),MATCH('kU(E)'!$E$6,deltaT,-1))/SQRT(3),""),"")</f>
        <v/>
      </c>
      <c r="AO43" s="62"/>
      <c r="AP43" s="55" t="str">
        <f>IFERROR(VLOOKUP(tblCompPuntosCal[[#This Row],[Punto 5]],tblBD_PatronMasa[[Código Patrón]:[mpe]],4,FALSE),"")</f>
        <v/>
      </c>
      <c r="AQ43" s="55" t="str">
        <f>IFERROR(VLOOKUP(tblCompPuntosCal[[#This Row],[Punto 5]],tblBD_PatronMasa[[Código Patrón]:[mpe]],6,FALSE),"")</f>
        <v/>
      </c>
      <c r="AR43" s="55" t="str">
        <f>IFERROR(VLOOKUP(tblCompPuntosCal[[#This Row],[Punto 5]],tblBD_PatronMasa[[Código Patrón]:[mpe]],7,FALSE),"")</f>
        <v/>
      </c>
      <c r="AS43" s="55" t="str">
        <f>IFERROR(VLOOKUP(tblCompPuntosCal[[#This Row],[Punto 5]],tblBD_PatronMasa[[Código Patrón]:[mpe]],9,FALSE),"")</f>
        <v/>
      </c>
      <c r="AT43" s="66" t="str">
        <f>IF(switch="Sí",IFERROR(VLOOKUP(tblCompPuntosCal[[#This Row],[Punto 5]],'kU(E)'!$AB$7:$AK$56,10,FALSE)*1000,""),IFERROR(VLOOKUP(tblCompPuntosCal[[#This Row],[Punto 5]],'kU(E)'!$AB$7:$AK$56,8,FALSE)*1000,""))</f>
        <v/>
      </c>
      <c r="AU43" s="55" t="str">
        <f>IFERROR(IF('kU(E)'!$E$6&lt;&gt;0,INDEX(deltaMconv,MATCH(tblCompPuntosCal[[#This Row],[mN5]],MnomDeltaT),MATCH('kU(E)'!$E$6,deltaT,-1))/SQRT(3),""),"")</f>
        <v/>
      </c>
      <c r="AV43" s="62"/>
      <c r="AW43" s="55" t="str">
        <f>IFERROR(VLOOKUP(tblCompPuntosCal[[#This Row],[Punto 6]],tblBD_PatronMasa[[Código Patrón]:[mpe]],4,FALSE),"")</f>
        <v/>
      </c>
      <c r="AX43" s="55" t="str">
        <f>IFERROR(VLOOKUP(tblCompPuntosCal[[#This Row],[Punto 6]],tblBD_PatronMasa[[Código Patrón]:[mpe]],6,FALSE),"")</f>
        <v/>
      </c>
      <c r="AY43" s="55" t="str">
        <f>IFERROR(VLOOKUP(tblCompPuntosCal[[#This Row],[Punto 6]],tblBD_PatronMasa[[Código Patrón]:[mpe]],7,FALSE),"")</f>
        <v/>
      </c>
      <c r="AZ43" s="55" t="str">
        <f>IFERROR(VLOOKUP(tblCompPuntosCal[[#This Row],[Punto 6]],tblBD_PatronMasa[[Código Patrón]:[mpe]],9,FALSE),"")</f>
        <v/>
      </c>
      <c r="BA43" s="66" t="str">
        <f>IF(switch="Sí",IFERROR(VLOOKUP(tblCompPuntosCal[[#This Row],[Punto 6]],'kU(E)'!$AB$7:$AK$56,10,FALSE)*1000,""),IFERROR(VLOOKUP(tblCompPuntosCal[[#This Row],[Punto 6]],'kU(E)'!$AB$7:$AK$56,8,FALSE)*1000,""))</f>
        <v/>
      </c>
      <c r="BB43" s="55" t="str">
        <f>IFERROR(IF('kU(E)'!$E$6&lt;&gt;0,INDEX(deltaMconv,MATCH(tblCompPuntosCal[[#This Row],[mN6]],MnomDeltaT),MATCH('kU(E)'!$E$6,deltaT,-1))/SQRT(3),""),"")</f>
        <v/>
      </c>
      <c r="BC43" s="62"/>
      <c r="BD43" s="55" t="str">
        <f>IFERROR(VLOOKUP(tblCompPuntosCal[[#This Row],[Punto 7]],tblBD_PatronMasa[[Código Patrón]:[mpe]],4,FALSE),"")</f>
        <v/>
      </c>
      <c r="BE43" s="55" t="str">
        <f>IFERROR(VLOOKUP(tblCompPuntosCal[[#This Row],[Punto 7]],tblBD_PatronMasa[[Código Patrón]:[mpe]],6,FALSE),"")</f>
        <v/>
      </c>
      <c r="BF43" s="55" t="str">
        <f>IFERROR(VLOOKUP(tblCompPuntosCal[[#This Row],[Punto 7]],tblBD_PatronMasa[[Código Patrón]:[mpe]],7,FALSE),"")</f>
        <v/>
      </c>
      <c r="BG43" s="55" t="str">
        <f>IFERROR(VLOOKUP(tblCompPuntosCal[[#This Row],[Punto 7]],tblBD_PatronMasa[[Código Patrón]:[mpe]],9,FALSE),"")</f>
        <v/>
      </c>
      <c r="BH43" s="66" t="str">
        <f>IF(switch="Sí",IFERROR(VLOOKUP(tblCompPuntosCal[[#This Row],[Punto 7]],'kU(E)'!$AB$7:$AK$56,10,FALSE)*1000,""),IFERROR(VLOOKUP(tblCompPuntosCal[[#This Row],[Punto 7]],'kU(E)'!$AB$7:$AK$56,8,FALSE)*1000,""))</f>
        <v/>
      </c>
      <c r="BI43" s="55" t="str">
        <f>IFERROR(IF('kU(E)'!$E$6&lt;&gt;0,INDEX(deltaMconv,MATCH(tblCompPuntosCal[[#This Row],[mN7]],MnomDeltaT),MATCH('kU(E)'!$E$6,deltaT,-1))/SQRT(3),""),"")</f>
        <v/>
      </c>
      <c r="BJ43" s="62"/>
      <c r="BK43" s="55" t="str">
        <f>IFERROR(VLOOKUP(tblCompPuntosCal[[#This Row],[Punto 8]],tblBD_PatronMasa[[Código Patrón]:[mpe]],4,FALSE),"")</f>
        <v/>
      </c>
      <c r="BL43" s="55" t="str">
        <f>IFERROR(VLOOKUP(tblCompPuntosCal[[#This Row],[Punto 8]],tblBD_PatronMasa[[Código Patrón]:[mpe]],6,FALSE),"")</f>
        <v/>
      </c>
      <c r="BM43" s="55" t="str">
        <f>IFERROR(VLOOKUP(tblCompPuntosCal[[#This Row],[Punto 8]],tblBD_PatronMasa[[Código Patrón]:[mpe]],7,FALSE),"")</f>
        <v/>
      </c>
      <c r="BN43" s="55" t="str">
        <f>IFERROR(VLOOKUP(tblCompPuntosCal[[#This Row],[Punto 8]],tblBD_PatronMasa[[Código Patrón]:[mpe]],9,FALSE),"")</f>
        <v/>
      </c>
      <c r="BO43" s="66" t="str">
        <f>IF(switch="Sí",IFERROR(VLOOKUP(tblCompPuntosCal[[#This Row],[Punto 8]],'kU(E)'!$AB$7:$AK$56,10,FALSE)*1000,""),IFERROR(VLOOKUP(tblCompPuntosCal[[#This Row],[Punto 8]],'kU(E)'!$AB$7:$AK$56,8,FALSE)*1000,""))</f>
        <v/>
      </c>
      <c r="BP43" s="55" t="str">
        <f>IFERROR(IF('kU(E)'!$E$6&lt;&gt;0,INDEX(deltaMconv,MATCH(tblCompPuntosCal[[#This Row],[mN8]],MnomDeltaT),MATCH('kU(E)'!$E$6,deltaT,-1))/SQRT(3),""),"")</f>
        <v/>
      </c>
      <c r="BQ43" s="62"/>
      <c r="BR43" s="55" t="str">
        <f>IFERROR(VLOOKUP(tblCompPuntosCal[[#This Row],[Punto 9]],tblBD_PatronMasa[[Código Patrón]:[mpe]],4,FALSE),"")</f>
        <v/>
      </c>
      <c r="BS43" s="55" t="str">
        <f>IFERROR(VLOOKUP(tblCompPuntosCal[[#This Row],[Punto 9]],tblBD_PatronMasa[[Código Patrón]:[mpe]],6,FALSE),"")</f>
        <v/>
      </c>
      <c r="BT43" s="55" t="str">
        <f>IFERROR(VLOOKUP(tblCompPuntosCal[[#This Row],[Punto 9]],tblBD_PatronMasa[[Código Patrón]:[mpe]],7,FALSE),"")</f>
        <v/>
      </c>
      <c r="BU43" s="55" t="str">
        <f>IFERROR(VLOOKUP(tblCompPuntosCal[[#This Row],[Punto 9]],tblBD_PatronMasa[[Código Patrón]:[mpe]],9,FALSE),"")</f>
        <v/>
      </c>
      <c r="BV43" s="66" t="str">
        <f>IF(switch="Sí",IFERROR(VLOOKUP(tblCompPuntosCal[[#This Row],[Punto 9]],'kU(E)'!$AB$7:$AK$56,10,FALSE)*1000,""),IFERROR(VLOOKUP(tblCompPuntosCal[[#This Row],[Punto 9]],'kU(E)'!$AB$7:$AK$56,8,FALSE)*1000,""))</f>
        <v/>
      </c>
      <c r="BW43" s="55" t="str">
        <f>IFERROR(IF('kU(E)'!$E$6&lt;&gt;0,INDEX(deltaMconv,MATCH(tblCompPuntosCal[[#This Row],[mN9]],MnomDeltaT),MATCH('kU(E)'!$E$6,deltaT,-1))/SQRT(3),""),"")</f>
        <v/>
      </c>
      <c r="BX43" s="62"/>
      <c r="BY43" s="55" t="str">
        <f>IFERROR(VLOOKUP(tblCompPuntosCal[[#This Row],[Punto 10]],tblBD_PatronMasa[[Código Patrón]:[mpe]],4,FALSE),"")</f>
        <v/>
      </c>
      <c r="BZ43" s="55" t="str">
        <f>IFERROR(VLOOKUP(tblCompPuntosCal[[#This Row],[Punto 10]],tblBD_PatronMasa[[Código Patrón]:[mpe]],6,FALSE),"")</f>
        <v/>
      </c>
      <c r="CA43" s="59" t="str">
        <f>IFERROR(VLOOKUP(tblCompPuntosCal[[#This Row],[Punto 10]],tblBD_PatronMasa[[Código Patrón]:[mpe]],7,FALSE),"")</f>
        <v/>
      </c>
      <c r="CB43" s="59" t="str">
        <f>IFERROR(VLOOKUP(tblCompPuntosCal[[#This Row],[Punto 10]],tblBD_PatronMasa[[Código Patrón]:[mpe]],9,FALSE),"")</f>
        <v/>
      </c>
      <c r="CC43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43" s="59" t="str">
        <f>IFERROR(IF('kU(E)'!$E$6&lt;&gt;0,INDEX(deltaMconv,MATCH(tblCompPuntosCal[[#This Row],[mN10]],MnomDeltaT),MATCH('kU(E)'!$E$6,deltaT,-1))/SQRT(3),""),"")</f>
        <v/>
      </c>
      <c r="CG43" s="38">
        <v>39</v>
      </c>
      <c r="CH43" s="35">
        <f>tblCompPuntosCal[[#This Row],[Punto 1]]</f>
        <v>0</v>
      </c>
      <c r="CI43" s="35" t="str">
        <f>IF(tblTrazabilidad[[#This Row],[Código]]=0,"",IFERROR(IF(SEARCH("JM",tblTrazabilidad[[#This Row],[Código]])&gt;0,"Juego de pesas",),"Pesa"))</f>
        <v/>
      </c>
      <c r="CJ43" s="35" t="str">
        <f>IFERROR(VLOOKUP($CH43,tblBD_PatronMasa[[Código Patrón]:[mN-(mpe–U95)]],2,FALSE),"")</f>
        <v/>
      </c>
      <c r="CK43" s="35" t="str">
        <f>IFERROR(VLOOKUP($CH43,tblBD_PatronMasa[[Código Patrón]:[mN-(mpe–U95)]],13,FALSE),"")</f>
        <v/>
      </c>
      <c r="CL43" s="34" t="str">
        <f>IF(tblTrazabilidad[[#This Row],[Clase]]="F2",IFERROR(IF(VLOOKUP($CH43,tblBD_PatronMasa[[Código Patrón]:[mN-(mpe–U95)]],12,FALSE)=0,"",VLOOKUP($CH43,tblBD_PatronMasa[[Código Patrón]:[mN-(mpe–U95)]],12,FALSE)+731),""),IF(tblTrazabilidad[[#This Row],[Clase]]="F1",IFERROR(IF(VLOOKUP($CH43,tblBD_PatronMasa[[Código Patrón]:[mN-(mpe–U95)]],12,FALSE)=0,"",VLOOKUP($CH43,tblBD_PatronMasa[[Código Patrón]:[mN-(mpe–U95)]],12,FALSE)+731),""),IFERROR(IF(VLOOKUP($CH43,tblBD_PatronMasa[[Código Patrón]:[mN-(mpe–U95)]],12,FALSE)=0,"",VLOOKUP($CH43,tblBD_PatronMasa[[Código Patrón]:[mN-(mpe–U95)]],12,FALSE)+366),"")))</f>
        <v/>
      </c>
      <c r="CM43" s="33" t="str">
        <f>IFERROR(VLOOKUP($CH43,tblBD_PatronMasa[[Código Patrón]:[mN-(mpe–U95)]],3,FALSE),"")</f>
        <v/>
      </c>
      <c r="CO43" s="46"/>
      <c r="CP43" s="57" t="str">
        <f>IFERROR(VLOOKUP(CS43,tblTrazabilidad[[Código]:[Próxima calibración]],2,0),"")</f>
        <v/>
      </c>
      <c r="CQ43" s="58" t="str">
        <f>IFERROR(VLOOKUP(CS43,tblTrazabilidad[[Código]:[Clase]],6,0),"")</f>
        <v/>
      </c>
      <c r="CR43" s="57" t="str">
        <f>IFERROR(VLOOKUP(CS43,tblTrazabilidad[[Código]:[Próxima calibración]],3,0),"")</f>
        <v/>
      </c>
      <c r="CS43" s="56" t="str">
        <f t="shared" si="5"/>
        <v/>
      </c>
      <c r="CT43" s="55" t="str">
        <f>IFERROR(IF(VLOOKUP(CS43,tblTrazabilidad[[Código]:[Próxima calibración]],4,0)=0,"",VLOOKUP(CS43,tblTrazabilidad[[Código]:[Próxima calibración]],4,0)),"")</f>
        <v/>
      </c>
      <c r="CU43" s="54" t="str">
        <f>IFERROR(VLOOKUP(CS43,tblTrazabilidad[[Código]:[Próxima calibración]],5,0),"")</f>
        <v/>
      </c>
      <c r="CV43" s="53">
        <f t="shared" si="4"/>
        <v>0</v>
      </c>
      <c r="CW43" s="52" t="str">
        <f>IFERROR(LOOKUP(2,1/(COUNTIF($CW$4:CW42,tblTrazabilidad[Código])=0),tblTrazabilidad[Código]),"")</f>
        <v/>
      </c>
      <c r="DC43" s="1"/>
      <c r="DD43" s="1"/>
      <c r="DF43"/>
      <c r="DG43"/>
    </row>
    <row r="44" spans="2:111" x14ac:dyDescent="0.3">
      <c r="D44" s="84">
        <v>5</v>
      </c>
      <c r="E44" s="83"/>
      <c r="F44" s="50"/>
      <c r="G44" s="82" t="str">
        <f>IF(E44="","",E44-F44)</f>
        <v/>
      </c>
      <c r="I44" s="45"/>
      <c r="J44" s="45"/>
      <c r="L44" s="8">
        <v>41</v>
      </c>
      <c r="M44" s="62"/>
      <c r="N44" s="59" t="str">
        <f>IFERROR(VLOOKUP(tblCompPuntosCal[[#This Row],[Punto 1]],tblBD_PatronMasa[[Código Patrón]:[mpe]],4,FALSE),"")</f>
        <v/>
      </c>
      <c r="O44" s="59" t="str">
        <f>IFERROR(VLOOKUP(tblCompPuntosCal[[#This Row],[Punto 1]],tblBD_PatronMasa[[Código Patrón]:[mpe]],6,FALSE),"")</f>
        <v/>
      </c>
      <c r="P44" s="55" t="str">
        <f>IFERROR(VLOOKUP(tblCompPuntosCal[[#This Row],[Punto 1]],tblBD_PatronMasa[[Código Patrón]:[mpe]],7,FALSE),"")</f>
        <v/>
      </c>
      <c r="Q44" s="55" t="str">
        <f>IFERROR(VLOOKUP(tblCompPuntosCal[[#This Row],[Punto 1]],tblBD_PatronMasa[[Código Patrón]:[mpe]],9,FALSE),"")</f>
        <v/>
      </c>
      <c r="R44" s="66" t="str">
        <f>IF(switch="Sí",IFERROR(VLOOKUP(tblCompPuntosCal[[#This Row],[Punto 1]],'kU(E)'!$AB$7:$AK$56,10,FALSE)*1000,""),IFERROR(VLOOKUP(tblCompPuntosCal[[#This Row],[Punto 1]],'kU(E)'!$AB$7:$AK$56*1000,8,FALSE),""))</f>
        <v/>
      </c>
      <c r="S44" s="55" t="str">
        <f>IFERROR(IF('kU(E)'!$E$6&lt;&gt;0,INDEX(deltaMconv,MATCH(tblCompPuntosCal[[#This Row],[mN1]],MnomDeltaT),MATCH('kU(E)'!$E$6,deltaT,-1))/SQRT(3),""),"")</f>
        <v/>
      </c>
      <c r="T44" s="62"/>
      <c r="U44" s="55" t="str">
        <f>IFERROR(VLOOKUP(tblCompPuntosCal[[#This Row],[Punto 2]],tblBD_PatronMasa[[Código Patrón]:[mpe]],4,FALSE),"")</f>
        <v/>
      </c>
      <c r="V44" s="55" t="str">
        <f>IFERROR(VLOOKUP(tblCompPuntosCal[[#This Row],[Punto 2]],tblBD_PatronMasa[[Código Patrón]:[mpe]],6,FALSE),"")</f>
        <v/>
      </c>
      <c r="W44" s="55" t="str">
        <f>IFERROR(VLOOKUP(tblCompPuntosCal[[#This Row],[Punto 2]],tblBD_PatronMasa[[Código Patrón]:[mpe]],7,FALSE),"")</f>
        <v/>
      </c>
      <c r="X44" s="55" t="str">
        <f>IFERROR(VLOOKUP(tblCompPuntosCal[[#This Row],[Punto 2]],tblBD_PatronMasa[[Código Patrón]:[mpe]],9,FALSE),"")</f>
        <v/>
      </c>
      <c r="Y44" s="66" t="str">
        <f>IF(switch="Sí",IFERROR(VLOOKUP(tblCompPuntosCal[[#This Row],[Punto 2]],'kU(E)'!$AB$7:$AK$56,10,FALSE)*1000,""),IFERROR(VLOOKUP(tblCompPuntosCal[[#This Row],[Punto 2]],'kU(E)'!$AB$7:$AK$56*1000,8,FALSE),""))</f>
        <v/>
      </c>
      <c r="Z44" s="55" t="str">
        <f>IFERROR(IF('kU(E)'!$E$6&lt;&gt;0,INDEX(deltaMconv,MATCH(tblCompPuntosCal[[#This Row],[mN2]],MnomDeltaT),MATCH('kU(E)'!$E$6,deltaT,-1))/SQRT(3),""),"")</f>
        <v/>
      </c>
      <c r="AA44" s="62"/>
      <c r="AB44" s="55" t="str">
        <f>IFERROR(VLOOKUP(tblCompPuntosCal[[#This Row],[Punto 3]],tblBD_PatronMasa[[Código Patrón]:[mpe]],4,FALSE),"")</f>
        <v/>
      </c>
      <c r="AC44" s="55" t="str">
        <f>IFERROR(VLOOKUP(tblCompPuntosCal[[#This Row],[Punto 3]],tblBD_PatronMasa[[Código Patrón]:[mpe]],6,FALSE),"")</f>
        <v/>
      </c>
      <c r="AD44" s="55" t="str">
        <f>IFERROR(VLOOKUP(tblCompPuntosCal[[#This Row],[Punto 3]],tblBD_PatronMasa[[Código Patrón]:[mpe]],7,FALSE),"")</f>
        <v/>
      </c>
      <c r="AE44" s="55" t="str">
        <f>IFERROR(VLOOKUP(tblCompPuntosCal[[#This Row],[Punto 3]],tblBD_PatronMasa[[Código Patrón]:[mpe]],9,FALSE),"")</f>
        <v/>
      </c>
      <c r="AF44" s="63" t="str">
        <f>IF(switch="Sí",IFERROR(VLOOKUP(tblCompPuntosCal[[#This Row],[Punto 3]],'kU(E)'!$AB$7:$AK$56,10,FALSE)*1000,""),IFERROR(VLOOKUP(tblCompPuntosCal[[#This Row],[Punto 3]],'kU(E)'!$AB$7:$AK$56*1000,8,FALSE),""))</f>
        <v/>
      </c>
      <c r="AG44" s="55" t="str">
        <f>IFERROR(IF('kU(E)'!$E$6&lt;&gt;0,INDEX(deltaMconv,MATCH(tblCompPuntosCal[[#This Row],[mN3]],MnomDeltaT),MATCH('kU(E)'!$E$6,deltaT,-1))/SQRT(3),""),"")</f>
        <v/>
      </c>
      <c r="AH44" s="62"/>
      <c r="AI44" s="55" t="str">
        <f>IFERROR(VLOOKUP(tblCompPuntosCal[[#This Row],[Punto 4]],tblBD_PatronMasa[[Código Patrón]:[mpe]],4,FALSE),"")</f>
        <v/>
      </c>
      <c r="AJ44" s="55" t="str">
        <f>IFERROR(VLOOKUP(tblCompPuntosCal[[#This Row],[Punto 4]],tblBD_PatronMasa[[Código Patrón]:[mpe]],6,FALSE),"")</f>
        <v/>
      </c>
      <c r="AK44" s="55" t="str">
        <f>IFERROR(VLOOKUP(tblCompPuntosCal[[#This Row],[Punto 4]],tblBD_PatronMasa[[Código Patrón]:[mpe]],7,FALSE),"")</f>
        <v/>
      </c>
      <c r="AL44" s="55" t="str">
        <f>IFERROR(VLOOKUP(tblCompPuntosCal[[#This Row],[Punto 4]],tblBD_PatronMasa[[Código Patrón]:[mpe]],9,FALSE),"")</f>
        <v/>
      </c>
      <c r="AM44" s="66" t="str">
        <f>IF(switch="Sí",IFERROR(VLOOKUP(tblCompPuntosCal[[#This Row],[Punto 4]],'kU(E)'!$AB$7:$AK$56,10,FALSE)*1000,""),IFERROR(VLOOKUP(tblCompPuntosCal[[#This Row],[Punto 4]],'kU(E)'!$AB$7:$AK$56,8,FALSE)*1000,""))</f>
        <v/>
      </c>
      <c r="AN44" s="55" t="str">
        <f>IFERROR(IF('kU(E)'!$E$6&lt;&gt;0,INDEX(deltaMconv,MATCH(tblCompPuntosCal[[#This Row],[mN4]],MnomDeltaT),MATCH('kU(E)'!$E$6,deltaT,-1))/SQRT(3),""),"")</f>
        <v/>
      </c>
      <c r="AO44" s="62"/>
      <c r="AP44" s="55" t="str">
        <f>IFERROR(VLOOKUP(tblCompPuntosCal[[#This Row],[Punto 5]],tblBD_PatronMasa[[Código Patrón]:[mpe]],4,FALSE),"")</f>
        <v/>
      </c>
      <c r="AQ44" s="55" t="str">
        <f>IFERROR(VLOOKUP(tblCompPuntosCal[[#This Row],[Punto 5]],tblBD_PatronMasa[[Código Patrón]:[mpe]],6,FALSE),"")</f>
        <v/>
      </c>
      <c r="AR44" s="55" t="str">
        <f>IFERROR(VLOOKUP(tblCompPuntosCal[[#This Row],[Punto 5]],tblBD_PatronMasa[[Código Patrón]:[mpe]],7,FALSE),"")</f>
        <v/>
      </c>
      <c r="AS44" s="55" t="str">
        <f>IFERROR(VLOOKUP(tblCompPuntosCal[[#This Row],[Punto 5]],tblBD_PatronMasa[[Código Patrón]:[mpe]],9,FALSE),"")</f>
        <v/>
      </c>
      <c r="AT44" s="66" t="str">
        <f>IF(switch="Sí",IFERROR(VLOOKUP(tblCompPuntosCal[[#This Row],[Punto 5]],'kU(E)'!$AB$7:$AK$56,10,FALSE)*1000,""),IFERROR(VLOOKUP(tblCompPuntosCal[[#This Row],[Punto 5]],'kU(E)'!$AB$7:$AK$56,8,FALSE)*1000,""))</f>
        <v/>
      </c>
      <c r="AU44" s="55" t="str">
        <f>IFERROR(IF('kU(E)'!$E$6&lt;&gt;0,INDEX(deltaMconv,MATCH(tblCompPuntosCal[[#This Row],[mN5]],MnomDeltaT),MATCH('kU(E)'!$E$6,deltaT,-1))/SQRT(3),""),"")</f>
        <v/>
      </c>
      <c r="AV44" s="62"/>
      <c r="AW44" s="59" t="str">
        <f>IFERROR(VLOOKUP(tblCompPuntosCal[[#This Row],[Punto 6]],tblBD_PatronMasa[[Código Patrón]:[mpe]],4,FALSE),"")</f>
        <v/>
      </c>
      <c r="AX44" s="59" t="str">
        <f>IFERROR(VLOOKUP(tblCompPuntosCal[[#This Row],[Punto 6]],tblBD_PatronMasa[[Código Patrón]:[mpe]],6,FALSE),"")</f>
        <v/>
      </c>
      <c r="AY44" s="59" t="str">
        <f>IFERROR(VLOOKUP(tblCompPuntosCal[[#This Row],[Punto 6]],tblBD_PatronMasa[[Código Patrón]:[mpe]],7,FALSE),"")</f>
        <v/>
      </c>
      <c r="AZ44" s="59" t="str">
        <f>IFERROR(VLOOKUP(tblCompPuntosCal[[#This Row],[Punto 6]],tblBD_PatronMasa[[Código Patrón]:[mpe]],9,FALSE),"")</f>
        <v/>
      </c>
      <c r="BA44" s="66" t="str">
        <f>IF(switch="Sí",IFERROR(VLOOKUP(tblCompPuntosCal[[#This Row],[Punto 6]],'kU(E)'!$AB$7:$AK$56,10,FALSE)*1000,""),IFERROR(VLOOKUP(tblCompPuntosCal[[#This Row],[Punto 6]],'kU(E)'!$AB$7:$AK$56,8,FALSE)*1000,""))</f>
        <v/>
      </c>
      <c r="BB44" s="59" t="str">
        <f>IFERROR(IF('kU(E)'!$E$6&lt;&gt;0,INDEX(deltaMconv,MATCH(tblCompPuntosCal[[#This Row],[mN6]],MnomDeltaT),MATCH('kU(E)'!$E$6,deltaT,-1))/SQRT(3),""),"")</f>
        <v/>
      </c>
      <c r="BC44" s="62"/>
      <c r="BD44" s="55" t="str">
        <f>IFERROR(VLOOKUP(tblCompPuntosCal[[#This Row],[Punto 7]],tblBD_PatronMasa[[Código Patrón]:[mpe]],4,FALSE),"")</f>
        <v/>
      </c>
      <c r="BE44" s="55" t="str">
        <f>IFERROR(VLOOKUP(tblCompPuntosCal[[#This Row],[Punto 7]],tblBD_PatronMasa[[Código Patrón]:[mpe]],6,FALSE),"")</f>
        <v/>
      </c>
      <c r="BF44" s="55" t="str">
        <f>IFERROR(VLOOKUP(tblCompPuntosCal[[#This Row],[Punto 7]],tblBD_PatronMasa[[Código Patrón]:[mpe]],7,FALSE),"")</f>
        <v/>
      </c>
      <c r="BG44" s="55" t="str">
        <f>IFERROR(VLOOKUP(tblCompPuntosCal[[#This Row],[Punto 7]],tblBD_PatronMasa[[Código Patrón]:[mpe]],9,FALSE),"")</f>
        <v/>
      </c>
      <c r="BH44" s="66" t="str">
        <f>IF(switch="Sí",IFERROR(VLOOKUP(tblCompPuntosCal[[#This Row],[Punto 7]],'kU(E)'!$AB$7:$AK$56,10,FALSE)*1000,""),IFERROR(VLOOKUP(tblCompPuntosCal[[#This Row],[Punto 7]],'kU(E)'!$AB$7:$AK$56,8,FALSE)*1000,""))</f>
        <v/>
      </c>
      <c r="BI44" s="55" t="str">
        <f>IFERROR(IF('kU(E)'!$E$6&lt;&gt;0,INDEX(deltaMconv,MATCH(tblCompPuntosCal[[#This Row],[mN7]],MnomDeltaT),MATCH('kU(E)'!$E$6,deltaT,-1))/SQRT(3),""),"")</f>
        <v/>
      </c>
      <c r="BJ44" s="62"/>
      <c r="BK44" s="55" t="str">
        <f>IFERROR(VLOOKUP(tblCompPuntosCal[[#This Row],[Punto 8]],tblBD_PatronMasa[[Código Patrón]:[mpe]],4,FALSE),"")</f>
        <v/>
      </c>
      <c r="BL44" s="55" t="str">
        <f>IFERROR(VLOOKUP(tblCompPuntosCal[[#This Row],[Punto 8]],tblBD_PatronMasa[[Código Patrón]:[mpe]],6,FALSE),"")</f>
        <v/>
      </c>
      <c r="BM44" s="55" t="str">
        <f>IFERROR(VLOOKUP(tblCompPuntosCal[[#This Row],[Punto 8]],tblBD_PatronMasa[[Código Patrón]:[mpe]],7,FALSE),"")</f>
        <v/>
      </c>
      <c r="BN44" s="55" t="str">
        <f>IFERROR(VLOOKUP(tblCompPuntosCal[[#This Row],[Punto 8]],tblBD_PatronMasa[[Código Patrón]:[mpe]],9,FALSE),"")</f>
        <v/>
      </c>
      <c r="BO44" s="66" t="str">
        <f>IF(switch="Sí",IFERROR(VLOOKUP(tblCompPuntosCal[[#This Row],[Punto 8]],'kU(E)'!$AB$7:$AK$56,10,FALSE)*1000,""),IFERROR(VLOOKUP(tblCompPuntosCal[[#This Row],[Punto 8]],'kU(E)'!$AB$7:$AK$56,8,FALSE)*1000,""))</f>
        <v/>
      </c>
      <c r="BP44" s="55" t="str">
        <f>IFERROR(IF('kU(E)'!$E$6&lt;&gt;0,INDEX(deltaMconv,MATCH(tblCompPuntosCal[[#This Row],[mN8]],MnomDeltaT),MATCH('kU(E)'!$E$6,deltaT,-1))/SQRT(3),""),"")</f>
        <v/>
      </c>
      <c r="BQ44" s="62"/>
      <c r="BR44" s="55" t="str">
        <f>IFERROR(VLOOKUP(tblCompPuntosCal[[#This Row],[Punto 9]],tblBD_PatronMasa[[Código Patrón]:[mpe]],4,FALSE),"")</f>
        <v/>
      </c>
      <c r="BS44" s="55" t="str">
        <f>IFERROR(VLOOKUP(tblCompPuntosCal[[#This Row],[Punto 9]],tblBD_PatronMasa[[Código Patrón]:[mpe]],6,FALSE),"")</f>
        <v/>
      </c>
      <c r="BT44" s="55" t="str">
        <f>IFERROR(VLOOKUP(tblCompPuntosCal[[#This Row],[Punto 9]],tblBD_PatronMasa[[Código Patrón]:[mpe]],7,FALSE),"")</f>
        <v/>
      </c>
      <c r="BU44" s="55" t="str">
        <f>IFERROR(VLOOKUP(tblCompPuntosCal[[#This Row],[Punto 9]],tblBD_PatronMasa[[Código Patrón]:[mpe]],9,FALSE),"")</f>
        <v/>
      </c>
      <c r="BV44" s="66" t="str">
        <f>IF(switch="Sí",IFERROR(VLOOKUP(tblCompPuntosCal[[#This Row],[Punto 9]],'kU(E)'!$AB$7:$AK$56,10,FALSE)*1000,""),IFERROR(VLOOKUP(tblCompPuntosCal[[#This Row],[Punto 9]],'kU(E)'!$AB$7:$AK$56,8,FALSE)*1000,""))</f>
        <v/>
      </c>
      <c r="BW44" s="55" t="str">
        <f>IFERROR(IF('kU(E)'!$E$6&lt;&gt;0,INDEX(deltaMconv,MATCH(tblCompPuntosCal[[#This Row],[mN9]],MnomDeltaT),MATCH('kU(E)'!$E$6,deltaT,-1))/SQRT(3),""),"")</f>
        <v/>
      </c>
      <c r="BX44" s="62"/>
      <c r="BY44" s="55" t="str">
        <f>IFERROR(VLOOKUP(tblCompPuntosCal[[#This Row],[Punto 10]],tblBD_PatronMasa[[Código Patrón]:[mpe]],4,FALSE),"")</f>
        <v/>
      </c>
      <c r="BZ44" s="55" t="str">
        <f>IFERROR(VLOOKUP(tblCompPuntosCal[[#This Row],[Punto 10]],tblBD_PatronMasa[[Código Patrón]:[mpe]],6,FALSE),"")</f>
        <v/>
      </c>
      <c r="CA44" s="59" t="str">
        <f>IFERROR(VLOOKUP(tblCompPuntosCal[[#This Row],[Punto 10]],tblBD_PatronMasa[[Código Patrón]:[mpe]],7,FALSE),"")</f>
        <v/>
      </c>
      <c r="CB44" s="59" t="str">
        <f>IFERROR(VLOOKUP(tblCompPuntosCal[[#This Row],[Punto 10]],tblBD_PatronMasa[[Código Patrón]:[mpe]],9,FALSE),"")</f>
        <v/>
      </c>
      <c r="CC44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44" s="59" t="str">
        <f>IFERROR(IF('kU(E)'!$E$6&lt;&gt;0,INDEX(deltaMconv,MATCH(tblCompPuntosCal[[#This Row],[mN10]],MnomDeltaT),MATCH('kU(E)'!$E$6,deltaT,-1))/SQRT(3),""),"")</f>
        <v/>
      </c>
      <c r="CG44" s="38">
        <v>40</v>
      </c>
      <c r="CH44" s="35">
        <f>tblCompPuntosCal[[#This Row],[Punto 1]]</f>
        <v>0</v>
      </c>
      <c r="CI44" s="35" t="str">
        <f>IF(tblTrazabilidad[[#This Row],[Código]]=0,"",IFERROR(IF(SEARCH("JM",tblTrazabilidad[[#This Row],[Código]])&gt;0,"Juego de pesas",),"Pesa"))</f>
        <v/>
      </c>
      <c r="CJ44" s="35" t="str">
        <f>IFERROR(VLOOKUP($CH44,tblBD_PatronMasa[[Código Patrón]:[mN-(mpe–U95)]],2,FALSE),"")</f>
        <v/>
      </c>
      <c r="CK44" s="35" t="str">
        <f>IFERROR(VLOOKUP($CH44,tblBD_PatronMasa[[Código Patrón]:[mN-(mpe–U95)]],13,FALSE),"")</f>
        <v/>
      </c>
      <c r="CL44" s="34" t="str">
        <f>IF(tblTrazabilidad[[#This Row],[Clase]]="F2",IFERROR(IF(VLOOKUP($CH44,tblBD_PatronMasa[[Código Patrón]:[mN-(mpe–U95)]],12,FALSE)=0,"",VLOOKUP($CH44,tblBD_PatronMasa[[Código Patrón]:[mN-(mpe–U95)]],12,FALSE)+731),""),IF(tblTrazabilidad[[#This Row],[Clase]]="F1",IFERROR(IF(VLOOKUP($CH44,tblBD_PatronMasa[[Código Patrón]:[mN-(mpe–U95)]],12,FALSE)=0,"",VLOOKUP($CH44,tblBD_PatronMasa[[Código Patrón]:[mN-(mpe–U95)]],12,FALSE)+731),""),IFERROR(IF(VLOOKUP($CH44,tblBD_PatronMasa[[Código Patrón]:[mN-(mpe–U95)]],12,FALSE)=0,"",VLOOKUP($CH44,tblBD_PatronMasa[[Código Patrón]:[mN-(mpe–U95)]],12,FALSE)+366),"")))</f>
        <v/>
      </c>
      <c r="CM44" s="33" t="str">
        <f>IFERROR(VLOOKUP($CH44,tblBD_PatronMasa[[Código Patrón]:[mN-(mpe–U95)]],3,FALSE),"")</f>
        <v/>
      </c>
      <c r="CO44" s="46"/>
      <c r="CP44" s="57" t="str">
        <f>IFERROR(VLOOKUP(CS44,tblTrazabilidad[[Código]:[Próxima calibración]],2,0),"")</f>
        <v/>
      </c>
      <c r="CQ44" s="58" t="str">
        <f>IFERROR(VLOOKUP(CS44,tblTrazabilidad[[Código]:[Clase]],6,0),"")</f>
        <v/>
      </c>
      <c r="CR44" s="57" t="str">
        <f>IFERROR(VLOOKUP(CS44,tblTrazabilidad[[Código]:[Próxima calibración]],3,0),"")</f>
        <v/>
      </c>
      <c r="CS44" s="56" t="str">
        <f t="shared" si="5"/>
        <v/>
      </c>
      <c r="CT44" s="55" t="str">
        <f>IFERROR(IF(VLOOKUP(CS44,tblTrazabilidad[[Código]:[Próxima calibración]],4,0)=0,"",VLOOKUP(CS44,tblTrazabilidad[[Código]:[Próxima calibración]],4,0)),"")</f>
        <v/>
      </c>
      <c r="CU44" s="54" t="str">
        <f>IFERROR(VLOOKUP(CS44,tblTrazabilidad[[Código]:[Próxima calibración]],5,0),"")</f>
        <v/>
      </c>
      <c r="CV44" s="53">
        <f t="shared" si="4"/>
        <v>0</v>
      </c>
      <c r="CW44" s="52" t="str">
        <f>IFERROR(LOOKUP(2,1/(COUNTIF($CW$4:CW43,tblTrazabilidad[Código])=0),tblTrazabilidad[Código]),"")</f>
        <v/>
      </c>
      <c r="DC44" s="1"/>
      <c r="DD44" s="1"/>
      <c r="DF44"/>
      <c r="DG44"/>
    </row>
    <row r="45" spans="2:111" ht="15.6" x14ac:dyDescent="0.3">
      <c r="D45" s="39"/>
      <c r="E45" s="81"/>
      <c r="F45" s="81" t="s">
        <v>150</v>
      </c>
      <c r="G45" s="80" t="str">
        <f t="array" ref="G45">IFERROR(_xlfn.STDEV.S(IF(G40:G44&lt;&gt;0,G40:G44))/SQRT(COUNTIF(G40:G44,"&lt;&gt;0")),"")</f>
        <v/>
      </c>
      <c r="I45" s="45"/>
      <c r="J45" s="45"/>
      <c r="L45" s="8">
        <v>42</v>
      </c>
      <c r="M45" s="62"/>
      <c r="N45" s="59" t="str">
        <f>IFERROR(VLOOKUP(tblCompPuntosCal[[#This Row],[Punto 1]],tblBD_PatronMasa[[Código Patrón]:[mpe]],4,FALSE),"")</f>
        <v/>
      </c>
      <c r="O45" s="59" t="str">
        <f>IFERROR(VLOOKUP(tblCompPuntosCal[[#This Row],[Punto 1]],tblBD_PatronMasa[[Código Patrón]:[mpe]],6,FALSE),"")</f>
        <v/>
      </c>
      <c r="P45" s="55" t="str">
        <f>IFERROR(VLOOKUP(tblCompPuntosCal[[#This Row],[Punto 1]],tblBD_PatronMasa[[Código Patrón]:[mpe]],7,FALSE),"")</f>
        <v/>
      </c>
      <c r="Q45" s="55" t="str">
        <f>IFERROR(VLOOKUP(tblCompPuntosCal[[#This Row],[Punto 1]],tblBD_PatronMasa[[Código Patrón]:[mpe]],9,FALSE),"")</f>
        <v/>
      </c>
      <c r="R45" s="66" t="str">
        <f>IF(switch="Sí",IFERROR(VLOOKUP(tblCompPuntosCal[[#This Row],[Punto 1]],'kU(E)'!$AB$7:$AK$56,10,FALSE)*1000,""),IFERROR(VLOOKUP(tblCompPuntosCal[[#This Row],[Punto 1]],'kU(E)'!$AB$7:$AK$56*1000,8,FALSE),""))</f>
        <v/>
      </c>
      <c r="S45" s="55" t="str">
        <f>IFERROR(IF('kU(E)'!$E$6&lt;&gt;0,INDEX(deltaMconv,MATCH(tblCompPuntosCal[[#This Row],[mN1]],MnomDeltaT),MATCH('kU(E)'!$E$6,deltaT,-1))/SQRT(3),""),"")</f>
        <v/>
      </c>
      <c r="T45" s="62"/>
      <c r="U45" s="55" t="str">
        <f>IFERROR(VLOOKUP(tblCompPuntosCal[[#This Row],[Punto 2]],tblBD_PatronMasa[[Código Patrón]:[mpe]],4,FALSE),"")</f>
        <v/>
      </c>
      <c r="V45" s="55" t="str">
        <f>IFERROR(VLOOKUP(tblCompPuntosCal[[#This Row],[Punto 2]],tblBD_PatronMasa[[Código Patrón]:[mpe]],6,FALSE),"")</f>
        <v/>
      </c>
      <c r="W45" s="55" t="str">
        <f>IFERROR(VLOOKUP(tblCompPuntosCal[[#This Row],[Punto 2]],tblBD_PatronMasa[[Código Patrón]:[mpe]],7,FALSE),"")</f>
        <v/>
      </c>
      <c r="X45" s="55" t="str">
        <f>IFERROR(VLOOKUP(tblCompPuntosCal[[#This Row],[Punto 2]],tblBD_PatronMasa[[Código Patrón]:[mpe]],9,FALSE),"")</f>
        <v/>
      </c>
      <c r="Y45" s="66" t="str">
        <f>IF(switch="Sí",IFERROR(VLOOKUP(tblCompPuntosCal[[#This Row],[Punto 2]],'kU(E)'!$AB$7:$AK$56,10,FALSE)*1000,""),IFERROR(VLOOKUP(tblCompPuntosCal[[#This Row],[Punto 2]],'kU(E)'!$AB$7:$AK$56*1000,8,FALSE),""))</f>
        <v/>
      </c>
      <c r="Z45" s="55" t="str">
        <f>IFERROR(IF('kU(E)'!$E$6&lt;&gt;0,INDEX(deltaMconv,MATCH(tblCompPuntosCal[[#This Row],[mN2]],MnomDeltaT),MATCH('kU(E)'!$E$6,deltaT,-1))/SQRT(3),""),"")</f>
        <v/>
      </c>
      <c r="AA45" s="62"/>
      <c r="AB45" s="55" t="str">
        <f>IFERROR(VLOOKUP(tblCompPuntosCal[[#This Row],[Punto 3]],tblBD_PatronMasa[[Código Patrón]:[mpe]],4,FALSE),"")</f>
        <v/>
      </c>
      <c r="AC45" s="55" t="str">
        <f>IFERROR(VLOOKUP(tblCompPuntosCal[[#This Row],[Punto 3]],tblBD_PatronMasa[[Código Patrón]:[mpe]],6,FALSE),"")</f>
        <v/>
      </c>
      <c r="AD45" s="55" t="str">
        <f>IFERROR(VLOOKUP(tblCompPuntosCal[[#This Row],[Punto 3]],tblBD_PatronMasa[[Código Patrón]:[mpe]],7,FALSE),"")</f>
        <v/>
      </c>
      <c r="AE45" s="55" t="str">
        <f>IFERROR(VLOOKUP(tblCompPuntosCal[[#This Row],[Punto 3]],tblBD_PatronMasa[[Código Patrón]:[mpe]],9,FALSE),"")</f>
        <v/>
      </c>
      <c r="AF45" s="63" t="str">
        <f>IF(switch="Sí",IFERROR(VLOOKUP(tblCompPuntosCal[[#This Row],[Punto 3]],'kU(E)'!$AB$7:$AK$56,10,FALSE)*1000,""),IFERROR(VLOOKUP(tblCompPuntosCal[[#This Row],[Punto 3]],'kU(E)'!$AB$7:$AK$56*1000,8,FALSE),""))</f>
        <v/>
      </c>
      <c r="AG45" s="55" t="str">
        <f>IFERROR(IF('kU(E)'!$E$6&lt;&gt;0,INDEX(deltaMconv,MATCH(tblCompPuntosCal[[#This Row],[mN3]],MnomDeltaT),MATCH('kU(E)'!$E$6,deltaT,-1))/SQRT(3),""),"")</f>
        <v/>
      </c>
      <c r="AH45" s="62"/>
      <c r="AI45" s="55" t="str">
        <f>IFERROR(VLOOKUP(tblCompPuntosCal[[#This Row],[Punto 4]],tblBD_PatronMasa[[Código Patrón]:[mpe]],4,FALSE),"")</f>
        <v/>
      </c>
      <c r="AJ45" s="55" t="str">
        <f>IFERROR(VLOOKUP(tblCompPuntosCal[[#This Row],[Punto 4]],tblBD_PatronMasa[[Código Patrón]:[mpe]],6,FALSE),"")</f>
        <v/>
      </c>
      <c r="AK45" s="55" t="str">
        <f>IFERROR(VLOOKUP(tblCompPuntosCal[[#This Row],[Punto 4]],tblBD_PatronMasa[[Código Patrón]:[mpe]],7,FALSE),"")</f>
        <v/>
      </c>
      <c r="AL45" s="55" t="str">
        <f>IFERROR(VLOOKUP(tblCompPuntosCal[[#This Row],[Punto 4]],tblBD_PatronMasa[[Código Patrón]:[mpe]],9,FALSE),"")</f>
        <v/>
      </c>
      <c r="AM45" s="66" t="str">
        <f>IF(switch="Sí",IFERROR(VLOOKUP(tblCompPuntosCal[[#This Row],[Punto 4]],'kU(E)'!$AB$7:$AK$56,10,FALSE)*1000,""),IFERROR(VLOOKUP(tblCompPuntosCal[[#This Row],[Punto 4]],'kU(E)'!$AB$7:$AK$56,8,FALSE)*1000,""))</f>
        <v/>
      </c>
      <c r="AN45" s="55" t="str">
        <f>IFERROR(IF('kU(E)'!$E$6&lt;&gt;0,INDEX(deltaMconv,MATCH(tblCompPuntosCal[[#This Row],[mN4]],MnomDeltaT),MATCH('kU(E)'!$E$6,deltaT,-1))/SQRT(3),""),"")</f>
        <v/>
      </c>
      <c r="AO45" s="62"/>
      <c r="AP45" s="55" t="str">
        <f>IFERROR(VLOOKUP(tblCompPuntosCal[[#This Row],[Punto 5]],tblBD_PatronMasa[[Código Patrón]:[mpe]],4,FALSE),"")</f>
        <v/>
      </c>
      <c r="AQ45" s="55" t="str">
        <f>IFERROR(VLOOKUP(tblCompPuntosCal[[#This Row],[Punto 5]],tblBD_PatronMasa[[Código Patrón]:[mpe]],6,FALSE),"")</f>
        <v/>
      </c>
      <c r="AR45" s="55" t="str">
        <f>IFERROR(VLOOKUP(tblCompPuntosCal[[#This Row],[Punto 5]],tblBD_PatronMasa[[Código Patrón]:[mpe]],7,FALSE),"")</f>
        <v/>
      </c>
      <c r="AS45" s="55" t="str">
        <f>IFERROR(VLOOKUP(tblCompPuntosCal[[#This Row],[Punto 5]],tblBD_PatronMasa[[Código Patrón]:[mpe]],9,FALSE),"")</f>
        <v/>
      </c>
      <c r="AT45" s="66" t="str">
        <f>IF(switch="Sí",IFERROR(VLOOKUP(tblCompPuntosCal[[#This Row],[Punto 5]],'kU(E)'!$AB$7:$AK$56,10,FALSE)*1000,""),IFERROR(VLOOKUP(tblCompPuntosCal[[#This Row],[Punto 5]],'kU(E)'!$AB$7:$AK$56,8,FALSE)*1000,""))</f>
        <v/>
      </c>
      <c r="AU45" s="55" t="str">
        <f>IFERROR(IF('kU(E)'!$E$6&lt;&gt;0,INDEX(deltaMconv,MATCH(tblCompPuntosCal[[#This Row],[mN5]],MnomDeltaT),MATCH('kU(E)'!$E$6,deltaT,-1))/SQRT(3),""),"")</f>
        <v/>
      </c>
      <c r="AV45" s="62"/>
      <c r="AW45" s="59" t="str">
        <f>IFERROR(VLOOKUP(tblCompPuntosCal[[#This Row],[Punto 6]],tblBD_PatronMasa[[Código Patrón]:[mpe]],4,FALSE),"")</f>
        <v/>
      </c>
      <c r="AX45" s="59" t="str">
        <f>IFERROR(VLOOKUP(tblCompPuntosCal[[#This Row],[Punto 6]],tblBD_PatronMasa[[Código Patrón]:[mpe]],6,FALSE),"")</f>
        <v/>
      </c>
      <c r="AY45" s="59" t="str">
        <f>IFERROR(VLOOKUP(tblCompPuntosCal[[#This Row],[Punto 6]],tblBD_PatronMasa[[Código Patrón]:[mpe]],7,FALSE),"")</f>
        <v/>
      </c>
      <c r="AZ45" s="59" t="str">
        <f>IFERROR(VLOOKUP(tblCompPuntosCal[[#This Row],[Punto 6]],tblBD_PatronMasa[[Código Patrón]:[mpe]],9,FALSE),"")</f>
        <v/>
      </c>
      <c r="BA45" s="66" t="str">
        <f>IF(switch="Sí",IFERROR(VLOOKUP(tblCompPuntosCal[[#This Row],[Punto 6]],'kU(E)'!$AB$7:$AK$56,10,FALSE)*1000,""),IFERROR(VLOOKUP(tblCompPuntosCal[[#This Row],[Punto 6]],'kU(E)'!$AB$7:$AK$56,8,FALSE)*1000,""))</f>
        <v/>
      </c>
      <c r="BB45" s="59" t="str">
        <f>IFERROR(IF('kU(E)'!$E$6&lt;&gt;0,INDEX(deltaMconv,MATCH(tblCompPuntosCal[[#This Row],[mN6]],MnomDeltaT),MATCH('kU(E)'!$E$6,deltaT,-1))/SQRT(3),""),"")</f>
        <v/>
      </c>
      <c r="BC45" s="62"/>
      <c r="BD45" s="55" t="str">
        <f>IFERROR(VLOOKUP(tblCompPuntosCal[[#This Row],[Punto 7]],tblBD_PatronMasa[[Código Patrón]:[mpe]],4,FALSE),"")</f>
        <v/>
      </c>
      <c r="BE45" s="55" t="str">
        <f>IFERROR(VLOOKUP(tblCompPuntosCal[[#This Row],[Punto 7]],tblBD_PatronMasa[[Código Patrón]:[mpe]],6,FALSE),"")</f>
        <v/>
      </c>
      <c r="BF45" s="55" t="str">
        <f>IFERROR(VLOOKUP(tblCompPuntosCal[[#This Row],[Punto 7]],tblBD_PatronMasa[[Código Patrón]:[mpe]],7,FALSE),"")</f>
        <v/>
      </c>
      <c r="BG45" s="55" t="str">
        <f>IFERROR(VLOOKUP(tblCompPuntosCal[[#This Row],[Punto 7]],tblBD_PatronMasa[[Código Patrón]:[mpe]],9,FALSE),"")</f>
        <v/>
      </c>
      <c r="BH45" s="66" t="str">
        <f>IF(switch="Sí",IFERROR(VLOOKUP(tblCompPuntosCal[[#This Row],[Punto 7]],'kU(E)'!$AB$7:$AK$56,10,FALSE)*1000,""),IFERROR(VLOOKUP(tblCompPuntosCal[[#This Row],[Punto 7]],'kU(E)'!$AB$7:$AK$56,8,FALSE)*1000,""))</f>
        <v/>
      </c>
      <c r="BI45" s="55" t="str">
        <f>IFERROR(IF('kU(E)'!$E$6&lt;&gt;0,INDEX(deltaMconv,MATCH(tblCompPuntosCal[[#This Row],[mN7]],MnomDeltaT),MATCH('kU(E)'!$E$6,deltaT,-1))/SQRT(3),""),"")</f>
        <v/>
      </c>
      <c r="BJ45" s="62"/>
      <c r="BK45" s="55" t="str">
        <f>IFERROR(VLOOKUP(tblCompPuntosCal[[#This Row],[Punto 8]],tblBD_PatronMasa[[Código Patrón]:[mpe]],4,FALSE),"")</f>
        <v/>
      </c>
      <c r="BL45" s="55" t="str">
        <f>IFERROR(VLOOKUP(tblCompPuntosCal[[#This Row],[Punto 8]],tblBD_PatronMasa[[Código Patrón]:[mpe]],6,FALSE),"")</f>
        <v/>
      </c>
      <c r="BM45" s="55" t="str">
        <f>IFERROR(VLOOKUP(tblCompPuntosCal[[#This Row],[Punto 8]],tblBD_PatronMasa[[Código Patrón]:[mpe]],7,FALSE),"")</f>
        <v/>
      </c>
      <c r="BN45" s="55" t="str">
        <f>IFERROR(VLOOKUP(tblCompPuntosCal[[#This Row],[Punto 8]],tblBD_PatronMasa[[Código Patrón]:[mpe]],9,FALSE),"")</f>
        <v/>
      </c>
      <c r="BO45" s="66" t="str">
        <f>IF(switch="Sí",IFERROR(VLOOKUP(tblCompPuntosCal[[#This Row],[Punto 8]],'kU(E)'!$AB$7:$AK$56,10,FALSE)*1000,""),IFERROR(VLOOKUP(tblCompPuntosCal[[#This Row],[Punto 8]],'kU(E)'!$AB$7:$AK$56,8,FALSE)*1000,""))</f>
        <v/>
      </c>
      <c r="BP45" s="55" t="str">
        <f>IFERROR(IF('kU(E)'!$E$6&lt;&gt;0,INDEX(deltaMconv,MATCH(tblCompPuntosCal[[#This Row],[mN8]],MnomDeltaT),MATCH('kU(E)'!$E$6,deltaT,-1))/SQRT(3),""),"")</f>
        <v/>
      </c>
      <c r="BQ45" s="62"/>
      <c r="BR45" s="55" t="str">
        <f>IFERROR(VLOOKUP(tblCompPuntosCal[[#This Row],[Punto 9]],tblBD_PatronMasa[[Código Patrón]:[mpe]],4,FALSE),"")</f>
        <v/>
      </c>
      <c r="BS45" s="55" t="str">
        <f>IFERROR(VLOOKUP(tblCompPuntosCal[[#This Row],[Punto 9]],tblBD_PatronMasa[[Código Patrón]:[mpe]],6,FALSE),"")</f>
        <v/>
      </c>
      <c r="BT45" s="55" t="str">
        <f>IFERROR(VLOOKUP(tblCompPuntosCal[[#This Row],[Punto 9]],tblBD_PatronMasa[[Código Patrón]:[mpe]],7,FALSE),"")</f>
        <v/>
      </c>
      <c r="BU45" s="55" t="str">
        <f>IFERROR(VLOOKUP(tblCompPuntosCal[[#This Row],[Punto 9]],tblBD_PatronMasa[[Código Patrón]:[mpe]],9,FALSE),"")</f>
        <v/>
      </c>
      <c r="BV45" s="66" t="str">
        <f>IF(switch="Sí",IFERROR(VLOOKUP(tblCompPuntosCal[[#This Row],[Punto 9]],'kU(E)'!$AB$7:$AK$56,10,FALSE)*1000,""),IFERROR(VLOOKUP(tblCompPuntosCal[[#This Row],[Punto 9]],'kU(E)'!$AB$7:$AK$56,8,FALSE)*1000,""))</f>
        <v/>
      </c>
      <c r="BW45" s="55" t="str">
        <f>IFERROR(IF('kU(E)'!$E$6&lt;&gt;0,INDEX(deltaMconv,MATCH(tblCompPuntosCal[[#This Row],[mN9]],MnomDeltaT),MATCH('kU(E)'!$E$6,deltaT,-1))/SQRT(3),""),"")</f>
        <v/>
      </c>
      <c r="BX45" s="62"/>
      <c r="BY45" s="55" t="str">
        <f>IFERROR(VLOOKUP(tblCompPuntosCal[[#This Row],[Punto 10]],tblBD_PatronMasa[[Código Patrón]:[mpe]],4,FALSE),"")</f>
        <v/>
      </c>
      <c r="BZ45" s="55" t="str">
        <f>IFERROR(VLOOKUP(tblCompPuntosCal[[#This Row],[Punto 10]],tblBD_PatronMasa[[Código Patrón]:[mpe]],6,FALSE),"")</f>
        <v/>
      </c>
      <c r="CA45" s="59" t="str">
        <f>IFERROR(VLOOKUP(tblCompPuntosCal[[#This Row],[Punto 10]],tblBD_PatronMasa[[Código Patrón]:[mpe]],7,FALSE),"")</f>
        <v/>
      </c>
      <c r="CB45" s="59" t="str">
        <f>IFERROR(VLOOKUP(tblCompPuntosCal[[#This Row],[Punto 10]],tblBD_PatronMasa[[Código Patrón]:[mpe]],9,FALSE),"")</f>
        <v/>
      </c>
      <c r="CC45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45" s="59" t="str">
        <f>IFERROR(IF('kU(E)'!$E$6&lt;&gt;0,INDEX(deltaMconv,MATCH(tblCompPuntosCal[[#This Row],[mN10]],MnomDeltaT),MATCH('kU(E)'!$E$6,deltaT,-1))/SQRT(3),""),"")</f>
        <v/>
      </c>
      <c r="CG45" s="38">
        <v>41</v>
      </c>
      <c r="CH45" s="35">
        <f>tblCompPuntosCal[[#This Row],[Punto 1]]</f>
        <v>0</v>
      </c>
      <c r="CI45" s="35" t="str">
        <f>IF(tblTrazabilidad[[#This Row],[Código]]=0,"",IFERROR(IF(SEARCH("JM",tblTrazabilidad[[#This Row],[Código]])&gt;0,"Juego de pesas",),"Pesa"))</f>
        <v/>
      </c>
      <c r="CJ45" s="35" t="str">
        <f>IFERROR(VLOOKUP($CH45,tblBD_PatronMasa[[Código Patrón]:[mN-(mpe–U95)]],2,FALSE),"")</f>
        <v/>
      </c>
      <c r="CK45" s="35" t="str">
        <f>IFERROR(VLOOKUP($CH45,tblBD_PatronMasa[[Código Patrón]:[mN-(mpe–U95)]],13,FALSE),"")</f>
        <v/>
      </c>
      <c r="CL45" s="34" t="str">
        <f>IF(tblTrazabilidad[[#This Row],[Clase]]="F2",IFERROR(IF(VLOOKUP($CH45,tblBD_PatronMasa[[Código Patrón]:[mN-(mpe–U95)]],12,FALSE)=0,"",VLOOKUP($CH45,tblBD_PatronMasa[[Código Patrón]:[mN-(mpe–U95)]],12,FALSE)+731),""),IF(tblTrazabilidad[[#This Row],[Clase]]="F1",IFERROR(IF(VLOOKUP($CH45,tblBD_PatronMasa[[Código Patrón]:[mN-(mpe–U95)]],12,FALSE)=0,"",VLOOKUP($CH45,tblBD_PatronMasa[[Código Patrón]:[mN-(mpe–U95)]],12,FALSE)+731),""),IFERROR(IF(VLOOKUP($CH45,tblBD_PatronMasa[[Código Patrón]:[mN-(mpe–U95)]],12,FALSE)=0,"",VLOOKUP($CH45,tblBD_PatronMasa[[Código Patrón]:[mN-(mpe–U95)]],12,FALSE)+366),"")))</f>
        <v/>
      </c>
      <c r="CM45" s="33" t="str">
        <f>IFERROR(VLOOKUP($CH45,tblBD_PatronMasa[[Código Patrón]:[mN-(mpe–U95)]],3,FALSE),"")</f>
        <v/>
      </c>
      <c r="CO45" s="46"/>
      <c r="CP45" s="57" t="str">
        <f>IFERROR(VLOOKUP(CS45,tblTrazabilidad[[Código]:[Próxima calibración]],2,0),"")</f>
        <v/>
      </c>
      <c r="CQ45" s="58" t="str">
        <f>IFERROR(VLOOKUP(CS45,tblTrazabilidad[[Código]:[Clase]],6,0),"")</f>
        <v/>
      </c>
      <c r="CR45" s="57" t="str">
        <f>IFERROR(VLOOKUP(CS45,tblTrazabilidad[[Código]:[Próxima calibración]],3,0),"")</f>
        <v/>
      </c>
      <c r="CS45" s="56" t="str">
        <f t="shared" si="5"/>
        <v/>
      </c>
      <c r="CT45" s="55" t="str">
        <f>IFERROR(IF(VLOOKUP(CS45,tblTrazabilidad[[Código]:[Próxima calibración]],4,0)=0,"",VLOOKUP(CS45,tblTrazabilidad[[Código]:[Próxima calibración]],4,0)),"")</f>
        <v/>
      </c>
      <c r="CU45" s="54" t="str">
        <f>IFERROR(VLOOKUP(CS45,tblTrazabilidad[[Código]:[Próxima calibración]],5,0),"")</f>
        <v/>
      </c>
      <c r="CV45" s="53">
        <f t="shared" si="4"/>
        <v>0</v>
      </c>
      <c r="CW45" s="52" t="str">
        <f>IFERROR(LOOKUP(2,1/(COUNTIF($CW$4:CW44,tblTrazabilidad[Código])=0),tblTrazabilidad[Código]),"")</f>
        <v/>
      </c>
      <c r="DC45" s="1"/>
      <c r="DD45" s="1"/>
      <c r="DF45"/>
      <c r="DG45"/>
    </row>
    <row r="46" spans="2:111" x14ac:dyDescent="0.3">
      <c r="I46" s="45"/>
      <c r="J46" s="45"/>
      <c r="L46" s="8">
        <v>43</v>
      </c>
      <c r="M46" s="62"/>
      <c r="N46" s="59" t="str">
        <f>IFERROR(VLOOKUP(tblCompPuntosCal[[#This Row],[Punto 1]],tblBD_PatronMasa[[Código Patrón]:[mpe]],4,FALSE),"")</f>
        <v/>
      </c>
      <c r="O46" s="59" t="str">
        <f>IFERROR(VLOOKUP(tblCompPuntosCal[[#This Row],[Punto 1]],tblBD_PatronMasa[[Código Patrón]:[mpe]],6,FALSE),"")</f>
        <v/>
      </c>
      <c r="P46" s="55" t="str">
        <f>IFERROR(VLOOKUP(tblCompPuntosCal[[#This Row],[Punto 1]],tblBD_PatronMasa[[Código Patrón]:[mpe]],7,FALSE),"")</f>
        <v/>
      </c>
      <c r="Q46" s="55" t="str">
        <f>IFERROR(VLOOKUP(tblCompPuntosCal[[#This Row],[Punto 1]],tblBD_PatronMasa[[Código Patrón]:[mpe]],9,FALSE),"")</f>
        <v/>
      </c>
      <c r="R46" s="66" t="str">
        <f>IF(switch="Sí",IFERROR(VLOOKUP(tblCompPuntosCal[[#This Row],[Punto 1]],'kU(E)'!$AB$7:$AK$56,10,FALSE)*1000,""),IFERROR(VLOOKUP(tblCompPuntosCal[[#This Row],[Punto 1]],'kU(E)'!$AB$7:$AK$56*1000,8,FALSE),""))</f>
        <v/>
      </c>
      <c r="S46" s="55" t="str">
        <f>IFERROR(IF('kU(E)'!$E$6&lt;&gt;0,INDEX(deltaMconv,MATCH(tblCompPuntosCal[[#This Row],[mN1]],MnomDeltaT),MATCH('kU(E)'!$E$6,deltaT,-1))/SQRT(3),""),"")</f>
        <v/>
      </c>
      <c r="T46" s="62"/>
      <c r="U46" s="55" t="str">
        <f>IFERROR(VLOOKUP(tblCompPuntosCal[[#This Row],[Punto 2]],tblBD_PatronMasa[[Código Patrón]:[mpe]],4,FALSE),"")</f>
        <v/>
      </c>
      <c r="V46" s="55" t="str">
        <f>IFERROR(VLOOKUP(tblCompPuntosCal[[#This Row],[Punto 2]],tblBD_PatronMasa[[Código Patrón]:[mpe]],6,FALSE),"")</f>
        <v/>
      </c>
      <c r="W46" s="55" t="str">
        <f>IFERROR(VLOOKUP(tblCompPuntosCal[[#This Row],[Punto 2]],tblBD_PatronMasa[[Código Patrón]:[mpe]],7,FALSE),"")</f>
        <v/>
      </c>
      <c r="X46" s="55" t="str">
        <f>IFERROR(VLOOKUP(tblCompPuntosCal[[#This Row],[Punto 2]],tblBD_PatronMasa[[Código Patrón]:[mpe]],9,FALSE),"")</f>
        <v/>
      </c>
      <c r="Y46" s="66" t="str">
        <f>IF(switch="Sí",IFERROR(VLOOKUP(tblCompPuntosCal[[#This Row],[Punto 2]],'kU(E)'!$AB$7:$AK$56,10,FALSE)*1000,""),IFERROR(VLOOKUP(tblCompPuntosCal[[#This Row],[Punto 2]],'kU(E)'!$AB$7:$AK$56*1000,8,FALSE),""))</f>
        <v/>
      </c>
      <c r="Z46" s="55" t="str">
        <f>IFERROR(IF('kU(E)'!$E$6&lt;&gt;0,INDEX(deltaMconv,MATCH(tblCompPuntosCal[[#This Row],[mN2]],MnomDeltaT),MATCH('kU(E)'!$E$6,deltaT,-1))/SQRT(3),""),"")</f>
        <v/>
      </c>
      <c r="AA46" s="62"/>
      <c r="AB46" s="55" t="str">
        <f>IFERROR(VLOOKUP(tblCompPuntosCal[[#This Row],[Punto 3]],tblBD_PatronMasa[[Código Patrón]:[mpe]],4,FALSE),"")</f>
        <v/>
      </c>
      <c r="AC46" s="55" t="str">
        <f>IFERROR(VLOOKUP(tblCompPuntosCal[[#This Row],[Punto 3]],tblBD_PatronMasa[[Código Patrón]:[mpe]],6,FALSE),"")</f>
        <v/>
      </c>
      <c r="AD46" s="67" t="str">
        <f>IFERROR(VLOOKUP(tblCompPuntosCal[[#This Row],[Punto 3]],tblBD_PatronMasa[[Código Patrón]:[mpe]],7,FALSE),"")</f>
        <v/>
      </c>
      <c r="AE46" s="67" t="str">
        <f>IFERROR(VLOOKUP(tblCompPuntosCal[[#This Row],[Punto 3]],tblBD_PatronMasa[[Código Patrón]:[mpe]],9,FALSE),"")</f>
        <v/>
      </c>
      <c r="AF46" s="63" t="str">
        <f>IF(switch="Sí",IFERROR(VLOOKUP(tblCompPuntosCal[[#This Row],[Punto 3]],'kU(E)'!$AB$7:$AK$56,10,FALSE)*1000,""),IFERROR(VLOOKUP(tblCompPuntosCal[[#This Row],[Punto 3]],'kU(E)'!$AB$7:$AK$56*1000,8,FALSE),""))</f>
        <v/>
      </c>
      <c r="AG46" s="67" t="str">
        <f>IFERROR(IF('kU(E)'!$E$6&lt;&gt;0,INDEX(deltaMconv,MATCH(tblCompPuntosCal[[#This Row],[mN3]],MnomDeltaT),MATCH('kU(E)'!$E$6,deltaT,-1))/SQRT(3),""),"")</f>
        <v/>
      </c>
      <c r="AH46" s="62"/>
      <c r="AI46" s="67" t="str">
        <f>IFERROR(VLOOKUP(tblCompPuntosCal[[#This Row],[Punto 4]],tblBD_PatronMasa[[Código Patrón]:[mpe]],4,FALSE),"")</f>
        <v/>
      </c>
      <c r="AJ46" s="55" t="str">
        <f>IFERROR(VLOOKUP(tblCompPuntosCal[[#This Row],[Punto 4]],tblBD_PatronMasa[[Código Patrón]:[mpe]],6,FALSE),"")</f>
        <v/>
      </c>
      <c r="AK46" s="55" t="str">
        <f>IFERROR(VLOOKUP(tblCompPuntosCal[[#This Row],[Punto 4]],tblBD_PatronMasa[[Código Patrón]:[mpe]],7,FALSE),"")</f>
        <v/>
      </c>
      <c r="AL46" s="55" t="str">
        <f>IFERROR(VLOOKUP(tblCompPuntosCal[[#This Row],[Punto 4]],tblBD_PatronMasa[[Código Patrón]:[mpe]],9,FALSE),"")</f>
        <v/>
      </c>
      <c r="AM46" s="66" t="str">
        <f>IF(switch="Sí",IFERROR(VLOOKUP(tblCompPuntosCal[[#This Row],[Punto 4]],'kU(E)'!$AB$7:$AK$56,10,FALSE)*1000,""),IFERROR(VLOOKUP(tblCompPuntosCal[[#This Row],[Punto 4]],'kU(E)'!$AB$7:$AK$56,8,FALSE)*1000,""))</f>
        <v/>
      </c>
      <c r="AN46" s="55" t="str">
        <f>IFERROR(IF('kU(E)'!$E$6&lt;&gt;0,INDEX(deltaMconv,MATCH(tblCompPuntosCal[[#This Row],[mN4]],MnomDeltaT),MATCH('kU(E)'!$E$6,deltaT,-1))/SQRT(3),""),"")</f>
        <v/>
      </c>
      <c r="AO46" s="62"/>
      <c r="AP46" s="55" t="str">
        <f>IFERROR(VLOOKUP(tblCompPuntosCal[[#This Row],[Punto 5]],tblBD_PatronMasa[[Código Patrón]:[mpe]],4,FALSE),"")</f>
        <v/>
      </c>
      <c r="AQ46" s="55" t="str">
        <f>IFERROR(VLOOKUP(tblCompPuntosCal[[#This Row],[Punto 5]],tblBD_PatronMasa[[Código Patrón]:[mpe]],6,FALSE),"")</f>
        <v/>
      </c>
      <c r="AR46" s="55" t="str">
        <f>IFERROR(VLOOKUP(tblCompPuntosCal[[#This Row],[Punto 5]],tblBD_PatronMasa[[Código Patrón]:[mpe]],7,FALSE),"")</f>
        <v/>
      </c>
      <c r="AS46" s="55" t="str">
        <f>IFERROR(VLOOKUP(tblCompPuntosCal[[#This Row],[Punto 5]],tblBD_PatronMasa[[Código Patrón]:[mpe]],9,FALSE),"")</f>
        <v/>
      </c>
      <c r="AT46" s="66" t="str">
        <f>IF(switch="Sí",IFERROR(VLOOKUP(tblCompPuntosCal[[#This Row],[Punto 5]],'kU(E)'!$AB$7:$AK$56,10,FALSE)*1000,""),IFERROR(VLOOKUP(tblCompPuntosCal[[#This Row],[Punto 5]],'kU(E)'!$AB$7:$AK$56,8,FALSE)*1000,""))</f>
        <v/>
      </c>
      <c r="AU46" s="55" t="str">
        <f>IFERROR(IF('kU(E)'!$E$6&lt;&gt;0,INDEX(deltaMconv,MATCH(tblCompPuntosCal[[#This Row],[mN5]],MnomDeltaT),MATCH('kU(E)'!$E$6,deltaT,-1))/SQRT(3),""),"")</f>
        <v/>
      </c>
      <c r="AV46" s="62"/>
      <c r="AW46" s="55" t="str">
        <f>IFERROR(VLOOKUP(tblCompPuntosCal[[#This Row],[Punto 6]],tblBD_PatronMasa[[Código Patrón]:[mpe]],4,FALSE),"")</f>
        <v/>
      </c>
      <c r="AX46" s="55" t="str">
        <f>IFERROR(VLOOKUP(tblCompPuntosCal[[#This Row],[Punto 6]],tblBD_PatronMasa[[Código Patrón]:[mpe]],6,FALSE),"")</f>
        <v/>
      </c>
      <c r="AY46" s="55" t="str">
        <f>IFERROR(VLOOKUP(tblCompPuntosCal[[#This Row],[Punto 6]],tblBD_PatronMasa[[Código Patrón]:[mpe]],7,FALSE),"")</f>
        <v/>
      </c>
      <c r="AZ46" s="55" t="str">
        <f>IFERROR(VLOOKUP(tblCompPuntosCal[[#This Row],[Punto 6]],tblBD_PatronMasa[[Código Patrón]:[mpe]],9,FALSE),"")</f>
        <v/>
      </c>
      <c r="BA46" s="66" t="str">
        <f>IF(switch="Sí",IFERROR(VLOOKUP(tblCompPuntosCal[[#This Row],[Punto 6]],'kU(E)'!$AB$7:$AK$56,10,FALSE)*1000,""),IFERROR(VLOOKUP(tblCompPuntosCal[[#This Row],[Punto 6]],'kU(E)'!$AB$7:$AK$56,8,FALSE)*1000,""))</f>
        <v/>
      </c>
      <c r="BB46" s="55" t="str">
        <f>IFERROR(IF('kU(E)'!$E$6&lt;&gt;0,INDEX(deltaMconv,MATCH(tblCompPuntosCal[[#This Row],[mN6]],MnomDeltaT),MATCH('kU(E)'!$E$6,deltaT,-1))/SQRT(3),""),"")</f>
        <v/>
      </c>
      <c r="BC46" s="62"/>
      <c r="BD46" s="55" t="str">
        <f>IFERROR(VLOOKUP(tblCompPuntosCal[[#This Row],[Punto 7]],tblBD_PatronMasa[[Código Patrón]:[mpe]],4,FALSE),"")</f>
        <v/>
      </c>
      <c r="BE46" s="55" t="str">
        <f>IFERROR(VLOOKUP(tblCompPuntosCal[[#This Row],[Punto 7]],tblBD_PatronMasa[[Código Patrón]:[mpe]],6,FALSE),"")</f>
        <v/>
      </c>
      <c r="BF46" s="55" t="str">
        <f>IFERROR(VLOOKUP(tblCompPuntosCal[[#This Row],[Punto 7]],tblBD_PatronMasa[[Código Patrón]:[mpe]],7,FALSE),"")</f>
        <v/>
      </c>
      <c r="BG46" s="55" t="str">
        <f>IFERROR(VLOOKUP(tblCompPuntosCal[[#This Row],[Punto 7]],tblBD_PatronMasa[[Código Patrón]:[mpe]],9,FALSE),"")</f>
        <v/>
      </c>
      <c r="BH46" s="66" t="str">
        <f>IF(switch="Sí",IFERROR(VLOOKUP(tblCompPuntosCal[[#This Row],[Punto 7]],'kU(E)'!$AB$7:$AK$56,10,FALSE)*1000,""),IFERROR(VLOOKUP(tblCompPuntosCal[[#This Row],[Punto 7]],'kU(E)'!$AB$7:$AK$56,8,FALSE)*1000,""))</f>
        <v/>
      </c>
      <c r="BI46" s="55" t="str">
        <f>IFERROR(IF('kU(E)'!$E$6&lt;&gt;0,INDEX(deltaMconv,MATCH(tblCompPuntosCal[[#This Row],[mN7]],MnomDeltaT),MATCH('kU(E)'!$E$6,deltaT,-1))/SQRT(3),""),"")</f>
        <v/>
      </c>
      <c r="BJ46" s="62"/>
      <c r="BK46" s="55" t="str">
        <f>IFERROR(VLOOKUP(tblCompPuntosCal[[#This Row],[Punto 8]],tblBD_PatronMasa[[Código Patrón]:[mpe]],4,FALSE),"")</f>
        <v/>
      </c>
      <c r="BL46" s="55" t="str">
        <f>IFERROR(VLOOKUP(tblCompPuntosCal[[#This Row],[Punto 8]],tblBD_PatronMasa[[Código Patrón]:[mpe]],6,FALSE),"")</f>
        <v/>
      </c>
      <c r="BM46" s="55" t="str">
        <f>IFERROR(VLOOKUP(tblCompPuntosCal[[#This Row],[Punto 8]],tblBD_PatronMasa[[Código Patrón]:[mpe]],7,FALSE),"")</f>
        <v/>
      </c>
      <c r="BN46" s="55" t="str">
        <f>IFERROR(VLOOKUP(tblCompPuntosCal[[#This Row],[Punto 8]],tblBD_PatronMasa[[Código Patrón]:[mpe]],9,FALSE),"")</f>
        <v/>
      </c>
      <c r="BO46" s="66" t="str">
        <f>IF(switch="Sí",IFERROR(VLOOKUP(tblCompPuntosCal[[#This Row],[Punto 8]],'kU(E)'!$AB$7:$AK$56,10,FALSE)*1000,""),IFERROR(VLOOKUP(tblCompPuntosCal[[#This Row],[Punto 8]],'kU(E)'!$AB$7:$AK$56,8,FALSE)*1000,""))</f>
        <v/>
      </c>
      <c r="BP46" s="55" t="str">
        <f>IFERROR(IF('kU(E)'!$E$6&lt;&gt;0,INDEX(deltaMconv,MATCH(tblCompPuntosCal[[#This Row],[mN8]],MnomDeltaT),MATCH('kU(E)'!$E$6,deltaT,-1))/SQRT(3),""),"")</f>
        <v/>
      </c>
      <c r="BQ46" s="62"/>
      <c r="BR46" s="55" t="str">
        <f>IFERROR(VLOOKUP(tblCompPuntosCal[[#This Row],[Punto 9]],tblBD_PatronMasa[[Código Patrón]:[mpe]],4,FALSE),"")</f>
        <v/>
      </c>
      <c r="BS46" s="55" t="str">
        <f>IFERROR(VLOOKUP(tblCompPuntosCal[[#This Row],[Punto 9]],tblBD_PatronMasa[[Código Patrón]:[mpe]],6,FALSE),"")</f>
        <v/>
      </c>
      <c r="BT46" s="55" t="str">
        <f>IFERROR(VLOOKUP(tblCompPuntosCal[[#This Row],[Punto 9]],tblBD_PatronMasa[[Código Patrón]:[mpe]],7,FALSE),"")</f>
        <v/>
      </c>
      <c r="BU46" s="55" t="str">
        <f>IFERROR(VLOOKUP(tblCompPuntosCal[[#This Row],[Punto 9]],tblBD_PatronMasa[[Código Patrón]:[mpe]],9,FALSE),"")</f>
        <v/>
      </c>
      <c r="BV46" s="66" t="str">
        <f>IF(switch="Sí",IFERROR(VLOOKUP(tblCompPuntosCal[[#This Row],[Punto 9]],'kU(E)'!$AB$7:$AK$56,10,FALSE)*1000,""),IFERROR(VLOOKUP(tblCompPuntosCal[[#This Row],[Punto 9]],'kU(E)'!$AB$7:$AK$56,8,FALSE)*1000,""))</f>
        <v/>
      </c>
      <c r="BW46" s="55" t="str">
        <f>IFERROR(IF('kU(E)'!$E$6&lt;&gt;0,INDEX(deltaMconv,MATCH(tblCompPuntosCal[[#This Row],[mN9]],MnomDeltaT),MATCH('kU(E)'!$E$6,deltaT,-1))/SQRT(3),""),"")</f>
        <v/>
      </c>
      <c r="BX46" s="62"/>
      <c r="BY46" s="55" t="str">
        <f>IFERROR(VLOOKUP(tblCompPuntosCal[[#This Row],[Punto 10]],tblBD_PatronMasa[[Código Patrón]:[mpe]],4,FALSE),"")</f>
        <v/>
      </c>
      <c r="BZ46" s="55" t="str">
        <f>IFERROR(VLOOKUP(tblCompPuntosCal[[#This Row],[Punto 10]],tblBD_PatronMasa[[Código Patrón]:[mpe]],6,FALSE),"")</f>
        <v/>
      </c>
      <c r="CA46" s="59" t="str">
        <f>IFERROR(VLOOKUP(tblCompPuntosCal[[#This Row],[Punto 10]],tblBD_PatronMasa[[Código Patrón]:[mpe]],7,FALSE),"")</f>
        <v/>
      </c>
      <c r="CB46" s="59" t="str">
        <f>IFERROR(VLOOKUP(tblCompPuntosCal[[#This Row],[Punto 10]],tblBD_PatronMasa[[Código Patrón]:[mpe]],9,FALSE),"")</f>
        <v/>
      </c>
      <c r="CC46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46" s="59" t="str">
        <f>IFERROR(IF('kU(E)'!$E$6&lt;&gt;0,INDEX(deltaMconv,MATCH(tblCompPuntosCal[[#This Row],[mN10]],MnomDeltaT),MATCH('kU(E)'!$E$6,deltaT,-1))/SQRT(3),""),"")</f>
        <v/>
      </c>
      <c r="CG46" s="38">
        <v>42</v>
      </c>
      <c r="CH46" s="35">
        <f>tblCompPuntosCal[[#This Row],[Punto 1]]</f>
        <v>0</v>
      </c>
      <c r="CI46" s="35" t="str">
        <f>IF(tblTrazabilidad[[#This Row],[Código]]=0,"",IFERROR(IF(SEARCH("JM",tblTrazabilidad[[#This Row],[Código]])&gt;0,"Juego de pesas",),"Pesa"))</f>
        <v/>
      </c>
      <c r="CJ46" s="35" t="str">
        <f>IFERROR(VLOOKUP($CH46,tblBD_PatronMasa[[Código Patrón]:[mN-(mpe–U95)]],2,FALSE),"")</f>
        <v/>
      </c>
      <c r="CK46" s="35" t="str">
        <f>IFERROR(VLOOKUP($CH46,tblBD_PatronMasa[[Código Patrón]:[mN-(mpe–U95)]],13,FALSE),"")</f>
        <v/>
      </c>
      <c r="CL46" s="34" t="str">
        <f>IF(tblTrazabilidad[[#This Row],[Clase]]="F2",IFERROR(IF(VLOOKUP($CH46,tblBD_PatronMasa[[Código Patrón]:[mN-(mpe–U95)]],12,FALSE)=0,"",VLOOKUP($CH46,tblBD_PatronMasa[[Código Patrón]:[mN-(mpe–U95)]],12,FALSE)+731),""),IF(tblTrazabilidad[[#This Row],[Clase]]="F1",IFERROR(IF(VLOOKUP($CH46,tblBD_PatronMasa[[Código Patrón]:[mN-(mpe–U95)]],12,FALSE)=0,"",VLOOKUP($CH46,tblBD_PatronMasa[[Código Patrón]:[mN-(mpe–U95)]],12,FALSE)+731),""),IFERROR(IF(VLOOKUP($CH46,tblBD_PatronMasa[[Código Patrón]:[mN-(mpe–U95)]],12,FALSE)=0,"",VLOOKUP($CH46,tblBD_PatronMasa[[Código Patrón]:[mN-(mpe–U95)]],12,FALSE)+366),"")))</f>
        <v/>
      </c>
      <c r="CM46" s="33" t="str">
        <f>IFERROR(VLOOKUP($CH46,tblBD_PatronMasa[[Código Patrón]:[mN-(mpe–U95)]],3,FALSE),"")</f>
        <v/>
      </c>
      <c r="CO46" s="46"/>
      <c r="CP46" s="57" t="str">
        <f>IFERROR(VLOOKUP(CS46,tblTrazabilidad[[Código]:[Próxima calibración]],2,0),"")</f>
        <v/>
      </c>
      <c r="CQ46" s="58" t="str">
        <f>IFERROR(VLOOKUP(CS46,tblTrazabilidad[[Código]:[Clase]],6,0),"")</f>
        <v/>
      </c>
      <c r="CR46" s="57" t="str">
        <f>IFERROR(VLOOKUP(CS46,tblTrazabilidad[[Código]:[Próxima calibración]],3,0),"")</f>
        <v/>
      </c>
      <c r="CS46" s="56" t="str">
        <f t="shared" si="5"/>
        <v/>
      </c>
      <c r="CT46" s="55" t="str">
        <f>IFERROR(IF(VLOOKUP(CS46,tblTrazabilidad[[Código]:[Próxima calibración]],4,0)=0,"",VLOOKUP(CS46,tblTrazabilidad[[Código]:[Próxima calibración]],4,0)),"")</f>
        <v/>
      </c>
      <c r="CU46" s="54" t="str">
        <f>IFERROR(VLOOKUP(CS46,tblTrazabilidad[[Código]:[Próxima calibración]],5,0),"")</f>
        <v/>
      </c>
      <c r="CV46" s="53">
        <f t="shared" si="4"/>
        <v>0</v>
      </c>
      <c r="CW46" s="52" t="str">
        <f>IFERROR(LOOKUP(2,1/(COUNTIF($CW$4:CW45,tblTrazabilidad[Código])=0),tblTrazabilidad[Código]),"")</f>
        <v/>
      </c>
      <c r="DC46" s="1"/>
      <c r="DD46" s="1"/>
      <c r="DF46"/>
      <c r="DG46"/>
    </row>
    <row r="47" spans="2:111" x14ac:dyDescent="0.3">
      <c r="C47" s="79" t="s">
        <v>149</v>
      </c>
      <c r="I47" s="45"/>
      <c r="J47" s="45"/>
      <c r="L47" s="8">
        <v>44</v>
      </c>
      <c r="M47" s="62"/>
      <c r="N47" s="59" t="str">
        <f>IFERROR(VLOOKUP(tblCompPuntosCal[[#This Row],[Punto 1]],tblBD_PatronMasa[[Código Patrón]:[mpe]],4,FALSE),"")</f>
        <v/>
      </c>
      <c r="O47" s="59" t="str">
        <f>IFERROR(VLOOKUP(tblCompPuntosCal[[#This Row],[Punto 1]],tblBD_PatronMasa[[Código Patrón]:[mpe]],6,FALSE),"")</f>
        <v/>
      </c>
      <c r="P47" s="55" t="str">
        <f>IFERROR(VLOOKUP(tblCompPuntosCal[[#This Row],[Punto 1]],tblBD_PatronMasa[[Código Patrón]:[mpe]],7,FALSE),"")</f>
        <v/>
      </c>
      <c r="Q47" s="55" t="str">
        <f>IFERROR(VLOOKUP(tblCompPuntosCal[[#This Row],[Punto 1]],tblBD_PatronMasa[[Código Patrón]:[mpe]],9,FALSE),"")</f>
        <v/>
      </c>
      <c r="R47" s="66" t="str">
        <f>IF(switch="Sí",IFERROR(VLOOKUP(tblCompPuntosCal[[#This Row],[Punto 1]],'kU(E)'!$AB$7:$AK$56,10,FALSE)*1000,""),IFERROR(VLOOKUP(tblCompPuntosCal[[#This Row],[Punto 1]],'kU(E)'!$AB$7:$AK$56*1000,8,FALSE),""))</f>
        <v/>
      </c>
      <c r="S47" s="55" t="str">
        <f>IFERROR(IF('kU(E)'!$E$6&lt;&gt;0,INDEX(deltaMconv,MATCH(tblCompPuntosCal[[#This Row],[mN1]],MnomDeltaT),MATCH('kU(E)'!$E$6,deltaT,-1))/SQRT(3),""),"")</f>
        <v/>
      </c>
      <c r="T47" s="62"/>
      <c r="U47" s="55" t="str">
        <f>IFERROR(VLOOKUP(tblCompPuntosCal[[#This Row],[Punto 2]],tblBD_PatronMasa[[Código Patrón]:[mpe]],4,FALSE),"")</f>
        <v/>
      </c>
      <c r="V47" s="55" t="str">
        <f>IFERROR(VLOOKUP(tblCompPuntosCal[[#This Row],[Punto 2]],tblBD_PatronMasa[[Código Patrón]:[mpe]],6,FALSE),"")</f>
        <v/>
      </c>
      <c r="W47" s="55" t="str">
        <f>IFERROR(VLOOKUP(tblCompPuntosCal[[#This Row],[Punto 2]],tblBD_PatronMasa[[Código Patrón]:[mpe]],7,FALSE),"")</f>
        <v/>
      </c>
      <c r="X47" s="55" t="str">
        <f>IFERROR(VLOOKUP(tblCompPuntosCal[[#This Row],[Punto 2]],tblBD_PatronMasa[[Código Patrón]:[mpe]],9,FALSE),"")</f>
        <v/>
      </c>
      <c r="Y47" s="66" t="str">
        <f>IF(switch="Sí",IFERROR(VLOOKUP(tblCompPuntosCal[[#This Row],[Punto 2]],'kU(E)'!$AB$7:$AK$56,10,FALSE)*1000,""),IFERROR(VLOOKUP(tblCompPuntosCal[[#This Row],[Punto 2]],'kU(E)'!$AB$7:$AK$56*1000,8,FALSE),""))</f>
        <v/>
      </c>
      <c r="Z47" s="55" t="str">
        <f>IFERROR(IF('kU(E)'!$E$6&lt;&gt;0,INDEX(deltaMconv,MATCH(tblCompPuntosCal[[#This Row],[mN2]],MnomDeltaT),MATCH('kU(E)'!$E$6,deltaT,-1))/SQRT(3),""),"")</f>
        <v/>
      </c>
      <c r="AA47" s="62"/>
      <c r="AB47" s="55" t="str">
        <f>IFERROR(VLOOKUP(tblCompPuntosCal[[#This Row],[Punto 3]],tblBD_PatronMasa[[Código Patrón]:[mpe]],4,FALSE),"")</f>
        <v/>
      </c>
      <c r="AC47" s="55" t="str">
        <f>IFERROR(VLOOKUP(tblCompPuntosCal[[#This Row],[Punto 3]],tblBD_PatronMasa[[Código Patrón]:[mpe]],6,FALSE),"")</f>
        <v/>
      </c>
      <c r="AD47" s="67" t="str">
        <f>IFERROR(VLOOKUP(tblCompPuntosCal[[#This Row],[Punto 3]],tblBD_PatronMasa[[Código Patrón]:[mpe]],7,FALSE),"")</f>
        <v/>
      </c>
      <c r="AE47" s="67" t="str">
        <f>IFERROR(VLOOKUP(tblCompPuntosCal[[#This Row],[Punto 3]],tblBD_PatronMasa[[Código Patrón]:[mpe]],9,FALSE),"")</f>
        <v/>
      </c>
      <c r="AF47" s="63" t="str">
        <f>IF(switch="Sí",IFERROR(VLOOKUP(tblCompPuntosCal[[#This Row],[Punto 3]],'kU(E)'!$AB$7:$AK$56,10,FALSE)*1000,""),IFERROR(VLOOKUP(tblCompPuntosCal[[#This Row],[Punto 3]],'kU(E)'!$AB$7:$AK$56*1000,8,FALSE),""))</f>
        <v/>
      </c>
      <c r="AG47" s="67" t="str">
        <f>IFERROR(IF('kU(E)'!$E$6&lt;&gt;0,INDEX(deltaMconv,MATCH(tblCompPuntosCal[[#This Row],[mN3]],MnomDeltaT),MATCH('kU(E)'!$E$6,deltaT,-1))/SQRT(3),""),"")</f>
        <v/>
      </c>
      <c r="AH47" s="62"/>
      <c r="AI47" s="67" t="str">
        <f>IFERROR(VLOOKUP(tblCompPuntosCal[[#This Row],[Punto 4]],tblBD_PatronMasa[[Código Patrón]:[mpe]],4,FALSE),"")</f>
        <v/>
      </c>
      <c r="AJ47" s="55" t="str">
        <f>IFERROR(VLOOKUP(tblCompPuntosCal[[#This Row],[Punto 4]],tblBD_PatronMasa[[Código Patrón]:[mpe]],6,FALSE),"")</f>
        <v/>
      </c>
      <c r="AK47" s="55" t="str">
        <f>IFERROR(VLOOKUP(tblCompPuntosCal[[#This Row],[Punto 4]],tblBD_PatronMasa[[Código Patrón]:[mpe]],7,FALSE),"")</f>
        <v/>
      </c>
      <c r="AL47" s="55" t="str">
        <f>IFERROR(VLOOKUP(tblCompPuntosCal[[#This Row],[Punto 4]],tblBD_PatronMasa[[Código Patrón]:[mpe]],9,FALSE),"")</f>
        <v/>
      </c>
      <c r="AM47" s="66" t="str">
        <f>IF(switch="Sí",IFERROR(VLOOKUP(tblCompPuntosCal[[#This Row],[Punto 4]],'kU(E)'!$AB$7:$AK$56,10,FALSE)*1000,""),IFERROR(VLOOKUP(tblCompPuntosCal[[#This Row],[Punto 4]],'kU(E)'!$AB$7:$AK$56,8,FALSE)*1000,""))</f>
        <v/>
      </c>
      <c r="AN47" s="55" t="str">
        <f>IFERROR(IF('kU(E)'!$E$6&lt;&gt;0,INDEX(deltaMconv,MATCH(tblCompPuntosCal[[#This Row],[mN4]],MnomDeltaT),MATCH('kU(E)'!$E$6,deltaT,-1))/SQRT(3),""),"")</f>
        <v/>
      </c>
      <c r="AO47" s="62"/>
      <c r="AP47" s="55" t="str">
        <f>IFERROR(VLOOKUP(tblCompPuntosCal[[#This Row],[Punto 5]],tblBD_PatronMasa[[Código Patrón]:[mpe]],4,FALSE),"")</f>
        <v/>
      </c>
      <c r="AQ47" s="55" t="str">
        <f>IFERROR(VLOOKUP(tblCompPuntosCal[[#This Row],[Punto 5]],tblBD_PatronMasa[[Código Patrón]:[mpe]],6,FALSE),"")</f>
        <v/>
      </c>
      <c r="AR47" s="55" t="str">
        <f>IFERROR(VLOOKUP(tblCompPuntosCal[[#This Row],[Punto 5]],tblBD_PatronMasa[[Código Patrón]:[mpe]],7,FALSE),"")</f>
        <v/>
      </c>
      <c r="AS47" s="55" t="str">
        <f>IFERROR(VLOOKUP(tblCompPuntosCal[[#This Row],[Punto 5]],tblBD_PatronMasa[[Código Patrón]:[mpe]],9,FALSE),"")</f>
        <v/>
      </c>
      <c r="AT47" s="66" t="str">
        <f>IF(switch="Sí",IFERROR(VLOOKUP(tblCompPuntosCal[[#This Row],[Punto 5]],'kU(E)'!$AB$7:$AK$56,10,FALSE)*1000,""),IFERROR(VLOOKUP(tblCompPuntosCal[[#This Row],[Punto 5]],'kU(E)'!$AB$7:$AK$56,8,FALSE)*1000,""))</f>
        <v/>
      </c>
      <c r="AU47" s="55" t="str">
        <f>IFERROR(IF('kU(E)'!$E$6&lt;&gt;0,INDEX(deltaMconv,MATCH(tblCompPuntosCal[[#This Row],[mN5]],MnomDeltaT),MATCH('kU(E)'!$E$6,deltaT,-1))/SQRT(3),""),"")</f>
        <v/>
      </c>
      <c r="AV47" s="62"/>
      <c r="AW47" s="55" t="str">
        <f>IFERROR(VLOOKUP(tblCompPuntosCal[[#This Row],[Punto 6]],tblBD_PatronMasa[[Código Patrón]:[mpe]],4,FALSE),"")</f>
        <v/>
      </c>
      <c r="AX47" s="55" t="str">
        <f>IFERROR(VLOOKUP(tblCompPuntosCal[[#This Row],[Punto 6]],tblBD_PatronMasa[[Código Patrón]:[mpe]],6,FALSE),"")</f>
        <v/>
      </c>
      <c r="AY47" s="55" t="str">
        <f>IFERROR(VLOOKUP(tblCompPuntosCal[[#This Row],[Punto 6]],tblBD_PatronMasa[[Código Patrón]:[mpe]],7,FALSE),"")</f>
        <v/>
      </c>
      <c r="AZ47" s="55" t="str">
        <f>IFERROR(VLOOKUP(tblCompPuntosCal[[#This Row],[Punto 6]],tblBD_PatronMasa[[Código Patrón]:[mpe]],9,FALSE),"")</f>
        <v/>
      </c>
      <c r="BA47" s="66" t="str">
        <f>IF(switch="Sí",IFERROR(VLOOKUP(tblCompPuntosCal[[#This Row],[Punto 6]],'kU(E)'!$AB$7:$AK$56,10,FALSE)*1000,""),IFERROR(VLOOKUP(tblCompPuntosCal[[#This Row],[Punto 6]],'kU(E)'!$AB$7:$AK$56,8,FALSE)*1000,""))</f>
        <v/>
      </c>
      <c r="BB47" s="55" t="str">
        <f>IFERROR(IF('kU(E)'!$E$6&lt;&gt;0,INDEX(deltaMconv,MATCH(tblCompPuntosCal[[#This Row],[mN6]],MnomDeltaT),MATCH('kU(E)'!$E$6,deltaT,-1))/SQRT(3),""),"")</f>
        <v/>
      </c>
      <c r="BC47" s="62"/>
      <c r="BD47" s="55" t="str">
        <f>IFERROR(VLOOKUP(tblCompPuntosCal[[#This Row],[Punto 7]],tblBD_PatronMasa[[Código Patrón]:[mpe]],4,FALSE),"")</f>
        <v/>
      </c>
      <c r="BE47" s="55" t="str">
        <f>IFERROR(VLOOKUP(tblCompPuntosCal[[#This Row],[Punto 7]],tblBD_PatronMasa[[Código Patrón]:[mpe]],6,FALSE),"")</f>
        <v/>
      </c>
      <c r="BF47" s="55" t="str">
        <f>IFERROR(VLOOKUP(tblCompPuntosCal[[#This Row],[Punto 7]],tblBD_PatronMasa[[Código Patrón]:[mpe]],7,FALSE),"")</f>
        <v/>
      </c>
      <c r="BG47" s="55" t="str">
        <f>IFERROR(VLOOKUP(tblCompPuntosCal[[#This Row],[Punto 7]],tblBD_PatronMasa[[Código Patrón]:[mpe]],9,FALSE),"")</f>
        <v/>
      </c>
      <c r="BH47" s="66" t="str">
        <f>IF(switch="Sí",IFERROR(VLOOKUP(tblCompPuntosCal[[#This Row],[Punto 7]],'kU(E)'!$AB$7:$AK$56,10,FALSE)*1000,""),IFERROR(VLOOKUP(tblCompPuntosCal[[#This Row],[Punto 7]],'kU(E)'!$AB$7:$AK$56,8,FALSE)*1000,""))</f>
        <v/>
      </c>
      <c r="BI47" s="55" t="str">
        <f>IFERROR(IF('kU(E)'!$E$6&lt;&gt;0,INDEX(deltaMconv,MATCH(tblCompPuntosCal[[#This Row],[mN7]],MnomDeltaT),MATCH('kU(E)'!$E$6,deltaT,-1))/SQRT(3),""),"")</f>
        <v/>
      </c>
      <c r="BJ47" s="62"/>
      <c r="BK47" s="55" t="str">
        <f>IFERROR(VLOOKUP(tblCompPuntosCal[[#This Row],[Punto 8]],tblBD_PatronMasa[[Código Patrón]:[mpe]],4,FALSE),"")</f>
        <v/>
      </c>
      <c r="BL47" s="55" t="str">
        <f>IFERROR(VLOOKUP(tblCompPuntosCal[[#This Row],[Punto 8]],tblBD_PatronMasa[[Código Patrón]:[mpe]],6,FALSE),"")</f>
        <v/>
      </c>
      <c r="BM47" s="55" t="str">
        <f>IFERROR(VLOOKUP(tblCompPuntosCal[[#This Row],[Punto 8]],tblBD_PatronMasa[[Código Patrón]:[mpe]],7,FALSE),"")</f>
        <v/>
      </c>
      <c r="BN47" s="55" t="str">
        <f>IFERROR(VLOOKUP(tblCompPuntosCal[[#This Row],[Punto 8]],tblBD_PatronMasa[[Código Patrón]:[mpe]],9,FALSE),"")</f>
        <v/>
      </c>
      <c r="BO47" s="66" t="str">
        <f>IF(switch="Sí",IFERROR(VLOOKUP(tblCompPuntosCal[[#This Row],[Punto 8]],'kU(E)'!$AB$7:$AK$56,10,FALSE)*1000,""),IFERROR(VLOOKUP(tblCompPuntosCal[[#This Row],[Punto 8]],'kU(E)'!$AB$7:$AK$56,8,FALSE)*1000,""))</f>
        <v/>
      </c>
      <c r="BP47" s="55" t="str">
        <f>IFERROR(IF('kU(E)'!$E$6&lt;&gt;0,INDEX(deltaMconv,MATCH(tblCompPuntosCal[[#This Row],[mN8]],MnomDeltaT),MATCH('kU(E)'!$E$6,deltaT,-1))/SQRT(3),""),"")</f>
        <v/>
      </c>
      <c r="BQ47" s="62"/>
      <c r="BR47" s="55" t="str">
        <f>IFERROR(VLOOKUP(tblCompPuntosCal[[#This Row],[Punto 9]],tblBD_PatronMasa[[Código Patrón]:[mpe]],4,FALSE),"")</f>
        <v/>
      </c>
      <c r="BS47" s="55" t="str">
        <f>IFERROR(VLOOKUP(tblCompPuntosCal[[#This Row],[Punto 9]],tblBD_PatronMasa[[Código Patrón]:[mpe]],6,FALSE),"")</f>
        <v/>
      </c>
      <c r="BT47" s="55" t="str">
        <f>IFERROR(VLOOKUP(tblCompPuntosCal[[#This Row],[Punto 9]],tblBD_PatronMasa[[Código Patrón]:[mpe]],7,FALSE),"")</f>
        <v/>
      </c>
      <c r="BU47" s="55" t="str">
        <f>IFERROR(VLOOKUP(tblCompPuntosCal[[#This Row],[Punto 9]],tblBD_PatronMasa[[Código Patrón]:[mpe]],9,FALSE),"")</f>
        <v/>
      </c>
      <c r="BV47" s="66" t="str">
        <f>IF(switch="Sí",IFERROR(VLOOKUP(tblCompPuntosCal[[#This Row],[Punto 9]],'kU(E)'!$AB$7:$AK$56,10,FALSE)*1000,""),IFERROR(VLOOKUP(tblCompPuntosCal[[#This Row],[Punto 9]],'kU(E)'!$AB$7:$AK$56,8,FALSE)*1000,""))</f>
        <v/>
      </c>
      <c r="BW47" s="55" t="str">
        <f>IFERROR(IF('kU(E)'!$E$6&lt;&gt;0,INDEX(deltaMconv,MATCH(tblCompPuntosCal[[#This Row],[mN9]],MnomDeltaT),MATCH('kU(E)'!$E$6,deltaT,-1))/SQRT(3),""),"")</f>
        <v/>
      </c>
      <c r="BX47" s="62"/>
      <c r="BY47" s="55" t="str">
        <f>IFERROR(VLOOKUP(tblCompPuntosCal[[#This Row],[Punto 10]],tblBD_PatronMasa[[Código Patrón]:[mpe]],4,FALSE),"")</f>
        <v/>
      </c>
      <c r="BZ47" s="55" t="str">
        <f>IFERROR(VLOOKUP(tblCompPuntosCal[[#This Row],[Punto 10]],tblBD_PatronMasa[[Código Patrón]:[mpe]],6,FALSE),"")</f>
        <v/>
      </c>
      <c r="CA47" s="59" t="str">
        <f>IFERROR(VLOOKUP(tblCompPuntosCal[[#This Row],[Punto 10]],tblBD_PatronMasa[[Código Patrón]:[mpe]],7,FALSE),"")</f>
        <v/>
      </c>
      <c r="CB47" s="59" t="str">
        <f>IFERROR(VLOOKUP(tblCompPuntosCal[[#This Row],[Punto 10]],tblBD_PatronMasa[[Código Patrón]:[mpe]],9,FALSE),"")</f>
        <v/>
      </c>
      <c r="CC47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47" s="59" t="str">
        <f>IFERROR(IF('kU(E)'!$E$6&lt;&gt;0,INDEX(deltaMconv,MATCH(tblCompPuntosCal[[#This Row],[mN10]],MnomDeltaT),MATCH('kU(E)'!$E$6,deltaT,-1))/SQRT(3),""),"")</f>
        <v/>
      </c>
      <c r="CG47" s="38">
        <v>43</v>
      </c>
      <c r="CH47" s="35">
        <f>tblCompPuntosCal[[#This Row],[Punto 1]]</f>
        <v>0</v>
      </c>
      <c r="CI47" s="35" t="str">
        <f>IF(tblTrazabilidad[[#This Row],[Código]]=0,"",IFERROR(IF(SEARCH("JM",tblTrazabilidad[[#This Row],[Código]])&gt;0,"Juego de pesas",),"Pesa"))</f>
        <v/>
      </c>
      <c r="CJ47" s="35" t="str">
        <f>IFERROR(VLOOKUP($CH47,tblBD_PatronMasa[[Código Patrón]:[mN-(mpe–U95)]],2,FALSE),"")</f>
        <v/>
      </c>
      <c r="CK47" s="35" t="str">
        <f>IFERROR(VLOOKUP($CH47,tblBD_PatronMasa[[Código Patrón]:[mN-(mpe–U95)]],13,FALSE),"")</f>
        <v/>
      </c>
      <c r="CL47" s="34" t="str">
        <f>IF(tblTrazabilidad[[#This Row],[Clase]]="F2",IFERROR(IF(VLOOKUP($CH47,tblBD_PatronMasa[[Código Patrón]:[mN-(mpe–U95)]],12,FALSE)=0,"",VLOOKUP($CH47,tblBD_PatronMasa[[Código Patrón]:[mN-(mpe–U95)]],12,FALSE)+731),""),IF(tblTrazabilidad[[#This Row],[Clase]]="F1",IFERROR(IF(VLOOKUP($CH47,tblBD_PatronMasa[[Código Patrón]:[mN-(mpe–U95)]],12,FALSE)=0,"",VLOOKUP($CH47,tblBD_PatronMasa[[Código Patrón]:[mN-(mpe–U95)]],12,FALSE)+731),""),IFERROR(IF(VLOOKUP($CH47,tblBD_PatronMasa[[Código Patrón]:[mN-(mpe–U95)]],12,FALSE)=0,"",VLOOKUP($CH47,tblBD_PatronMasa[[Código Patrón]:[mN-(mpe–U95)]],12,FALSE)+366),"")))</f>
        <v/>
      </c>
      <c r="CM47" s="33" t="str">
        <f>IFERROR(VLOOKUP($CH47,tblBD_PatronMasa[[Código Patrón]:[mN-(mpe–U95)]],3,FALSE),"")</f>
        <v/>
      </c>
      <c r="CO47" s="46"/>
      <c r="CP47" s="57" t="str">
        <f>IFERROR(VLOOKUP(CS47,tblTrazabilidad[[Código]:[Próxima calibración]],2,0),"")</f>
        <v/>
      </c>
      <c r="CQ47" s="58" t="str">
        <f>IFERROR(VLOOKUP(CS47,tblTrazabilidad[[Código]:[Clase]],6,0),"")</f>
        <v/>
      </c>
      <c r="CR47" s="57" t="str">
        <f>IFERROR(VLOOKUP(CS47,tblTrazabilidad[[Código]:[Próxima calibración]],3,0),"")</f>
        <v/>
      </c>
      <c r="CS47" s="56" t="str">
        <f t="shared" si="5"/>
        <v/>
      </c>
      <c r="CT47" s="55" t="str">
        <f>IFERROR(IF(VLOOKUP(CS47,tblTrazabilidad[[Código]:[Próxima calibración]],4,0)=0,"",VLOOKUP(CS47,tblTrazabilidad[[Código]:[Próxima calibración]],4,0)),"")</f>
        <v/>
      </c>
      <c r="CU47" s="54" t="str">
        <f>IFERROR(VLOOKUP(CS47,tblTrazabilidad[[Código]:[Próxima calibración]],5,0),"")</f>
        <v/>
      </c>
      <c r="CV47" s="53">
        <f t="shared" si="4"/>
        <v>0</v>
      </c>
      <c r="CW47" s="52" t="str">
        <f>IFERROR(LOOKUP(2,1/(COUNTIF($CW$4:CW46,tblTrazabilidad[Código])=0),tblTrazabilidad[Código]),"")</f>
        <v/>
      </c>
      <c r="DC47" s="1"/>
      <c r="DD47" s="1"/>
      <c r="DF47"/>
      <c r="DG47"/>
    </row>
    <row r="48" spans="2:111" x14ac:dyDescent="0.3">
      <c r="B48" s="4" t="s">
        <v>148</v>
      </c>
      <c r="C48" s="78">
        <v>3</v>
      </c>
      <c r="I48" s="45"/>
      <c r="J48" s="45"/>
      <c r="L48" s="8">
        <v>45</v>
      </c>
      <c r="M48" s="62"/>
      <c r="N48" s="59" t="str">
        <f>IFERROR(VLOOKUP(tblCompPuntosCal[[#This Row],[Punto 1]],tblBD_PatronMasa[[Código Patrón]:[mpe]],4,FALSE),"")</f>
        <v/>
      </c>
      <c r="O48" s="59" t="str">
        <f>IFERROR(VLOOKUP(tblCompPuntosCal[[#This Row],[Punto 1]],tblBD_PatronMasa[[Código Patrón]:[mpe]],6,FALSE),"")</f>
        <v/>
      </c>
      <c r="P48" s="55" t="str">
        <f>IFERROR(VLOOKUP(tblCompPuntosCal[[#This Row],[Punto 1]],tblBD_PatronMasa[[Código Patrón]:[mpe]],7,FALSE),"")</f>
        <v/>
      </c>
      <c r="Q48" s="55" t="str">
        <f>IFERROR(VLOOKUP(tblCompPuntosCal[[#This Row],[Punto 1]],tblBD_PatronMasa[[Código Patrón]:[mpe]],9,FALSE),"")</f>
        <v/>
      </c>
      <c r="R48" s="66" t="str">
        <f>IF(switch="Sí",IFERROR(VLOOKUP(tblCompPuntosCal[[#This Row],[Punto 1]],'kU(E)'!$AB$7:$AK$56,10,FALSE)*1000,""),IFERROR(VLOOKUP(tblCompPuntosCal[[#This Row],[Punto 1]],'kU(E)'!$AB$7:$AK$56*1000,8,FALSE),""))</f>
        <v/>
      </c>
      <c r="S48" s="55" t="str">
        <f>IFERROR(IF('kU(E)'!$E$6&lt;&gt;0,INDEX(deltaMconv,MATCH(tblCompPuntosCal[[#This Row],[mN1]],MnomDeltaT),MATCH('kU(E)'!$E$6,deltaT,-1))/SQRT(3),""),"")</f>
        <v/>
      </c>
      <c r="T48" s="62"/>
      <c r="U48" s="55" t="str">
        <f>IFERROR(VLOOKUP(tblCompPuntosCal[[#This Row],[Punto 2]],tblBD_PatronMasa[[Código Patrón]:[mpe]],4,FALSE),"")</f>
        <v/>
      </c>
      <c r="V48" s="55" t="str">
        <f>IFERROR(VLOOKUP(tblCompPuntosCal[[#This Row],[Punto 2]],tblBD_PatronMasa[[Código Patrón]:[mpe]],6,FALSE),"")</f>
        <v/>
      </c>
      <c r="W48" s="55" t="str">
        <f>IFERROR(VLOOKUP(tblCompPuntosCal[[#This Row],[Punto 2]],tblBD_PatronMasa[[Código Patrón]:[mpe]],7,FALSE),"")</f>
        <v/>
      </c>
      <c r="X48" s="55" t="str">
        <f>IFERROR(VLOOKUP(tblCompPuntosCal[[#This Row],[Punto 2]],tblBD_PatronMasa[[Código Patrón]:[mpe]],9,FALSE),"")</f>
        <v/>
      </c>
      <c r="Y48" s="66" t="str">
        <f>IF(switch="Sí",IFERROR(VLOOKUP(tblCompPuntosCal[[#This Row],[Punto 2]],'kU(E)'!$AB$7:$AK$56,10,FALSE)*1000,""),IFERROR(VLOOKUP(tblCompPuntosCal[[#This Row],[Punto 2]],'kU(E)'!$AB$7:$AK$56*1000,8,FALSE),""))</f>
        <v/>
      </c>
      <c r="Z48" s="55" t="str">
        <f>IFERROR(IF('kU(E)'!$E$6&lt;&gt;0,INDEX(deltaMconv,MATCH(tblCompPuntosCal[[#This Row],[mN2]],MnomDeltaT),MATCH('kU(E)'!$E$6,deltaT,-1))/SQRT(3),""),"")</f>
        <v/>
      </c>
      <c r="AA48" s="62"/>
      <c r="AB48" s="55" t="str">
        <f>IFERROR(VLOOKUP(tblCompPuntosCal[[#This Row],[Punto 3]],tblBD_PatronMasa[[Código Patrón]:[mpe]],4,FALSE),"")</f>
        <v/>
      </c>
      <c r="AC48" s="55" t="str">
        <f>IFERROR(VLOOKUP(tblCompPuntosCal[[#This Row],[Punto 3]],tblBD_PatronMasa[[Código Patrón]:[mpe]],6,FALSE),"")</f>
        <v/>
      </c>
      <c r="AD48" s="67" t="str">
        <f>IFERROR(VLOOKUP(tblCompPuntosCal[[#This Row],[Punto 3]],tblBD_PatronMasa[[Código Patrón]:[mpe]],7,FALSE),"")</f>
        <v/>
      </c>
      <c r="AE48" s="67" t="str">
        <f>IFERROR(VLOOKUP(tblCompPuntosCal[[#This Row],[Punto 3]],tblBD_PatronMasa[[Código Patrón]:[mpe]],9,FALSE),"")</f>
        <v/>
      </c>
      <c r="AF48" s="63" t="str">
        <f>IF(switch="Sí",IFERROR(VLOOKUP(tblCompPuntosCal[[#This Row],[Punto 3]],'kU(E)'!$AB$7:$AK$56,10,FALSE)*1000,""),IFERROR(VLOOKUP(tblCompPuntosCal[[#This Row],[Punto 3]],'kU(E)'!$AB$7:$AK$56*1000,8,FALSE),""))</f>
        <v/>
      </c>
      <c r="AG48" s="67" t="str">
        <f>IFERROR(IF('kU(E)'!$E$6&lt;&gt;0,INDEX(deltaMconv,MATCH(tblCompPuntosCal[[#This Row],[mN3]],MnomDeltaT),MATCH('kU(E)'!$E$6,deltaT,-1))/SQRT(3),""),"")</f>
        <v/>
      </c>
      <c r="AH48" s="62"/>
      <c r="AI48" s="67" t="str">
        <f>IFERROR(VLOOKUP(tblCompPuntosCal[[#This Row],[Punto 4]],tblBD_PatronMasa[[Código Patrón]:[mpe]],4,FALSE),"")</f>
        <v/>
      </c>
      <c r="AJ48" s="55" t="str">
        <f>IFERROR(VLOOKUP(tblCompPuntosCal[[#This Row],[Punto 4]],tblBD_PatronMasa[[Código Patrón]:[mpe]],6,FALSE),"")</f>
        <v/>
      </c>
      <c r="AK48" s="55" t="str">
        <f>IFERROR(VLOOKUP(tblCompPuntosCal[[#This Row],[Punto 4]],tblBD_PatronMasa[[Código Patrón]:[mpe]],7,FALSE),"")</f>
        <v/>
      </c>
      <c r="AL48" s="55" t="str">
        <f>IFERROR(VLOOKUP(tblCompPuntosCal[[#This Row],[Punto 4]],tblBD_PatronMasa[[Código Patrón]:[mpe]],9,FALSE),"")</f>
        <v/>
      </c>
      <c r="AM48" s="66" t="str">
        <f>IF(switch="Sí",IFERROR(VLOOKUP(tblCompPuntosCal[[#This Row],[Punto 4]],'kU(E)'!$AB$7:$AK$56,10,FALSE)*1000,""),IFERROR(VLOOKUP(tblCompPuntosCal[[#This Row],[Punto 4]],'kU(E)'!$AB$7:$AK$56,8,FALSE)*1000,""))</f>
        <v/>
      </c>
      <c r="AN48" s="55" t="str">
        <f>IFERROR(IF('kU(E)'!$E$6&lt;&gt;0,INDEX(deltaMconv,MATCH(tblCompPuntosCal[[#This Row],[mN4]],MnomDeltaT),MATCH('kU(E)'!$E$6,deltaT,-1))/SQRT(3),""),"")</f>
        <v/>
      </c>
      <c r="AO48" s="62"/>
      <c r="AP48" s="55" t="str">
        <f>IFERROR(VLOOKUP(tblCompPuntosCal[[#This Row],[Punto 5]],tblBD_PatronMasa[[Código Patrón]:[mpe]],4,FALSE),"")</f>
        <v/>
      </c>
      <c r="AQ48" s="55" t="str">
        <f>IFERROR(VLOOKUP(tblCompPuntosCal[[#This Row],[Punto 5]],tblBD_PatronMasa[[Código Patrón]:[mpe]],6,FALSE),"")</f>
        <v/>
      </c>
      <c r="AR48" s="55" t="str">
        <f>IFERROR(VLOOKUP(tblCompPuntosCal[[#This Row],[Punto 5]],tblBD_PatronMasa[[Código Patrón]:[mpe]],7,FALSE),"")</f>
        <v/>
      </c>
      <c r="AS48" s="55" t="str">
        <f>IFERROR(VLOOKUP(tblCompPuntosCal[[#This Row],[Punto 5]],tblBD_PatronMasa[[Código Patrón]:[mpe]],9,FALSE),"")</f>
        <v/>
      </c>
      <c r="AT48" s="66" t="str">
        <f>IF(switch="Sí",IFERROR(VLOOKUP(tblCompPuntosCal[[#This Row],[Punto 5]],'kU(E)'!$AB$7:$AK$56,10,FALSE)*1000,""),IFERROR(VLOOKUP(tblCompPuntosCal[[#This Row],[Punto 5]],'kU(E)'!$AB$7:$AK$56,8,FALSE)*1000,""))</f>
        <v/>
      </c>
      <c r="AU48" s="55" t="str">
        <f>IFERROR(IF('kU(E)'!$E$6&lt;&gt;0,INDEX(deltaMconv,MATCH(tblCompPuntosCal[[#This Row],[mN5]],MnomDeltaT),MATCH('kU(E)'!$E$6,deltaT,-1))/SQRT(3),""),"")</f>
        <v/>
      </c>
      <c r="AV48" s="62"/>
      <c r="AW48" s="55" t="str">
        <f>IFERROR(VLOOKUP(tblCompPuntosCal[[#This Row],[Punto 6]],tblBD_PatronMasa[[Código Patrón]:[mpe]],4,FALSE),"")</f>
        <v/>
      </c>
      <c r="AX48" s="55" t="str">
        <f>IFERROR(VLOOKUP(tblCompPuntosCal[[#This Row],[Punto 6]],tblBD_PatronMasa[[Código Patrón]:[mpe]],6,FALSE),"")</f>
        <v/>
      </c>
      <c r="AY48" s="55" t="str">
        <f>IFERROR(VLOOKUP(tblCompPuntosCal[[#This Row],[Punto 6]],tblBD_PatronMasa[[Código Patrón]:[mpe]],7,FALSE),"")</f>
        <v/>
      </c>
      <c r="AZ48" s="55" t="str">
        <f>IFERROR(VLOOKUP(tblCompPuntosCal[[#This Row],[Punto 6]],tblBD_PatronMasa[[Código Patrón]:[mpe]],9,FALSE),"")</f>
        <v/>
      </c>
      <c r="BA48" s="66" t="str">
        <f>IF(switch="Sí",IFERROR(VLOOKUP(tblCompPuntosCal[[#This Row],[Punto 6]],'kU(E)'!$AB$7:$AK$56,10,FALSE)*1000,""),IFERROR(VLOOKUP(tblCompPuntosCal[[#This Row],[Punto 6]],'kU(E)'!$AB$7:$AK$56,8,FALSE)*1000,""))</f>
        <v/>
      </c>
      <c r="BB48" s="55" t="str">
        <f>IFERROR(IF('kU(E)'!$E$6&lt;&gt;0,INDEX(deltaMconv,MATCH(tblCompPuntosCal[[#This Row],[mN6]],MnomDeltaT),MATCH('kU(E)'!$E$6,deltaT,-1))/SQRT(3),""),"")</f>
        <v/>
      </c>
      <c r="BC48" s="62"/>
      <c r="BD48" s="55" t="str">
        <f>IFERROR(VLOOKUP(tblCompPuntosCal[[#This Row],[Punto 7]],tblBD_PatronMasa[[Código Patrón]:[mpe]],4,FALSE),"")</f>
        <v/>
      </c>
      <c r="BE48" s="55" t="str">
        <f>IFERROR(VLOOKUP(tblCompPuntosCal[[#This Row],[Punto 7]],tblBD_PatronMasa[[Código Patrón]:[mpe]],6,FALSE),"")</f>
        <v/>
      </c>
      <c r="BF48" s="55" t="str">
        <f>IFERROR(VLOOKUP(tblCompPuntosCal[[#This Row],[Punto 7]],tblBD_PatronMasa[[Código Patrón]:[mpe]],7,FALSE),"")</f>
        <v/>
      </c>
      <c r="BG48" s="55" t="str">
        <f>IFERROR(VLOOKUP(tblCompPuntosCal[[#This Row],[Punto 7]],tblBD_PatronMasa[[Código Patrón]:[mpe]],9,FALSE),"")</f>
        <v/>
      </c>
      <c r="BH48" s="66" t="str">
        <f>IF(switch="Sí",IFERROR(VLOOKUP(tblCompPuntosCal[[#This Row],[Punto 7]],'kU(E)'!$AB$7:$AK$56,10,FALSE)*1000,""),IFERROR(VLOOKUP(tblCompPuntosCal[[#This Row],[Punto 7]],'kU(E)'!$AB$7:$AK$56,8,FALSE)*1000,""))</f>
        <v/>
      </c>
      <c r="BI48" s="55" t="str">
        <f>IFERROR(IF('kU(E)'!$E$6&lt;&gt;0,INDEX(deltaMconv,MATCH(tblCompPuntosCal[[#This Row],[mN7]],MnomDeltaT),MATCH('kU(E)'!$E$6,deltaT,-1))/SQRT(3),""),"")</f>
        <v/>
      </c>
      <c r="BJ48" s="62"/>
      <c r="BK48" s="55" t="str">
        <f>IFERROR(VLOOKUP(tblCompPuntosCal[[#This Row],[Punto 8]],tblBD_PatronMasa[[Código Patrón]:[mpe]],4,FALSE),"")</f>
        <v/>
      </c>
      <c r="BL48" s="55" t="str">
        <f>IFERROR(VLOOKUP(tblCompPuntosCal[[#This Row],[Punto 8]],tblBD_PatronMasa[[Código Patrón]:[mpe]],6,FALSE),"")</f>
        <v/>
      </c>
      <c r="BM48" s="55" t="str">
        <f>IFERROR(VLOOKUP(tblCompPuntosCal[[#This Row],[Punto 8]],tblBD_PatronMasa[[Código Patrón]:[mpe]],7,FALSE),"")</f>
        <v/>
      </c>
      <c r="BN48" s="55" t="str">
        <f>IFERROR(VLOOKUP(tblCompPuntosCal[[#This Row],[Punto 8]],tblBD_PatronMasa[[Código Patrón]:[mpe]],9,FALSE),"")</f>
        <v/>
      </c>
      <c r="BO48" s="66" t="str">
        <f>IF(switch="Sí",IFERROR(VLOOKUP(tblCompPuntosCal[[#This Row],[Punto 8]],'kU(E)'!$AB$7:$AK$56,10,FALSE)*1000,""),IFERROR(VLOOKUP(tblCompPuntosCal[[#This Row],[Punto 8]],'kU(E)'!$AB$7:$AK$56,8,FALSE)*1000,""))</f>
        <v/>
      </c>
      <c r="BP48" s="55" t="str">
        <f>IFERROR(IF('kU(E)'!$E$6&lt;&gt;0,INDEX(deltaMconv,MATCH(tblCompPuntosCal[[#This Row],[mN8]],MnomDeltaT),MATCH('kU(E)'!$E$6,deltaT,-1))/SQRT(3),""),"")</f>
        <v/>
      </c>
      <c r="BQ48" s="62"/>
      <c r="BR48" s="55" t="str">
        <f>IFERROR(VLOOKUP(tblCompPuntosCal[[#This Row],[Punto 9]],tblBD_PatronMasa[[Código Patrón]:[mpe]],4,FALSE),"")</f>
        <v/>
      </c>
      <c r="BS48" s="55" t="str">
        <f>IFERROR(VLOOKUP(tblCompPuntosCal[[#This Row],[Punto 9]],tblBD_PatronMasa[[Código Patrón]:[mpe]],6,FALSE),"")</f>
        <v/>
      </c>
      <c r="BT48" s="55" t="str">
        <f>IFERROR(VLOOKUP(tblCompPuntosCal[[#This Row],[Punto 9]],tblBD_PatronMasa[[Código Patrón]:[mpe]],7,FALSE),"")</f>
        <v/>
      </c>
      <c r="BU48" s="55" t="str">
        <f>IFERROR(VLOOKUP(tblCompPuntosCal[[#This Row],[Punto 9]],tblBD_PatronMasa[[Código Patrón]:[mpe]],9,FALSE),"")</f>
        <v/>
      </c>
      <c r="BV48" s="66" t="str">
        <f>IF(switch="Sí",IFERROR(VLOOKUP(tblCompPuntosCal[[#This Row],[Punto 9]],'kU(E)'!$AB$7:$AK$56,10,FALSE)*1000,""),IFERROR(VLOOKUP(tblCompPuntosCal[[#This Row],[Punto 9]],'kU(E)'!$AB$7:$AK$56,8,FALSE)*1000,""))</f>
        <v/>
      </c>
      <c r="BW48" s="55" t="str">
        <f>IFERROR(IF('kU(E)'!$E$6&lt;&gt;0,INDEX(deltaMconv,MATCH(tblCompPuntosCal[[#This Row],[mN9]],MnomDeltaT),MATCH('kU(E)'!$E$6,deltaT,-1))/SQRT(3),""),"")</f>
        <v/>
      </c>
      <c r="BX48" s="62"/>
      <c r="BY48" s="55" t="str">
        <f>IFERROR(VLOOKUP(tblCompPuntosCal[[#This Row],[Punto 10]],tblBD_PatronMasa[[Código Patrón]:[mpe]],4,FALSE),"")</f>
        <v/>
      </c>
      <c r="BZ48" s="55" t="str">
        <f>IFERROR(VLOOKUP(tblCompPuntosCal[[#This Row],[Punto 10]],tblBD_PatronMasa[[Código Patrón]:[mpe]],6,FALSE),"")</f>
        <v/>
      </c>
      <c r="CA48" s="59" t="str">
        <f>IFERROR(VLOOKUP(tblCompPuntosCal[[#This Row],[Punto 10]],tblBD_PatronMasa[[Código Patrón]:[mpe]],7,FALSE),"")</f>
        <v/>
      </c>
      <c r="CB48" s="59" t="str">
        <f>IFERROR(VLOOKUP(tblCompPuntosCal[[#This Row],[Punto 10]],tblBD_PatronMasa[[Código Patrón]:[mpe]],9,FALSE),"")</f>
        <v/>
      </c>
      <c r="CC48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48" s="59" t="str">
        <f>IFERROR(IF('kU(E)'!$E$6&lt;&gt;0,INDEX(deltaMconv,MATCH(tblCompPuntosCal[[#This Row],[mN10]],MnomDeltaT),MATCH('kU(E)'!$E$6,deltaT,-1))/SQRT(3),""),"")</f>
        <v/>
      </c>
      <c r="CG48" s="38">
        <v>44</v>
      </c>
      <c r="CH48" s="35">
        <f>tblCompPuntosCal[[#This Row],[Punto 1]]</f>
        <v>0</v>
      </c>
      <c r="CI48" s="35" t="str">
        <f>IF(tblTrazabilidad[[#This Row],[Código]]=0,"",IFERROR(IF(SEARCH("JM",tblTrazabilidad[[#This Row],[Código]])&gt;0,"Juego de pesas",),"Pesa"))</f>
        <v/>
      </c>
      <c r="CJ48" s="35" t="str">
        <f>IFERROR(VLOOKUP($CH48,tblBD_PatronMasa[[Código Patrón]:[mN-(mpe–U95)]],2,FALSE),"")</f>
        <v/>
      </c>
      <c r="CK48" s="35" t="str">
        <f>IFERROR(VLOOKUP($CH48,tblBD_PatronMasa[[Código Patrón]:[mN-(mpe–U95)]],13,FALSE),"")</f>
        <v/>
      </c>
      <c r="CL48" s="34" t="str">
        <f>IF(tblTrazabilidad[[#This Row],[Clase]]="F2",IFERROR(IF(VLOOKUP($CH48,tblBD_PatronMasa[[Código Patrón]:[mN-(mpe–U95)]],12,FALSE)=0,"",VLOOKUP($CH48,tblBD_PatronMasa[[Código Patrón]:[mN-(mpe–U95)]],12,FALSE)+731),""),IF(tblTrazabilidad[[#This Row],[Clase]]="F1",IFERROR(IF(VLOOKUP($CH48,tblBD_PatronMasa[[Código Patrón]:[mN-(mpe–U95)]],12,FALSE)=0,"",VLOOKUP($CH48,tblBD_PatronMasa[[Código Patrón]:[mN-(mpe–U95)]],12,FALSE)+731),""),IFERROR(IF(VLOOKUP($CH48,tblBD_PatronMasa[[Código Patrón]:[mN-(mpe–U95)]],12,FALSE)=0,"",VLOOKUP($CH48,tblBD_PatronMasa[[Código Patrón]:[mN-(mpe–U95)]],12,FALSE)+366),"")))</f>
        <v/>
      </c>
      <c r="CM48" s="33" t="str">
        <f>IFERROR(VLOOKUP($CH48,tblBD_PatronMasa[[Código Patrón]:[mN-(mpe–U95)]],3,FALSE),"")</f>
        <v/>
      </c>
      <c r="CO48" s="46"/>
      <c r="CP48" s="57" t="str">
        <f>IFERROR(VLOOKUP(CS48,tblTrazabilidad[[Código]:[Próxima calibración]],2,0),"")</f>
        <v/>
      </c>
      <c r="CQ48" s="58" t="str">
        <f>IFERROR(VLOOKUP(CS48,tblTrazabilidad[[Código]:[Clase]],6,0),"")</f>
        <v/>
      </c>
      <c r="CR48" s="57" t="str">
        <f>IFERROR(VLOOKUP(CS48,tblTrazabilidad[[Código]:[Próxima calibración]],3,0),"")</f>
        <v/>
      </c>
      <c r="CS48" s="56" t="str">
        <f t="shared" si="5"/>
        <v/>
      </c>
      <c r="CT48" s="55" t="str">
        <f>IFERROR(IF(VLOOKUP(CS48,tblTrazabilidad[[Código]:[Próxima calibración]],4,0)=0,"",VLOOKUP(CS48,tblTrazabilidad[[Código]:[Próxima calibración]],4,0)),"")</f>
        <v/>
      </c>
      <c r="CU48" s="54" t="str">
        <f>IFERROR(VLOOKUP(CS48,tblTrazabilidad[[Código]:[Próxima calibración]],5,0),"")</f>
        <v/>
      </c>
      <c r="CV48" s="53">
        <f t="shared" si="4"/>
        <v>0</v>
      </c>
      <c r="CW48" s="52" t="str">
        <f>IFERROR(LOOKUP(2,1/(COUNTIF($CW$4:CW47,tblTrazabilidad[Código])=0),tblTrazabilidad[Código]),"")</f>
        <v/>
      </c>
      <c r="DC48" s="1"/>
      <c r="DD48" s="1"/>
      <c r="DF48"/>
      <c r="DG48"/>
    </row>
    <row r="49" spans="2:111" x14ac:dyDescent="0.3">
      <c r="I49" s="45"/>
      <c r="J49" s="45"/>
      <c r="L49" s="8">
        <v>46</v>
      </c>
      <c r="M49" s="62"/>
      <c r="N49" s="59" t="str">
        <f>IFERROR(VLOOKUP(tblCompPuntosCal[[#This Row],[Punto 1]],tblBD_PatronMasa[[Código Patrón]:[mpe]],4,FALSE),"")</f>
        <v/>
      </c>
      <c r="O49" s="59" t="str">
        <f>IFERROR(VLOOKUP(tblCompPuntosCal[[#This Row],[Punto 1]],tblBD_PatronMasa[[Código Patrón]:[mpe]],6,FALSE),"")</f>
        <v/>
      </c>
      <c r="P49" s="55" t="str">
        <f>IFERROR(VLOOKUP(tblCompPuntosCal[[#This Row],[Punto 1]],tblBD_PatronMasa[[Código Patrón]:[mpe]],7,FALSE),"")</f>
        <v/>
      </c>
      <c r="Q49" s="55" t="str">
        <f>IFERROR(VLOOKUP(tblCompPuntosCal[[#This Row],[Punto 1]],tblBD_PatronMasa[[Código Patrón]:[mpe]],9,FALSE),"")</f>
        <v/>
      </c>
      <c r="R49" s="66" t="str">
        <f>IF(switch="Sí",IFERROR(VLOOKUP(tblCompPuntosCal[[#This Row],[Punto 1]],'kU(E)'!$AB$7:$AK$56,10,FALSE)*1000,""),IFERROR(VLOOKUP(tblCompPuntosCal[[#This Row],[Punto 1]],'kU(E)'!$AB$7:$AK$56*1000,8,FALSE),""))</f>
        <v/>
      </c>
      <c r="S49" s="55" t="str">
        <f>IFERROR(IF('kU(E)'!$E$6&lt;&gt;0,INDEX(deltaMconv,MATCH(tblCompPuntosCal[[#This Row],[mN1]],MnomDeltaT),MATCH('kU(E)'!$E$6,deltaT,-1))/SQRT(3),""),"")</f>
        <v/>
      </c>
      <c r="T49" s="62"/>
      <c r="U49" s="55" t="str">
        <f>IFERROR(VLOOKUP(tblCompPuntosCal[[#This Row],[Punto 2]],tblBD_PatronMasa[[Código Patrón]:[mpe]],4,FALSE),"")</f>
        <v/>
      </c>
      <c r="V49" s="55" t="str">
        <f>IFERROR(VLOOKUP(tblCompPuntosCal[[#This Row],[Punto 2]],tblBD_PatronMasa[[Código Patrón]:[mpe]],6,FALSE),"")</f>
        <v/>
      </c>
      <c r="W49" s="55" t="str">
        <f>IFERROR(VLOOKUP(tblCompPuntosCal[[#This Row],[Punto 2]],tblBD_PatronMasa[[Código Patrón]:[mpe]],7,FALSE),"")</f>
        <v/>
      </c>
      <c r="X49" s="55" t="str">
        <f>IFERROR(VLOOKUP(tblCompPuntosCal[[#This Row],[Punto 2]],tblBD_PatronMasa[[Código Patrón]:[mpe]],9,FALSE),"")</f>
        <v/>
      </c>
      <c r="Y49" s="66" t="str">
        <f>IF(switch="Sí",IFERROR(VLOOKUP(tblCompPuntosCal[[#This Row],[Punto 2]],'kU(E)'!$AB$7:$AK$56,10,FALSE)*1000,""),IFERROR(VLOOKUP(tblCompPuntosCal[[#This Row],[Punto 2]],'kU(E)'!$AB$7:$AK$56*1000,8,FALSE),""))</f>
        <v/>
      </c>
      <c r="Z49" s="55" t="str">
        <f>IFERROR(IF('kU(E)'!$E$6&lt;&gt;0,INDEX(deltaMconv,MATCH(tblCompPuntosCal[[#This Row],[mN2]],MnomDeltaT),MATCH('kU(E)'!$E$6,deltaT,-1))/SQRT(3),""),"")</f>
        <v/>
      </c>
      <c r="AA49" s="62"/>
      <c r="AB49" s="55" t="str">
        <f>IFERROR(VLOOKUP(tblCompPuntosCal[[#This Row],[Punto 3]],tblBD_PatronMasa[[Código Patrón]:[mpe]],4,FALSE),"")</f>
        <v/>
      </c>
      <c r="AC49" s="55" t="str">
        <f>IFERROR(VLOOKUP(tblCompPuntosCal[[#This Row],[Punto 3]],tblBD_PatronMasa[[Código Patrón]:[mpe]],6,FALSE),"")</f>
        <v/>
      </c>
      <c r="AD49" s="67" t="str">
        <f>IFERROR(VLOOKUP(tblCompPuntosCal[[#This Row],[Punto 3]],tblBD_PatronMasa[[Código Patrón]:[mpe]],7,FALSE),"")</f>
        <v/>
      </c>
      <c r="AE49" s="67" t="str">
        <f>IFERROR(VLOOKUP(tblCompPuntosCal[[#This Row],[Punto 3]],tblBD_PatronMasa[[Código Patrón]:[mpe]],9,FALSE),"")</f>
        <v/>
      </c>
      <c r="AF49" s="63" t="str">
        <f>IF(switch="Sí",IFERROR(VLOOKUP(tblCompPuntosCal[[#This Row],[Punto 3]],'kU(E)'!$AB$7:$AK$56,10,FALSE)*1000,""),IFERROR(VLOOKUP(tblCompPuntosCal[[#This Row],[Punto 3]],'kU(E)'!$AB$7:$AK$56*1000,8,FALSE),""))</f>
        <v/>
      </c>
      <c r="AG49" s="67" t="str">
        <f>IFERROR(IF('kU(E)'!$E$6&lt;&gt;0,INDEX(deltaMconv,MATCH(tblCompPuntosCal[[#This Row],[mN3]],MnomDeltaT),MATCH('kU(E)'!$E$6,deltaT,-1))/SQRT(3),""),"")</f>
        <v/>
      </c>
      <c r="AH49" s="62"/>
      <c r="AI49" s="67" t="str">
        <f>IFERROR(VLOOKUP(tblCompPuntosCal[[#This Row],[Punto 4]],tblBD_PatronMasa[[Código Patrón]:[mpe]],4,FALSE),"")</f>
        <v/>
      </c>
      <c r="AJ49" s="55" t="str">
        <f>IFERROR(VLOOKUP(tblCompPuntosCal[[#This Row],[Punto 4]],tblBD_PatronMasa[[Código Patrón]:[mpe]],6,FALSE),"")</f>
        <v/>
      </c>
      <c r="AK49" s="55" t="str">
        <f>IFERROR(VLOOKUP(tblCompPuntosCal[[#This Row],[Punto 4]],tblBD_PatronMasa[[Código Patrón]:[mpe]],7,FALSE),"")</f>
        <v/>
      </c>
      <c r="AL49" s="55" t="str">
        <f>IFERROR(VLOOKUP(tblCompPuntosCal[[#This Row],[Punto 4]],tblBD_PatronMasa[[Código Patrón]:[mpe]],9,FALSE),"")</f>
        <v/>
      </c>
      <c r="AM49" s="66" t="str">
        <f>IF(switch="Sí",IFERROR(VLOOKUP(tblCompPuntosCal[[#This Row],[Punto 4]],'kU(E)'!$AB$7:$AK$56,10,FALSE)*1000,""),IFERROR(VLOOKUP(tblCompPuntosCal[[#This Row],[Punto 4]],'kU(E)'!$AB$7:$AK$56,8,FALSE)*1000,""))</f>
        <v/>
      </c>
      <c r="AN49" s="55" t="str">
        <f>IFERROR(IF('kU(E)'!$E$6&lt;&gt;0,INDEX(deltaMconv,MATCH(tblCompPuntosCal[[#This Row],[mN4]],MnomDeltaT),MATCH('kU(E)'!$E$6,deltaT,-1))/SQRT(3),""),"")</f>
        <v/>
      </c>
      <c r="AO49" s="62"/>
      <c r="AP49" s="55" t="str">
        <f>IFERROR(VLOOKUP(tblCompPuntosCal[[#This Row],[Punto 5]],tblBD_PatronMasa[[Código Patrón]:[mpe]],4,FALSE),"")</f>
        <v/>
      </c>
      <c r="AQ49" s="55" t="str">
        <f>IFERROR(VLOOKUP(tblCompPuntosCal[[#This Row],[Punto 5]],tblBD_PatronMasa[[Código Patrón]:[mpe]],6,FALSE),"")</f>
        <v/>
      </c>
      <c r="AR49" s="55" t="str">
        <f>IFERROR(VLOOKUP(tblCompPuntosCal[[#This Row],[Punto 5]],tblBD_PatronMasa[[Código Patrón]:[mpe]],7,FALSE),"")</f>
        <v/>
      </c>
      <c r="AS49" s="55" t="str">
        <f>IFERROR(VLOOKUP(tblCompPuntosCal[[#This Row],[Punto 5]],tblBD_PatronMasa[[Código Patrón]:[mpe]],9,FALSE),"")</f>
        <v/>
      </c>
      <c r="AT49" s="66" t="str">
        <f>IF(switch="Sí",IFERROR(VLOOKUP(tblCompPuntosCal[[#This Row],[Punto 5]],'kU(E)'!$AB$7:$AK$56,10,FALSE)*1000,""),IFERROR(VLOOKUP(tblCompPuntosCal[[#This Row],[Punto 5]],'kU(E)'!$AB$7:$AK$56,8,FALSE)*1000,""))</f>
        <v/>
      </c>
      <c r="AU49" s="55" t="str">
        <f>IFERROR(IF('kU(E)'!$E$6&lt;&gt;0,INDEX(deltaMconv,MATCH(tblCompPuntosCal[[#This Row],[mN5]],MnomDeltaT),MATCH('kU(E)'!$E$6,deltaT,-1))/SQRT(3),""),"")</f>
        <v/>
      </c>
      <c r="AV49" s="62"/>
      <c r="AW49" s="55" t="str">
        <f>IFERROR(VLOOKUP(tblCompPuntosCal[[#This Row],[Punto 6]],tblBD_PatronMasa[[Código Patrón]:[mpe]],4,FALSE),"")</f>
        <v/>
      </c>
      <c r="AX49" s="55" t="str">
        <f>IFERROR(VLOOKUP(tblCompPuntosCal[[#This Row],[Punto 6]],tblBD_PatronMasa[[Código Patrón]:[mpe]],6,FALSE),"")</f>
        <v/>
      </c>
      <c r="AY49" s="55" t="str">
        <f>IFERROR(VLOOKUP(tblCompPuntosCal[[#This Row],[Punto 6]],tblBD_PatronMasa[[Código Patrón]:[mpe]],7,FALSE),"")</f>
        <v/>
      </c>
      <c r="AZ49" s="55" t="str">
        <f>IFERROR(VLOOKUP(tblCompPuntosCal[[#This Row],[Punto 6]],tblBD_PatronMasa[[Código Patrón]:[mpe]],9,FALSE),"")</f>
        <v/>
      </c>
      <c r="BA49" s="66" t="str">
        <f>IF(switch="Sí",IFERROR(VLOOKUP(tblCompPuntosCal[[#This Row],[Punto 6]],'kU(E)'!$AB$7:$AK$56,10,FALSE)*1000,""),IFERROR(VLOOKUP(tblCompPuntosCal[[#This Row],[Punto 6]],'kU(E)'!$AB$7:$AK$56,8,FALSE)*1000,""))</f>
        <v/>
      </c>
      <c r="BB49" s="55" t="str">
        <f>IFERROR(IF('kU(E)'!$E$6&lt;&gt;0,INDEX(deltaMconv,MATCH(tblCompPuntosCal[[#This Row],[mN6]],MnomDeltaT),MATCH('kU(E)'!$E$6,deltaT,-1))/SQRT(3),""),"")</f>
        <v/>
      </c>
      <c r="BC49" s="62"/>
      <c r="BD49" s="55" t="str">
        <f>IFERROR(VLOOKUP(tblCompPuntosCal[[#This Row],[Punto 7]],tblBD_PatronMasa[[Código Patrón]:[mpe]],4,FALSE),"")</f>
        <v/>
      </c>
      <c r="BE49" s="55" t="str">
        <f>IFERROR(VLOOKUP(tblCompPuntosCal[[#This Row],[Punto 7]],tblBD_PatronMasa[[Código Patrón]:[mpe]],6,FALSE),"")</f>
        <v/>
      </c>
      <c r="BF49" s="55" t="str">
        <f>IFERROR(VLOOKUP(tblCompPuntosCal[[#This Row],[Punto 7]],tblBD_PatronMasa[[Código Patrón]:[mpe]],7,FALSE),"")</f>
        <v/>
      </c>
      <c r="BG49" s="55" t="str">
        <f>IFERROR(VLOOKUP(tblCompPuntosCal[[#This Row],[Punto 7]],tblBD_PatronMasa[[Código Patrón]:[mpe]],9,FALSE),"")</f>
        <v/>
      </c>
      <c r="BH49" s="66" t="str">
        <f>IF(switch="Sí",IFERROR(VLOOKUP(tblCompPuntosCal[[#This Row],[Punto 7]],'kU(E)'!$AB$7:$AK$56,10,FALSE)*1000,""),IFERROR(VLOOKUP(tblCompPuntosCal[[#This Row],[Punto 7]],'kU(E)'!$AB$7:$AK$56,8,FALSE)*1000,""))</f>
        <v/>
      </c>
      <c r="BI49" s="55" t="str">
        <f>IFERROR(IF('kU(E)'!$E$6&lt;&gt;0,INDEX(deltaMconv,MATCH(tblCompPuntosCal[[#This Row],[mN7]],MnomDeltaT),MATCH('kU(E)'!$E$6,deltaT,-1))/SQRT(3),""),"")</f>
        <v/>
      </c>
      <c r="BJ49" s="62"/>
      <c r="BK49" s="55" t="str">
        <f>IFERROR(VLOOKUP(tblCompPuntosCal[[#This Row],[Punto 8]],tblBD_PatronMasa[[Código Patrón]:[mpe]],4,FALSE),"")</f>
        <v/>
      </c>
      <c r="BL49" s="55" t="str">
        <f>IFERROR(VLOOKUP(tblCompPuntosCal[[#This Row],[Punto 8]],tblBD_PatronMasa[[Código Patrón]:[mpe]],6,FALSE),"")</f>
        <v/>
      </c>
      <c r="BM49" s="55" t="str">
        <f>IFERROR(VLOOKUP(tblCompPuntosCal[[#This Row],[Punto 8]],tblBD_PatronMasa[[Código Patrón]:[mpe]],7,FALSE),"")</f>
        <v/>
      </c>
      <c r="BN49" s="55" t="str">
        <f>IFERROR(VLOOKUP(tblCompPuntosCal[[#This Row],[Punto 8]],tblBD_PatronMasa[[Código Patrón]:[mpe]],9,FALSE),"")</f>
        <v/>
      </c>
      <c r="BO49" s="66" t="str">
        <f>IF(switch="Sí",IFERROR(VLOOKUP(tblCompPuntosCal[[#This Row],[Punto 8]],'kU(E)'!$AB$7:$AK$56,10,FALSE)*1000,""),IFERROR(VLOOKUP(tblCompPuntosCal[[#This Row],[Punto 8]],'kU(E)'!$AB$7:$AK$56,8,FALSE)*1000,""))</f>
        <v/>
      </c>
      <c r="BP49" s="55" t="str">
        <f>IFERROR(IF('kU(E)'!$E$6&lt;&gt;0,INDEX(deltaMconv,MATCH(tblCompPuntosCal[[#This Row],[mN8]],MnomDeltaT),MATCH('kU(E)'!$E$6,deltaT,-1))/SQRT(3),""),"")</f>
        <v/>
      </c>
      <c r="BQ49" s="62"/>
      <c r="BR49" s="55" t="str">
        <f>IFERROR(VLOOKUP(tblCompPuntosCal[[#This Row],[Punto 9]],tblBD_PatronMasa[[Código Patrón]:[mpe]],4,FALSE),"")</f>
        <v/>
      </c>
      <c r="BS49" s="55" t="str">
        <f>IFERROR(VLOOKUP(tblCompPuntosCal[[#This Row],[Punto 9]],tblBD_PatronMasa[[Código Patrón]:[mpe]],6,FALSE),"")</f>
        <v/>
      </c>
      <c r="BT49" s="55" t="str">
        <f>IFERROR(VLOOKUP(tblCompPuntosCal[[#This Row],[Punto 9]],tblBD_PatronMasa[[Código Patrón]:[mpe]],7,FALSE),"")</f>
        <v/>
      </c>
      <c r="BU49" s="55" t="str">
        <f>IFERROR(VLOOKUP(tblCompPuntosCal[[#This Row],[Punto 9]],tblBD_PatronMasa[[Código Patrón]:[mpe]],9,FALSE),"")</f>
        <v/>
      </c>
      <c r="BV49" s="66" t="str">
        <f>IF(switch="Sí",IFERROR(VLOOKUP(tblCompPuntosCal[[#This Row],[Punto 9]],'kU(E)'!$AB$7:$AK$56,10,FALSE)*1000,""),IFERROR(VLOOKUP(tblCompPuntosCal[[#This Row],[Punto 9]],'kU(E)'!$AB$7:$AK$56,8,FALSE)*1000,""))</f>
        <v/>
      </c>
      <c r="BW49" s="55" t="str">
        <f>IFERROR(IF('kU(E)'!$E$6&lt;&gt;0,INDEX(deltaMconv,MATCH(tblCompPuntosCal[[#This Row],[mN9]],MnomDeltaT),MATCH('kU(E)'!$E$6,deltaT,-1))/SQRT(3),""),"")</f>
        <v/>
      </c>
      <c r="BX49" s="62"/>
      <c r="BY49" s="55" t="str">
        <f>IFERROR(VLOOKUP(tblCompPuntosCal[[#This Row],[Punto 10]],tblBD_PatronMasa[[Código Patrón]:[mpe]],4,FALSE),"")</f>
        <v/>
      </c>
      <c r="BZ49" s="55" t="str">
        <f>IFERROR(VLOOKUP(tblCompPuntosCal[[#This Row],[Punto 10]],tblBD_PatronMasa[[Código Patrón]:[mpe]],6,FALSE),"")</f>
        <v/>
      </c>
      <c r="CA49" s="59" t="str">
        <f>IFERROR(VLOOKUP(tblCompPuntosCal[[#This Row],[Punto 10]],tblBD_PatronMasa[[Código Patrón]:[mpe]],7,FALSE),"")</f>
        <v/>
      </c>
      <c r="CB49" s="59" t="str">
        <f>IFERROR(VLOOKUP(tblCompPuntosCal[[#This Row],[Punto 10]],tblBD_PatronMasa[[Código Patrón]:[mpe]],9,FALSE),"")</f>
        <v/>
      </c>
      <c r="CC49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49" s="59" t="str">
        <f>IFERROR(IF('kU(E)'!$E$6&lt;&gt;0,INDEX(deltaMconv,MATCH(tblCompPuntosCal[[#This Row],[mN10]],MnomDeltaT),MATCH('kU(E)'!$E$6,deltaT,-1))/SQRT(3),""),"")</f>
        <v/>
      </c>
      <c r="CG49" s="38">
        <v>45</v>
      </c>
      <c r="CH49" s="35">
        <f>tblCompPuntosCal[[#This Row],[Punto 1]]</f>
        <v>0</v>
      </c>
      <c r="CI49" s="35" t="str">
        <f>IF(tblTrazabilidad[[#This Row],[Código]]=0,"",IFERROR(IF(SEARCH("JM",tblTrazabilidad[[#This Row],[Código]])&gt;0,"Juego de pesas",),"Pesa"))</f>
        <v/>
      </c>
      <c r="CJ49" s="35" t="str">
        <f>IFERROR(VLOOKUP($CH49,tblBD_PatronMasa[[Código Patrón]:[mN-(mpe–U95)]],2,FALSE),"")</f>
        <v/>
      </c>
      <c r="CK49" s="35" t="str">
        <f>IFERROR(VLOOKUP($CH49,tblBD_PatronMasa[[Código Patrón]:[mN-(mpe–U95)]],13,FALSE),"")</f>
        <v/>
      </c>
      <c r="CL49" s="34" t="str">
        <f>IF(tblTrazabilidad[[#This Row],[Clase]]="F2",IFERROR(IF(VLOOKUP($CH49,tblBD_PatronMasa[[Código Patrón]:[mN-(mpe–U95)]],12,FALSE)=0,"",VLOOKUP($CH49,tblBD_PatronMasa[[Código Patrón]:[mN-(mpe–U95)]],12,FALSE)+731),""),IF(tblTrazabilidad[[#This Row],[Clase]]="F1",IFERROR(IF(VLOOKUP($CH49,tblBD_PatronMasa[[Código Patrón]:[mN-(mpe–U95)]],12,FALSE)=0,"",VLOOKUP($CH49,tblBD_PatronMasa[[Código Patrón]:[mN-(mpe–U95)]],12,FALSE)+731),""),IFERROR(IF(VLOOKUP($CH49,tblBD_PatronMasa[[Código Patrón]:[mN-(mpe–U95)]],12,FALSE)=0,"",VLOOKUP($CH49,tblBD_PatronMasa[[Código Patrón]:[mN-(mpe–U95)]],12,FALSE)+366),"")))</f>
        <v/>
      </c>
      <c r="CM49" s="33" t="str">
        <f>IFERROR(VLOOKUP($CH49,tblBD_PatronMasa[[Código Patrón]:[mN-(mpe–U95)]],3,FALSE),"")</f>
        <v/>
      </c>
      <c r="CO49" s="46"/>
      <c r="CP49" s="57" t="str">
        <f>IFERROR(VLOOKUP(CS49,tblTrazabilidad[[Código]:[Próxima calibración]],2,0),"")</f>
        <v/>
      </c>
      <c r="CQ49" s="58" t="str">
        <f>IFERROR(VLOOKUP(CS49,tblTrazabilidad[[Código]:[Clase]],6,0),"")</f>
        <v/>
      </c>
      <c r="CR49" s="57" t="str">
        <f>IFERROR(VLOOKUP(CS49,tblTrazabilidad[[Código]:[Próxima calibración]],3,0),"")</f>
        <v/>
      </c>
      <c r="CS49" s="56" t="str">
        <f t="shared" si="5"/>
        <v/>
      </c>
      <c r="CT49" s="55" t="str">
        <f>IFERROR(IF(VLOOKUP(CS49,tblTrazabilidad[[Código]:[Próxima calibración]],4,0)=0,"",VLOOKUP(CS49,tblTrazabilidad[[Código]:[Próxima calibración]],4,0)),"")</f>
        <v/>
      </c>
      <c r="CU49" s="54" t="str">
        <f>IFERROR(VLOOKUP(CS49,tblTrazabilidad[[Código]:[Próxima calibración]],5,0),"")</f>
        <v/>
      </c>
      <c r="CV49" s="53">
        <f t="shared" si="4"/>
        <v>0</v>
      </c>
      <c r="CW49" s="52" t="str">
        <f>IFERROR(LOOKUP(2,1/(COUNTIF($CW$4:CW48,tblTrazabilidad[Código])=0),tblTrazabilidad[Código]),"")</f>
        <v/>
      </c>
      <c r="DC49" s="1"/>
      <c r="DD49" s="1"/>
      <c r="DF49"/>
      <c r="DG49"/>
    </row>
    <row r="50" spans="2:111" ht="44.4" x14ac:dyDescent="0.3">
      <c r="B50" s="77" t="s">
        <v>147</v>
      </c>
      <c r="C50" s="76">
        <f>IFERROR(IF(UnidadEscala="g",CHOOSE(PuntoEcc,punto1,punto2,punto3,punto4,punto5,punto6,punto7,punto8,punto9,punto10),IF(UnidadEscala="kg",CHOOSE(PuntoEcc,punto1,punto2,punto3,punto4,punto5,punto6,punto7,punto8,punto9,punto10)/1000,CHOOSE(PuntoEcc,punto1,punto2,punto3,punto4,punto5,punto6,punto7,punto8,punto9,punto10)*0.0022)),"")</f>
        <v>0</v>
      </c>
      <c r="D50" s="75" t="s">
        <v>146</v>
      </c>
      <c r="E50" s="75" t="s">
        <v>145</v>
      </c>
      <c r="F50" s="75" t="s">
        <v>144</v>
      </c>
      <c r="G50" s="75" t="s">
        <v>143</v>
      </c>
      <c r="H50" s="75" t="s">
        <v>142</v>
      </c>
      <c r="I50" s="45"/>
      <c r="J50" s="45"/>
      <c r="L50" s="8">
        <v>47</v>
      </c>
      <c r="M50" s="62"/>
      <c r="N50" s="59" t="str">
        <f>IFERROR(VLOOKUP(tblCompPuntosCal[[#This Row],[Punto 1]],tblBD_PatronMasa[[Código Patrón]:[mpe]],4,FALSE),"")</f>
        <v/>
      </c>
      <c r="O50" s="59" t="str">
        <f>IFERROR(VLOOKUP(tblCompPuntosCal[[#This Row],[Punto 1]],tblBD_PatronMasa[[Código Patrón]:[mpe]],6,FALSE),"")</f>
        <v/>
      </c>
      <c r="P50" s="55" t="str">
        <f>IFERROR(VLOOKUP(tblCompPuntosCal[[#This Row],[Punto 1]],tblBD_PatronMasa[[Código Patrón]:[mpe]],7,FALSE),"")</f>
        <v/>
      </c>
      <c r="Q50" s="55" t="str">
        <f>IFERROR(VLOOKUP(tblCompPuntosCal[[#This Row],[Punto 1]],tblBD_PatronMasa[[Código Patrón]:[mpe]],9,FALSE),"")</f>
        <v/>
      </c>
      <c r="R50" s="66" t="str">
        <f>IF(switch="Sí",IFERROR(VLOOKUP(tblCompPuntosCal[[#This Row],[Punto 1]],'kU(E)'!$AB$7:$AK$56,10,FALSE)*1000,""),IFERROR(VLOOKUP(tblCompPuntosCal[[#This Row],[Punto 1]],'kU(E)'!$AB$7:$AK$56*1000,8,FALSE),""))</f>
        <v/>
      </c>
      <c r="S50" s="55" t="str">
        <f>IFERROR(IF('kU(E)'!$E$6&lt;&gt;0,INDEX(deltaMconv,MATCH(tblCompPuntosCal[[#This Row],[mN1]],MnomDeltaT),MATCH('kU(E)'!$E$6,deltaT,-1))/SQRT(3),""),"")</f>
        <v/>
      </c>
      <c r="T50" s="62"/>
      <c r="U50" s="55" t="str">
        <f>IFERROR(VLOOKUP(tblCompPuntosCal[[#This Row],[Punto 2]],tblBD_PatronMasa[[Código Patrón]:[mpe]],4,FALSE),"")</f>
        <v/>
      </c>
      <c r="V50" s="55" t="str">
        <f>IFERROR(VLOOKUP(tblCompPuntosCal[[#This Row],[Punto 2]],tblBD_PatronMasa[[Código Patrón]:[mpe]],6,FALSE),"")</f>
        <v/>
      </c>
      <c r="W50" s="55" t="str">
        <f>IFERROR(VLOOKUP(tblCompPuntosCal[[#This Row],[Punto 2]],tblBD_PatronMasa[[Código Patrón]:[mpe]],7,FALSE),"")</f>
        <v/>
      </c>
      <c r="X50" s="55" t="str">
        <f>IFERROR(VLOOKUP(tblCompPuntosCal[[#This Row],[Punto 2]],tblBD_PatronMasa[[Código Patrón]:[mpe]],9,FALSE),"")</f>
        <v/>
      </c>
      <c r="Y50" s="66" t="str">
        <f>IF(switch="Sí",IFERROR(VLOOKUP(tblCompPuntosCal[[#This Row],[Punto 2]],'kU(E)'!$AB$7:$AK$56,10,FALSE)*1000,""),IFERROR(VLOOKUP(tblCompPuntosCal[[#This Row],[Punto 2]],'kU(E)'!$AB$7:$AK$56*1000,8,FALSE),""))</f>
        <v/>
      </c>
      <c r="Z50" s="55" t="str">
        <f>IFERROR(IF('kU(E)'!$E$6&lt;&gt;0,INDEX(deltaMconv,MATCH(tblCompPuntosCal[[#This Row],[mN2]],MnomDeltaT),MATCH('kU(E)'!$E$6,deltaT,-1))/SQRT(3),""),"")</f>
        <v/>
      </c>
      <c r="AA50" s="62"/>
      <c r="AB50" s="55" t="str">
        <f>IFERROR(VLOOKUP(tblCompPuntosCal[[#This Row],[Punto 3]],tblBD_PatronMasa[[Código Patrón]:[mpe]],4,FALSE),"")</f>
        <v/>
      </c>
      <c r="AC50" s="55" t="str">
        <f>IFERROR(VLOOKUP(tblCompPuntosCal[[#This Row],[Punto 3]],tblBD_PatronMasa[[Código Patrón]:[mpe]],6,FALSE),"")</f>
        <v/>
      </c>
      <c r="AD50" s="55" t="str">
        <f>IFERROR(VLOOKUP(tblCompPuntosCal[[#This Row],[Punto 3]],tblBD_PatronMasa[[Código Patrón]:[mpe]],7,FALSE),"")</f>
        <v/>
      </c>
      <c r="AE50" s="55" t="str">
        <f>IFERROR(VLOOKUP(tblCompPuntosCal[[#This Row],[Punto 3]],tblBD_PatronMasa[[Código Patrón]:[mpe]],9,FALSE),"")</f>
        <v/>
      </c>
      <c r="AF50" s="63" t="str">
        <f>IF(switch="Sí",IFERROR(VLOOKUP(tblCompPuntosCal[[#This Row],[Punto 3]],'kU(E)'!$AB$7:$AK$56,10,FALSE)*1000,""),IFERROR(VLOOKUP(tblCompPuntosCal[[#This Row],[Punto 3]],'kU(E)'!$AB$7:$AK$56*1000,8,FALSE),""))</f>
        <v/>
      </c>
      <c r="AG50" s="55" t="str">
        <f>IFERROR(IF('kU(E)'!$E$6&lt;&gt;0,INDEX(deltaMconv,MATCH(tblCompPuntosCal[[#This Row],[mN3]],MnomDeltaT),MATCH('kU(E)'!$E$6,deltaT,-1))/SQRT(3),""),"")</f>
        <v/>
      </c>
      <c r="AH50" s="62"/>
      <c r="AI50" s="55" t="str">
        <f>IFERROR(VLOOKUP(tblCompPuntosCal[[#This Row],[Punto 4]],tblBD_PatronMasa[[Código Patrón]:[mpe]],4,FALSE),"")</f>
        <v/>
      </c>
      <c r="AJ50" s="55" t="str">
        <f>IFERROR(VLOOKUP(tblCompPuntosCal[[#This Row],[Punto 4]],tblBD_PatronMasa[[Código Patrón]:[mpe]],6,FALSE),"")</f>
        <v/>
      </c>
      <c r="AK50" s="55" t="str">
        <f>IFERROR(VLOOKUP(tblCompPuntosCal[[#This Row],[Punto 4]],tblBD_PatronMasa[[Código Patrón]:[mpe]],7,FALSE),"")</f>
        <v/>
      </c>
      <c r="AL50" s="55" t="str">
        <f>IFERROR(VLOOKUP(tblCompPuntosCal[[#This Row],[Punto 4]],tblBD_PatronMasa[[Código Patrón]:[mpe]],9,FALSE),"")</f>
        <v/>
      </c>
      <c r="AM50" s="66" t="str">
        <f>IF(switch="Sí",IFERROR(VLOOKUP(tblCompPuntosCal[[#This Row],[Punto 4]],'kU(E)'!$AB$7:$AK$56,10,FALSE)*1000,""),IFERROR(VLOOKUP(tblCompPuntosCal[[#This Row],[Punto 4]],'kU(E)'!$AB$7:$AK$56,8,FALSE)*1000,""))</f>
        <v/>
      </c>
      <c r="AN50" s="55" t="str">
        <f>IFERROR(IF('kU(E)'!$E$6&lt;&gt;0,INDEX(deltaMconv,MATCH(tblCompPuntosCal[[#This Row],[mN4]],MnomDeltaT),MATCH('kU(E)'!$E$6,deltaT,-1))/SQRT(3),""),"")</f>
        <v/>
      </c>
      <c r="AO50" s="62"/>
      <c r="AP50" s="55" t="str">
        <f>IFERROR(VLOOKUP(tblCompPuntosCal[[#This Row],[Punto 5]],tblBD_PatronMasa[[Código Patrón]:[mpe]],4,FALSE),"")</f>
        <v/>
      </c>
      <c r="AQ50" s="55" t="str">
        <f>IFERROR(VLOOKUP(tblCompPuntosCal[[#This Row],[Punto 5]],tblBD_PatronMasa[[Código Patrón]:[mpe]],6,FALSE),"")</f>
        <v/>
      </c>
      <c r="AR50" s="55" t="str">
        <f>IFERROR(VLOOKUP(tblCompPuntosCal[[#This Row],[Punto 5]],tblBD_PatronMasa[[Código Patrón]:[mpe]],7,FALSE),"")</f>
        <v/>
      </c>
      <c r="AS50" s="55" t="str">
        <f>IFERROR(VLOOKUP(tblCompPuntosCal[[#This Row],[Punto 5]],tblBD_PatronMasa[[Código Patrón]:[mpe]],9,FALSE),"")</f>
        <v/>
      </c>
      <c r="AT50" s="66" t="str">
        <f>IF(switch="Sí",IFERROR(VLOOKUP(tblCompPuntosCal[[#This Row],[Punto 5]],'kU(E)'!$AB$7:$AK$56,10,FALSE)*1000,""),IFERROR(VLOOKUP(tblCompPuntosCal[[#This Row],[Punto 5]],'kU(E)'!$AB$7:$AK$56,8,FALSE)*1000,""))</f>
        <v/>
      </c>
      <c r="AU50" s="55" t="str">
        <f>IFERROR(IF('kU(E)'!$E$6&lt;&gt;0,INDEX(deltaMconv,MATCH(tblCompPuntosCal[[#This Row],[mN5]],MnomDeltaT),MATCH('kU(E)'!$E$6,deltaT,-1))/SQRT(3),""),"")</f>
        <v/>
      </c>
      <c r="AV50" s="62"/>
      <c r="AW50" s="59" t="str">
        <f>IFERROR(VLOOKUP(tblCompPuntosCal[[#This Row],[Punto 6]],tblBD_PatronMasa[[Código Patrón]:[mpe]],4,FALSE),"")</f>
        <v/>
      </c>
      <c r="AX50" s="59" t="str">
        <f>IFERROR(VLOOKUP(tblCompPuntosCal[[#This Row],[Punto 6]],tblBD_PatronMasa[[Código Patrón]:[mpe]],6,FALSE),"")</f>
        <v/>
      </c>
      <c r="AY50" s="59" t="str">
        <f>IFERROR(VLOOKUP(tblCompPuntosCal[[#This Row],[Punto 6]],tblBD_PatronMasa[[Código Patrón]:[mpe]],7,FALSE),"")</f>
        <v/>
      </c>
      <c r="AZ50" s="59" t="str">
        <f>IFERROR(VLOOKUP(tblCompPuntosCal[[#This Row],[Punto 6]],tblBD_PatronMasa[[Código Patrón]:[mpe]],9,FALSE),"")</f>
        <v/>
      </c>
      <c r="BA50" s="66" t="str">
        <f>IF(switch="Sí",IFERROR(VLOOKUP(tblCompPuntosCal[[#This Row],[Punto 6]],'kU(E)'!$AB$7:$AK$56,10,FALSE)*1000,""),IFERROR(VLOOKUP(tblCompPuntosCal[[#This Row],[Punto 6]],'kU(E)'!$AB$7:$AK$56,8,FALSE)*1000,""))</f>
        <v/>
      </c>
      <c r="BB50" s="59" t="str">
        <f>IFERROR(IF('kU(E)'!$E$6&lt;&gt;0,INDEX(deltaMconv,MATCH(tblCompPuntosCal[[#This Row],[mN6]],MnomDeltaT),MATCH('kU(E)'!$E$6,deltaT,-1))/SQRT(3),""),"")</f>
        <v/>
      </c>
      <c r="BC50" s="62"/>
      <c r="BD50" s="55" t="str">
        <f>IFERROR(VLOOKUP(tblCompPuntosCal[[#This Row],[Punto 7]],tblBD_PatronMasa[[Código Patrón]:[mpe]],4,FALSE),"")</f>
        <v/>
      </c>
      <c r="BE50" s="55" t="str">
        <f>IFERROR(VLOOKUP(tblCompPuntosCal[[#This Row],[Punto 7]],tblBD_PatronMasa[[Código Patrón]:[mpe]],6,FALSE),"")</f>
        <v/>
      </c>
      <c r="BF50" s="55" t="str">
        <f>IFERROR(VLOOKUP(tblCompPuntosCal[[#This Row],[Punto 7]],tblBD_PatronMasa[[Código Patrón]:[mpe]],7,FALSE),"")</f>
        <v/>
      </c>
      <c r="BG50" s="55" t="str">
        <f>IFERROR(VLOOKUP(tblCompPuntosCal[[#This Row],[Punto 7]],tblBD_PatronMasa[[Código Patrón]:[mpe]],9,FALSE),"")</f>
        <v/>
      </c>
      <c r="BH50" s="66" t="str">
        <f>IF(switch="Sí",IFERROR(VLOOKUP(tblCompPuntosCal[[#This Row],[Punto 7]],'kU(E)'!$AB$7:$AK$56,10,FALSE)*1000,""),IFERROR(VLOOKUP(tblCompPuntosCal[[#This Row],[Punto 7]],'kU(E)'!$AB$7:$AK$56,8,FALSE)*1000,""))</f>
        <v/>
      </c>
      <c r="BI50" s="55" t="str">
        <f>IFERROR(IF('kU(E)'!$E$6&lt;&gt;0,INDEX(deltaMconv,MATCH(tblCompPuntosCal[[#This Row],[mN7]],MnomDeltaT),MATCH('kU(E)'!$E$6,deltaT,-1))/SQRT(3),""),"")</f>
        <v/>
      </c>
      <c r="BJ50" s="62"/>
      <c r="BK50" s="55" t="str">
        <f>IFERROR(VLOOKUP(tblCompPuntosCal[[#This Row],[Punto 8]],tblBD_PatronMasa[[Código Patrón]:[mpe]],4,FALSE),"")</f>
        <v/>
      </c>
      <c r="BL50" s="55" t="str">
        <f>IFERROR(VLOOKUP(tblCompPuntosCal[[#This Row],[Punto 8]],tblBD_PatronMasa[[Código Patrón]:[mpe]],6,FALSE),"")</f>
        <v/>
      </c>
      <c r="BM50" s="55" t="str">
        <f>IFERROR(VLOOKUP(tblCompPuntosCal[[#This Row],[Punto 8]],tblBD_PatronMasa[[Código Patrón]:[mpe]],7,FALSE),"")</f>
        <v/>
      </c>
      <c r="BN50" s="55" t="str">
        <f>IFERROR(VLOOKUP(tblCompPuntosCal[[#This Row],[Punto 8]],tblBD_PatronMasa[[Código Patrón]:[mpe]],9,FALSE),"")</f>
        <v/>
      </c>
      <c r="BO50" s="66" t="str">
        <f>IF(switch="Sí",IFERROR(VLOOKUP(tblCompPuntosCal[[#This Row],[Punto 8]],'kU(E)'!$AB$7:$AK$56,10,FALSE)*1000,""),IFERROR(VLOOKUP(tblCompPuntosCal[[#This Row],[Punto 8]],'kU(E)'!$AB$7:$AK$56,8,FALSE)*1000,""))</f>
        <v/>
      </c>
      <c r="BP50" s="55" t="str">
        <f>IFERROR(IF('kU(E)'!$E$6&lt;&gt;0,INDEX(deltaMconv,MATCH(tblCompPuntosCal[[#This Row],[mN8]],MnomDeltaT),MATCH('kU(E)'!$E$6,deltaT,-1))/SQRT(3),""),"")</f>
        <v/>
      </c>
      <c r="BQ50" s="62"/>
      <c r="BR50" s="55" t="str">
        <f>IFERROR(VLOOKUP(tblCompPuntosCal[[#This Row],[Punto 9]],tblBD_PatronMasa[[Código Patrón]:[mpe]],4,FALSE),"")</f>
        <v/>
      </c>
      <c r="BS50" s="55" t="str">
        <f>IFERROR(VLOOKUP(tblCompPuntosCal[[#This Row],[Punto 9]],tblBD_PatronMasa[[Código Patrón]:[mpe]],6,FALSE),"")</f>
        <v/>
      </c>
      <c r="BT50" s="55" t="str">
        <f>IFERROR(VLOOKUP(tblCompPuntosCal[[#This Row],[Punto 9]],tblBD_PatronMasa[[Código Patrón]:[mpe]],7,FALSE),"")</f>
        <v/>
      </c>
      <c r="BU50" s="55" t="str">
        <f>IFERROR(VLOOKUP(tblCompPuntosCal[[#This Row],[Punto 9]],tblBD_PatronMasa[[Código Patrón]:[mpe]],9,FALSE),"")</f>
        <v/>
      </c>
      <c r="BV50" s="66" t="str">
        <f>IF(switch="Sí",IFERROR(VLOOKUP(tblCompPuntosCal[[#This Row],[Punto 9]],'kU(E)'!$AB$7:$AK$56,10,FALSE)*1000,""),IFERROR(VLOOKUP(tblCompPuntosCal[[#This Row],[Punto 9]],'kU(E)'!$AB$7:$AK$56,8,FALSE)*1000,""))</f>
        <v/>
      </c>
      <c r="BW50" s="55" t="str">
        <f>IFERROR(IF('kU(E)'!$E$6&lt;&gt;0,INDEX(deltaMconv,MATCH(tblCompPuntosCal[[#This Row],[mN9]],MnomDeltaT),MATCH('kU(E)'!$E$6,deltaT,-1))/SQRT(3),""),"")</f>
        <v/>
      </c>
      <c r="BX50" s="62"/>
      <c r="BY50" s="55" t="str">
        <f>IFERROR(VLOOKUP(tblCompPuntosCal[[#This Row],[Punto 10]],tblBD_PatronMasa[[Código Patrón]:[mpe]],4,FALSE),"")</f>
        <v/>
      </c>
      <c r="BZ50" s="55" t="str">
        <f>IFERROR(VLOOKUP(tblCompPuntosCal[[#This Row],[Punto 10]],tblBD_PatronMasa[[Código Patrón]:[mpe]],6,FALSE),"")</f>
        <v/>
      </c>
      <c r="CA50" s="59" t="str">
        <f>IFERROR(VLOOKUP(tblCompPuntosCal[[#This Row],[Punto 10]],tblBD_PatronMasa[[Código Patrón]:[mpe]],7,FALSE),"")</f>
        <v/>
      </c>
      <c r="CB50" s="59" t="str">
        <f>IFERROR(VLOOKUP(tblCompPuntosCal[[#This Row],[Punto 10]],tblBD_PatronMasa[[Código Patrón]:[mpe]],9,FALSE),"")</f>
        <v/>
      </c>
      <c r="CC50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50" s="59" t="str">
        <f>IFERROR(IF('kU(E)'!$E$6&lt;&gt;0,INDEX(deltaMconv,MATCH(tblCompPuntosCal[[#This Row],[mN10]],MnomDeltaT),MATCH('kU(E)'!$E$6,deltaT,-1))/SQRT(3),""),"")</f>
        <v/>
      </c>
      <c r="CG50" s="38">
        <v>46</v>
      </c>
      <c r="CH50" s="35">
        <f>tblCompPuntosCal[[#This Row],[Punto 1]]</f>
        <v>0</v>
      </c>
      <c r="CI50" s="35" t="str">
        <f>IF(tblTrazabilidad[[#This Row],[Código]]=0,"",IFERROR(IF(SEARCH("JM",tblTrazabilidad[[#This Row],[Código]])&gt;0,"Juego de pesas",),"Pesa"))</f>
        <v/>
      </c>
      <c r="CJ50" s="35" t="str">
        <f>IFERROR(VLOOKUP($CH50,tblBD_PatronMasa[[Código Patrón]:[mN-(mpe–U95)]],2,FALSE),"")</f>
        <v/>
      </c>
      <c r="CK50" s="35" t="str">
        <f>IFERROR(VLOOKUP($CH50,tblBD_PatronMasa[[Código Patrón]:[mN-(mpe–U95)]],13,FALSE),"")</f>
        <v/>
      </c>
      <c r="CL50" s="34" t="str">
        <f>IF(tblTrazabilidad[[#This Row],[Clase]]="F2",IFERROR(IF(VLOOKUP($CH50,tblBD_PatronMasa[[Código Patrón]:[mN-(mpe–U95)]],12,FALSE)=0,"",VLOOKUP($CH50,tblBD_PatronMasa[[Código Patrón]:[mN-(mpe–U95)]],12,FALSE)+731),""),IF(tblTrazabilidad[[#This Row],[Clase]]="F1",IFERROR(IF(VLOOKUP($CH50,tblBD_PatronMasa[[Código Patrón]:[mN-(mpe–U95)]],12,FALSE)=0,"",VLOOKUP($CH50,tblBD_PatronMasa[[Código Patrón]:[mN-(mpe–U95)]],12,FALSE)+731),""),IFERROR(IF(VLOOKUP($CH50,tblBD_PatronMasa[[Código Patrón]:[mN-(mpe–U95)]],12,FALSE)=0,"",VLOOKUP($CH50,tblBD_PatronMasa[[Código Patrón]:[mN-(mpe–U95)]],12,FALSE)+366),"")))</f>
        <v/>
      </c>
      <c r="CM50" s="33" t="str">
        <f>IFERROR(VLOOKUP($CH50,tblBD_PatronMasa[[Código Patrón]:[mN-(mpe–U95)]],3,FALSE),"")</f>
        <v/>
      </c>
      <c r="CO50" s="46"/>
      <c r="CP50" s="57" t="str">
        <f>IFERROR(VLOOKUP(CS50,tblTrazabilidad[[Código]:[Próxima calibración]],2,0),"")</f>
        <v/>
      </c>
      <c r="CQ50" s="58" t="str">
        <f>IFERROR(VLOOKUP(CS50,tblTrazabilidad[[Código]:[Clase]],6,0),"")</f>
        <v/>
      </c>
      <c r="CR50" s="57" t="str">
        <f>IFERROR(VLOOKUP(CS50,tblTrazabilidad[[Código]:[Próxima calibración]],3,0),"")</f>
        <v/>
      </c>
      <c r="CS50" s="56" t="str">
        <f t="shared" si="5"/>
        <v/>
      </c>
      <c r="CT50" s="55" t="str">
        <f>IFERROR(IF(VLOOKUP(CS50,tblTrazabilidad[[Código]:[Próxima calibración]],4,0)=0,"",VLOOKUP(CS50,tblTrazabilidad[[Código]:[Próxima calibración]],4,0)),"")</f>
        <v/>
      </c>
      <c r="CU50" s="54" t="str">
        <f>IFERROR(VLOOKUP(CS50,tblTrazabilidad[[Código]:[Próxima calibración]],5,0),"")</f>
        <v/>
      </c>
      <c r="CV50" s="53">
        <f t="shared" si="4"/>
        <v>0</v>
      </c>
      <c r="CW50" s="52" t="str">
        <f>IFERROR(LOOKUP(2,1/(COUNTIF($CW$4:CW49,tblTrazabilidad[Código])=0),tblTrazabilidad[Código]),"")</f>
        <v/>
      </c>
      <c r="DC50" s="1"/>
      <c r="DD50" s="1"/>
      <c r="DF50"/>
      <c r="DG50"/>
    </row>
    <row r="51" spans="2:111" x14ac:dyDescent="0.3">
      <c r="B51" s="51" t="s">
        <v>141</v>
      </c>
      <c r="C51" s="74" t="str">
        <f>UnidadEscala</f>
        <v>g</v>
      </c>
      <c r="D51" s="51" t="s">
        <v>140</v>
      </c>
      <c r="E51" s="50"/>
      <c r="F51" s="50"/>
      <c r="G51" s="73" t="str">
        <f>IF(E51="","",E51-F51)</f>
        <v/>
      </c>
      <c r="H51" s="49" t="str">
        <f>IFERROR(G51-$G$51,"")</f>
        <v/>
      </c>
      <c r="I51" s="45"/>
      <c r="J51" s="45"/>
      <c r="L51" s="8">
        <v>48</v>
      </c>
      <c r="M51" s="62"/>
      <c r="N51" s="59" t="str">
        <f>IFERROR(VLOOKUP(tblCompPuntosCal[[#This Row],[Punto 1]],tblBD_PatronMasa[[Código Patrón]:[mpe]],4,FALSE),"")</f>
        <v/>
      </c>
      <c r="O51" s="59" t="str">
        <f>IFERROR(VLOOKUP(tblCompPuntosCal[[#This Row],[Punto 1]],tblBD_PatronMasa[[Código Patrón]:[mpe]],6,FALSE),"")</f>
        <v/>
      </c>
      <c r="P51" s="55" t="str">
        <f>IFERROR(VLOOKUP(tblCompPuntosCal[[#This Row],[Punto 1]],tblBD_PatronMasa[[Código Patrón]:[mpe]],7,FALSE),"")</f>
        <v/>
      </c>
      <c r="Q51" s="55" t="str">
        <f>IFERROR(VLOOKUP(tblCompPuntosCal[[#This Row],[Punto 1]],tblBD_PatronMasa[[Código Patrón]:[mpe]],9,FALSE),"")</f>
        <v/>
      </c>
      <c r="R51" s="66" t="str">
        <f>IF(switch="Sí",IFERROR(VLOOKUP(tblCompPuntosCal[[#This Row],[Punto 1]],'kU(E)'!$AB$7:$AK$56,10,FALSE)*1000,""),IFERROR(VLOOKUP(tblCompPuntosCal[[#This Row],[Punto 1]],'kU(E)'!$AB$7:$AK$56*1000,8,FALSE),""))</f>
        <v/>
      </c>
      <c r="S51" s="55" t="str">
        <f>IFERROR(IF('kU(E)'!$E$6&lt;&gt;0,INDEX(deltaMconv,MATCH(tblCompPuntosCal[[#This Row],[mN1]],MnomDeltaT),MATCH('kU(E)'!$E$6,deltaT,-1))/SQRT(3),""),"")</f>
        <v/>
      </c>
      <c r="T51" s="62"/>
      <c r="U51" s="55" t="str">
        <f>IFERROR(VLOOKUP(tblCompPuntosCal[[#This Row],[Punto 2]],tblBD_PatronMasa[[Código Patrón]:[mpe]],4,FALSE),"")</f>
        <v/>
      </c>
      <c r="V51" s="55" t="str">
        <f>IFERROR(VLOOKUP(tblCompPuntosCal[[#This Row],[Punto 2]],tblBD_PatronMasa[[Código Patrón]:[mpe]],6,FALSE),"")</f>
        <v/>
      </c>
      <c r="W51" s="55" t="str">
        <f>IFERROR(VLOOKUP(tblCompPuntosCal[[#This Row],[Punto 2]],tblBD_PatronMasa[[Código Patrón]:[mpe]],7,FALSE),"")</f>
        <v/>
      </c>
      <c r="X51" s="55" t="str">
        <f>IFERROR(VLOOKUP(tblCompPuntosCal[[#This Row],[Punto 2]],tblBD_PatronMasa[[Código Patrón]:[mpe]],9,FALSE),"")</f>
        <v/>
      </c>
      <c r="Y51" s="66" t="str">
        <f>IF(switch="Sí",IFERROR(VLOOKUP(tblCompPuntosCal[[#This Row],[Punto 2]],'kU(E)'!$AB$7:$AK$56,10,FALSE)*1000,""),IFERROR(VLOOKUP(tblCompPuntosCal[[#This Row],[Punto 2]],'kU(E)'!$AB$7:$AK$56*1000,8,FALSE),""))</f>
        <v/>
      </c>
      <c r="Z51" s="55" t="str">
        <f>IFERROR(IF('kU(E)'!$E$6&lt;&gt;0,INDEX(deltaMconv,MATCH(tblCompPuntosCal[[#This Row],[mN2]],MnomDeltaT),MATCH('kU(E)'!$E$6,deltaT,-1))/SQRT(3),""),"")</f>
        <v/>
      </c>
      <c r="AA51" s="62"/>
      <c r="AB51" s="55" t="str">
        <f>IFERROR(VLOOKUP(tblCompPuntosCal[[#This Row],[Punto 3]],tblBD_PatronMasa[[Código Patrón]:[mpe]],4,FALSE),"")</f>
        <v/>
      </c>
      <c r="AC51" s="55" t="str">
        <f>IFERROR(VLOOKUP(tblCompPuntosCal[[#This Row],[Punto 3]],tblBD_PatronMasa[[Código Patrón]:[mpe]],6,FALSE),"")</f>
        <v/>
      </c>
      <c r="AD51" s="55" t="str">
        <f>IFERROR(VLOOKUP(tblCompPuntosCal[[#This Row],[Punto 3]],tblBD_PatronMasa[[Código Patrón]:[mpe]],7,FALSE),"")</f>
        <v/>
      </c>
      <c r="AE51" s="55" t="str">
        <f>IFERROR(VLOOKUP(tblCompPuntosCal[[#This Row],[Punto 3]],tblBD_PatronMasa[[Código Patrón]:[mpe]],9,FALSE),"")</f>
        <v/>
      </c>
      <c r="AF51" s="63" t="str">
        <f>IF(switch="Sí",IFERROR(VLOOKUP(tblCompPuntosCal[[#This Row],[Punto 3]],'kU(E)'!$AB$7:$AK$56,10,FALSE)*1000,""),IFERROR(VLOOKUP(tblCompPuntosCal[[#This Row],[Punto 3]],'kU(E)'!$AB$7:$AK$56*1000,8,FALSE),""))</f>
        <v/>
      </c>
      <c r="AG51" s="55" t="str">
        <f>IFERROR(IF('kU(E)'!$E$6&lt;&gt;0,INDEX(deltaMconv,MATCH(tblCompPuntosCal[[#This Row],[mN3]],MnomDeltaT),MATCH('kU(E)'!$E$6,deltaT,-1))/SQRT(3),""),"")</f>
        <v/>
      </c>
      <c r="AH51" s="62"/>
      <c r="AI51" s="55" t="str">
        <f>IFERROR(VLOOKUP(tblCompPuntosCal[[#This Row],[Punto 4]],tblBD_PatronMasa[[Código Patrón]:[mpe]],4,FALSE),"")</f>
        <v/>
      </c>
      <c r="AJ51" s="55" t="str">
        <f>IFERROR(VLOOKUP(tblCompPuntosCal[[#This Row],[Punto 4]],tblBD_PatronMasa[[Código Patrón]:[mpe]],6,FALSE),"")</f>
        <v/>
      </c>
      <c r="AK51" s="55" t="str">
        <f>IFERROR(VLOOKUP(tblCompPuntosCal[[#This Row],[Punto 4]],tblBD_PatronMasa[[Código Patrón]:[mpe]],7,FALSE),"")</f>
        <v/>
      </c>
      <c r="AL51" s="55" t="str">
        <f>IFERROR(VLOOKUP(tblCompPuntosCal[[#This Row],[Punto 4]],tblBD_PatronMasa[[Código Patrón]:[mpe]],9,FALSE),"")</f>
        <v/>
      </c>
      <c r="AM51" s="66" t="str">
        <f>IF(switch="Sí",IFERROR(VLOOKUP(tblCompPuntosCal[[#This Row],[Punto 4]],'kU(E)'!$AB$7:$AK$56,10,FALSE)*1000,""),IFERROR(VLOOKUP(tblCompPuntosCal[[#This Row],[Punto 4]],'kU(E)'!$AB$7:$AK$56,8,FALSE)*1000,""))</f>
        <v/>
      </c>
      <c r="AN51" s="55" t="str">
        <f>IFERROR(IF('kU(E)'!$E$6&lt;&gt;0,INDEX(deltaMconv,MATCH(tblCompPuntosCal[[#This Row],[mN4]],MnomDeltaT),MATCH('kU(E)'!$E$6,deltaT,-1))/SQRT(3),""),"")</f>
        <v/>
      </c>
      <c r="AO51" s="62"/>
      <c r="AP51" s="55" t="str">
        <f>IFERROR(VLOOKUP(tblCompPuntosCal[[#This Row],[Punto 5]],tblBD_PatronMasa[[Código Patrón]:[mpe]],4,FALSE),"")</f>
        <v/>
      </c>
      <c r="AQ51" s="55" t="str">
        <f>IFERROR(VLOOKUP(tblCompPuntosCal[[#This Row],[Punto 5]],tblBD_PatronMasa[[Código Patrón]:[mpe]],6,FALSE),"")</f>
        <v/>
      </c>
      <c r="AR51" s="55" t="str">
        <f>IFERROR(VLOOKUP(tblCompPuntosCal[[#This Row],[Punto 5]],tblBD_PatronMasa[[Código Patrón]:[mpe]],7,FALSE),"")</f>
        <v/>
      </c>
      <c r="AS51" s="55" t="str">
        <f>IFERROR(VLOOKUP(tblCompPuntosCal[[#This Row],[Punto 5]],tblBD_PatronMasa[[Código Patrón]:[mpe]],9,FALSE),"")</f>
        <v/>
      </c>
      <c r="AT51" s="66" t="str">
        <f>IF(switch="Sí",IFERROR(VLOOKUP(tblCompPuntosCal[[#This Row],[Punto 5]],'kU(E)'!$AB$7:$AK$56,10,FALSE)*1000,""),IFERROR(VLOOKUP(tblCompPuntosCal[[#This Row],[Punto 5]],'kU(E)'!$AB$7:$AK$56,8,FALSE)*1000,""))</f>
        <v/>
      </c>
      <c r="AU51" s="55" t="str">
        <f>IFERROR(IF('kU(E)'!$E$6&lt;&gt;0,INDEX(deltaMconv,MATCH(tblCompPuntosCal[[#This Row],[mN5]],MnomDeltaT),MATCH('kU(E)'!$E$6,deltaT,-1))/SQRT(3),""),"")</f>
        <v/>
      </c>
      <c r="AV51" s="62"/>
      <c r="AW51" s="59" t="str">
        <f>IFERROR(VLOOKUP(tblCompPuntosCal[[#This Row],[Punto 6]],tblBD_PatronMasa[[Código Patrón]:[mpe]],4,FALSE),"")</f>
        <v/>
      </c>
      <c r="AX51" s="59" t="str">
        <f>IFERROR(VLOOKUP(tblCompPuntosCal[[#This Row],[Punto 6]],tblBD_PatronMasa[[Código Patrón]:[mpe]],6,FALSE),"")</f>
        <v/>
      </c>
      <c r="AY51" s="59" t="str">
        <f>IFERROR(VLOOKUP(tblCompPuntosCal[[#This Row],[Punto 6]],tblBD_PatronMasa[[Código Patrón]:[mpe]],7,FALSE),"")</f>
        <v/>
      </c>
      <c r="AZ51" s="59" t="str">
        <f>IFERROR(VLOOKUP(tblCompPuntosCal[[#This Row],[Punto 6]],tblBD_PatronMasa[[Código Patrón]:[mpe]],9,FALSE),"")</f>
        <v/>
      </c>
      <c r="BA51" s="66" t="str">
        <f>IF(switch="Sí",IFERROR(VLOOKUP(tblCompPuntosCal[[#This Row],[Punto 6]],'kU(E)'!$AB$7:$AK$56,10,FALSE)*1000,""),IFERROR(VLOOKUP(tblCompPuntosCal[[#This Row],[Punto 6]],'kU(E)'!$AB$7:$AK$56,8,FALSE)*1000,""))</f>
        <v/>
      </c>
      <c r="BB51" s="59" t="str">
        <f>IFERROR(IF('kU(E)'!$E$6&lt;&gt;0,INDEX(deltaMconv,MATCH(tblCompPuntosCal[[#This Row],[mN6]],MnomDeltaT),MATCH('kU(E)'!$E$6,deltaT,-1))/SQRT(3),""),"")</f>
        <v/>
      </c>
      <c r="BC51" s="62"/>
      <c r="BD51" s="55" t="str">
        <f>IFERROR(VLOOKUP(tblCompPuntosCal[[#This Row],[Punto 7]],tblBD_PatronMasa[[Código Patrón]:[mpe]],4,FALSE),"")</f>
        <v/>
      </c>
      <c r="BE51" s="55" t="str">
        <f>IFERROR(VLOOKUP(tblCompPuntosCal[[#This Row],[Punto 7]],tblBD_PatronMasa[[Código Patrón]:[mpe]],6,FALSE),"")</f>
        <v/>
      </c>
      <c r="BF51" s="55" t="str">
        <f>IFERROR(VLOOKUP(tblCompPuntosCal[[#This Row],[Punto 7]],tblBD_PatronMasa[[Código Patrón]:[mpe]],7,FALSE),"")</f>
        <v/>
      </c>
      <c r="BG51" s="55" t="str">
        <f>IFERROR(VLOOKUP(tblCompPuntosCal[[#This Row],[Punto 7]],tblBD_PatronMasa[[Código Patrón]:[mpe]],9,FALSE),"")</f>
        <v/>
      </c>
      <c r="BH51" s="66" t="str">
        <f>IF(switch="Sí",IFERROR(VLOOKUP(tblCompPuntosCal[[#This Row],[Punto 7]],'kU(E)'!$AB$7:$AK$56,10,FALSE)*1000,""),IFERROR(VLOOKUP(tblCompPuntosCal[[#This Row],[Punto 7]],'kU(E)'!$AB$7:$AK$56,8,FALSE)*1000,""))</f>
        <v/>
      </c>
      <c r="BI51" s="55" t="str">
        <f>IFERROR(IF('kU(E)'!$E$6&lt;&gt;0,INDEX(deltaMconv,MATCH(tblCompPuntosCal[[#This Row],[mN7]],MnomDeltaT),MATCH('kU(E)'!$E$6,deltaT,-1))/SQRT(3),""),"")</f>
        <v/>
      </c>
      <c r="BJ51" s="62"/>
      <c r="BK51" s="55" t="str">
        <f>IFERROR(VLOOKUP(tblCompPuntosCal[[#This Row],[Punto 8]],tblBD_PatronMasa[[Código Patrón]:[mpe]],4,FALSE),"")</f>
        <v/>
      </c>
      <c r="BL51" s="55" t="str">
        <f>IFERROR(VLOOKUP(tblCompPuntosCal[[#This Row],[Punto 8]],tblBD_PatronMasa[[Código Patrón]:[mpe]],6,FALSE),"")</f>
        <v/>
      </c>
      <c r="BM51" s="55" t="str">
        <f>IFERROR(VLOOKUP(tblCompPuntosCal[[#This Row],[Punto 8]],tblBD_PatronMasa[[Código Patrón]:[mpe]],7,FALSE),"")</f>
        <v/>
      </c>
      <c r="BN51" s="55" t="str">
        <f>IFERROR(VLOOKUP(tblCompPuntosCal[[#This Row],[Punto 8]],tblBD_PatronMasa[[Código Patrón]:[mpe]],9,FALSE),"")</f>
        <v/>
      </c>
      <c r="BO51" s="66" t="str">
        <f>IF(switch="Sí",IFERROR(VLOOKUP(tblCompPuntosCal[[#This Row],[Punto 8]],'kU(E)'!$AB$7:$AK$56,10,FALSE)*1000,""),IFERROR(VLOOKUP(tblCompPuntosCal[[#This Row],[Punto 8]],'kU(E)'!$AB$7:$AK$56,8,FALSE)*1000,""))</f>
        <v/>
      </c>
      <c r="BP51" s="55" t="str">
        <f>IFERROR(IF('kU(E)'!$E$6&lt;&gt;0,INDEX(deltaMconv,MATCH(tblCompPuntosCal[[#This Row],[mN8]],MnomDeltaT),MATCH('kU(E)'!$E$6,deltaT,-1))/SQRT(3),""),"")</f>
        <v/>
      </c>
      <c r="BQ51" s="62"/>
      <c r="BR51" s="55" t="str">
        <f>IFERROR(VLOOKUP(tblCompPuntosCal[[#This Row],[Punto 9]],tblBD_PatronMasa[[Código Patrón]:[mpe]],4,FALSE),"")</f>
        <v/>
      </c>
      <c r="BS51" s="55" t="str">
        <f>IFERROR(VLOOKUP(tblCompPuntosCal[[#This Row],[Punto 9]],tblBD_PatronMasa[[Código Patrón]:[mpe]],6,FALSE),"")</f>
        <v/>
      </c>
      <c r="BT51" s="55" t="str">
        <f>IFERROR(VLOOKUP(tblCompPuntosCal[[#This Row],[Punto 9]],tblBD_PatronMasa[[Código Patrón]:[mpe]],7,FALSE),"")</f>
        <v/>
      </c>
      <c r="BU51" s="55" t="str">
        <f>IFERROR(VLOOKUP(tblCompPuntosCal[[#This Row],[Punto 9]],tblBD_PatronMasa[[Código Patrón]:[mpe]],9,FALSE),"")</f>
        <v/>
      </c>
      <c r="BV51" s="66" t="str">
        <f>IF(switch="Sí",IFERROR(VLOOKUP(tblCompPuntosCal[[#This Row],[Punto 9]],'kU(E)'!$AB$7:$AK$56,10,FALSE)*1000,""),IFERROR(VLOOKUP(tblCompPuntosCal[[#This Row],[Punto 9]],'kU(E)'!$AB$7:$AK$56,8,FALSE)*1000,""))</f>
        <v/>
      </c>
      <c r="BW51" s="55" t="str">
        <f>IFERROR(IF('kU(E)'!$E$6&lt;&gt;0,INDEX(deltaMconv,MATCH(tblCompPuntosCal[[#This Row],[mN9]],MnomDeltaT),MATCH('kU(E)'!$E$6,deltaT,-1))/SQRT(3),""),"")</f>
        <v/>
      </c>
      <c r="BX51" s="62"/>
      <c r="BY51" s="55" t="str">
        <f>IFERROR(VLOOKUP(tblCompPuntosCal[[#This Row],[Punto 10]],tblBD_PatronMasa[[Código Patrón]:[mpe]],4,FALSE),"")</f>
        <v/>
      </c>
      <c r="BZ51" s="55" t="str">
        <f>IFERROR(VLOOKUP(tblCompPuntosCal[[#This Row],[Punto 10]],tblBD_PatronMasa[[Código Patrón]:[mpe]],6,FALSE),"")</f>
        <v/>
      </c>
      <c r="CA51" s="59" t="str">
        <f>IFERROR(VLOOKUP(tblCompPuntosCal[[#This Row],[Punto 10]],tblBD_PatronMasa[[Código Patrón]:[mpe]],7,FALSE),"")</f>
        <v/>
      </c>
      <c r="CB51" s="59" t="str">
        <f>IFERROR(VLOOKUP(tblCompPuntosCal[[#This Row],[Punto 10]],tblBD_PatronMasa[[Código Patrón]:[mpe]],9,FALSE),"")</f>
        <v/>
      </c>
      <c r="CC51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51" s="59" t="str">
        <f>IFERROR(IF('kU(E)'!$E$6&lt;&gt;0,INDEX(deltaMconv,MATCH(tblCompPuntosCal[[#This Row],[mN10]],MnomDeltaT),MATCH('kU(E)'!$E$6,deltaT,-1))/SQRT(3),""),"")</f>
        <v/>
      </c>
      <c r="CG51" s="38">
        <v>47</v>
      </c>
      <c r="CH51" s="35">
        <f>tblCompPuntosCal[[#This Row],[Punto 1]]</f>
        <v>0</v>
      </c>
      <c r="CI51" s="35" t="str">
        <f>IF(tblTrazabilidad[[#This Row],[Código]]=0,"",IFERROR(IF(SEARCH("JM",tblTrazabilidad[[#This Row],[Código]])&gt;0,"Juego de pesas",),"Pesa"))</f>
        <v/>
      </c>
      <c r="CJ51" s="35" t="str">
        <f>IFERROR(VLOOKUP($CH51,tblBD_PatronMasa[[Código Patrón]:[mN-(mpe–U95)]],2,FALSE),"")</f>
        <v/>
      </c>
      <c r="CK51" s="35" t="str">
        <f>IFERROR(VLOOKUP($CH51,tblBD_PatronMasa[[Código Patrón]:[mN-(mpe–U95)]],13,FALSE),"")</f>
        <v/>
      </c>
      <c r="CL51" s="34" t="str">
        <f>IF(tblTrazabilidad[[#This Row],[Clase]]="F2",IFERROR(IF(VLOOKUP($CH51,tblBD_PatronMasa[[Código Patrón]:[mN-(mpe–U95)]],12,FALSE)=0,"",VLOOKUP($CH51,tblBD_PatronMasa[[Código Patrón]:[mN-(mpe–U95)]],12,FALSE)+731),""),IF(tblTrazabilidad[[#This Row],[Clase]]="F1",IFERROR(IF(VLOOKUP($CH51,tblBD_PatronMasa[[Código Patrón]:[mN-(mpe–U95)]],12,FALSE)=0,"",VLOOKUP($CH51,tblBD_PatronMasa[[Código Patrón]:[mN-(mpe–U95)]],12,FALSE)+731),""),IFERROR(IF(VLOOKUP($CH51,tblBD_PatronMasa[[Código Patrón]:[mN-(mpe–U95)]],12,FALSE)=0,"",VLOOKUP($CH51,tblBD_PatronMasa[[Código Patrón]:[mN-(mpe–U95)]],12,FALSE)+366),"")))</f>
        <v/>
      </c>
      <c r="CM51" s="33" t="str">
        <f>IFERROR(VLOOKUP($CH51,tblBD_PatronMasa[[Código Patrón]:[mN-(mpe–U95)]],3,FALSE),"")</f>
        <v/>
      </c>
      <c r="CO51" s="46"/>
      <c r="CP51" s="57" t="str">
        <f>IFERROR(VLOOKUP(CS51,tblTrazabilidad[[Código]:[Próxima calibración]],2,0),"")</f>
        <v/>
      </c>
      <c r="CQ51" s="58" t="str">
        <f>IFERROR(VLOOKUP(CS51,tblTrazabilidad[[Código]:[Clase]],6,0),"")</f>
        <v/>
      </c>
      <c r="CR51" s="57" t="str">
        <f>IFERROR(VLOOKUP(CS51,tblTrazabilidad[[Código]:[Próxima calibración]],3,0),"")</f>
        <v/>
      </c>
      <c r="CS51" s="56" t="str">
        <f t="shared" si="5"/>
        <v/>
      </c>
      <c r="CT51" s="55" t="str">
        <f>IFERROR(IF(VLOOKUP(CS51,tblTrazabilidad[[Código]:[Próxima calibración]],4,0)=0,"",VLOOKUP(CS51,tblTrazabilidad[[Código]:[Próxima calibración]],4,0)),"")</f>
        <v/>
      </c>
      <c r="CU51" s="54" t="str">
        <f>IFERROR(VLOOKUP(CS51,tblTrazabilidad[[Código]:[Próxima calibración]],5,0),"")</f>
        <v/>
      </c>
      <c r="CV51" s="53">
        <f t="shared" si="4"/>
        <v>0</v>
      </c>
      <c r="CW51" s="52" t="str">
        <f>IFERROR(LOOKUP(2,1/(COUNTIF($CW$4:CW50,tblTrazabilidad[Código])=0),tblTrazabilidad[Código]),"")</f>
        <v/>
      </c>
      <c r="DC51" s="1"/>
      <c r="DD51" s="1"/>
      <c r="DF51"/>
      <c r="DG51"/>
    </row>
    <row r="52" spans="2:111" ht="15.6" x14ac:dyDescent="0.35">
      <c r="B52" s="72" t="s">
        <v>139</v>
      </c>
      <c r="C52" s="71">
        <f>IFERROR(MAX(ABS(MAX($H$51:$H$55)),ABS(MIN($H$51:$H$55))),"")</f>
        <v>0</v>
      </c>
      <c r="D52" s="51" t="s">
        <v>138</v>
      </c>
      <c r="E52" s="50"/>
      <c r="F52" s="50"/>
      <c r="G52" s="49" t="str">
        <f>IF(E52="","",E52-F52)</f>
        <v/>
      </c>
      <c r="H52" s="49" t="str">
        <f>IFERROR(G52-$G$51,"")</f>
        <v/>
      </c>
      <c r="I52" s="45"/>
      <c r="J52" s="70"/>
      <c r="L52" s="8">
        <v>49</v>
      </c>
      <c r="M52" s="62"/>
      <c r="N52" s="59" t="str">
        <f>IFERROR(VLOOKUP(tblCompPuntosCal[[#This Row],[Punto 1]],tblBD_PatronMasa[[Código Patrón]:[mpe]],4,FALSE),"")</f>
        <v/>
      </c>
      <c r="O52" s="59" t="str">
        <f>IFERROR(VLOOKUP(tblCompPuntosCal[[#This Row],[Punto 1]],tblBD_PatronMasa[[Código Patrón]:[mpe]],6,FALSE),"")</f>
        <v/>
      </c>
      <c r="P52" s="55" t="str">
        <f>IFERROR(VLOOKUP(tblCompPuntosCal[[#This Row],[Punto 1]],tblBD_PatronMasa[[Código Patrón]:[mpe]],7,FALSE),"")</f>
        <v/>
      </c>
      <c r="Q52" s="55" t="str">
        <f>IFERROR(VLOOKUP(tblCompPuntosCal[[#This Row],[Punto 1]],tblBD_PatronMasa[[Código Patrón]:[mpe]],9,FALSE),"")</f>
        <v/>
      </c>
      <c r="R52" s="66" t="str">
        <f>IF(switch="Sí",IFERROR(VLOOKUP(tblCompPuntosCal[[#This Row],[Punto 1]],'kU(E)'!$AB$7:$AK$56,10,FALSE)*1000,""),IFERROR(VLOOKUP(tblCompPuntosCal[[#This Row],[Punto 1]],'kU(E)'!$AB$7:$AK$56*1000,8,FALSE),""))</f>
        <v/>
      </c>
      <c r="S52" s="55" t="str">
        <f>IFERROR(IF('kU(E)'!$E$6&lt;&gt;0,INDEX(deltaMconv,MATCH(tblCompPuntosCal[[#This Row],[mN1]],MnomDeltaT),MATCH('kU(E)'!$E$6,deltaT,-1))/SQRT(3),""),"")</f>
        <v/>
      </c>
      <c r="T52" s="62"/>
      <c r="U52" s="55" t="str">
        <f>IFERROR(VLOOKUP(tblCompPuntosCal[[#This Row],[Punto 2]],tblBD_PatronMasa[[Código Patrón]:[mpe]],4,FALSE),"")</f>
        <v/>
      </c>
      <c r="V52" s="55" t="str">
        <f>IFERROR(VLOOKUP(tblCompPuntosCal[[#This Row],[Punto 2]],tblBD_PatronMasa[[Código Patrón]:[mpe]],6,FALSE),"")</f>
        <v/>
      </c>
      <c r="W52" s="55" t="str">
        <f>IFERROR(VLOOKUP(tblCompPuntosCal[[#This Row],[Punto 2]],tblBD_PatronMasa[[Código Patrón]:[mpe]],7,FALSE),"")</f>
        <v/>
      </c>
      <c r="X52" s="55" t="str">
        <f>IFERROR(VLOOKUP(tblCompPuntosCal[[#This Row],[Punto 2]],tblBD_PatronMasa[[Código Patrón]:[mpe]],9,FALSE),"")</f>
        <v/>
      </c>
      <c r="Y52" s="66" t="str">
        <f>IF(switch="Sí",IFERROR(VLOOKUP(tblCompPuntosCal[[#This Row],[Punto 2]],'kU(E)'!$AB$7:$AK$56,10,FALSE)*1000,""),IFERROR(VLOOKUP(tblCompPuntosCal[[#This Row],[Punto 2]],'kU(E)'!$AB$7:$AK$56*1000,8,FALSE),""))</f>
        <v/>
      </c>
      <c r="Z52" s="55" t="str">
        <f>IFERROR(IF('kU(E)'!$E$6&lt;&gt;0,INDEX(deltaMconv,MATCH(tblCompPuntosCal[[#This Row],[mN2]],MnomDeltaT),MATCH('kU(E)'!$E$6,deltaT,-1))/SQRT(3),""),"")</f>
        <v/>
      </c>
      <c r="AA52" s="62"/>
      <c r="AB52" s="55" t="str">
        <f>IFERROR(VLOOKUP(tblCompPuntosCal[[#This Row],[Punto 3]],tblBD_PatronMasa[[Código Patrón]:[mpe]],4,FALSE),"")</f>
        <v/>
      </c>
      <c r="AC52" s="55" t="str">
        <f>IFERROR(VLOOKUP(tblCompPuntosCal[[#This Row],[Punto 3]],tblBD_PatronMasa[[Código Patrón]:[mpe]],6,FALSE),"")</f>
        <v/>
      </c>
      <c r="AD52" s="55" t="str">
        <f>IFERROR(VLOOKUP(tblCompPuntosCal[[#This Row],[Punto 3]],tblBD_PatronMasa[[Código Patrón]:[mpe]],7,FALSE),"")</f>
        <v/>
      </c>
      <c r="AE52" s="55" t="str">
        <f>IFERROR(VLOOKUP(tblCompPuntosCal[[#This Row],[Punto 3]],tblBD_PatronMasa[[Código Patrón]:[mpe]],9,FALSE),"")</f>
        <v/>
      </c>
      <c r="AF52" s="63" t="str">
        <f>IF(switch="Sí",IFERROR(VLOOKUP(tblCompPuntosCal[[#This Row],[Punto 3]],'kU(E)'!$AB$7:$AK$56,10,FALSE)*1000,""),IFERROR(VLOOKUP(tblCompPuntosCal[[#This Row],[Punto 3]],'kU(E)'!$AB$7:$AK$56*1000,8,FALSE),""))</f>
        <v/>
      </c>
      <c r="AG52" s="55" t="str">
        <f>IFERROR(IF('kU(E)'!$E$6&lt;&gt;0,INDEX(deltaMconv,MATCH(tblCompPuntosCal[[#This Row],[mN3]],MnomDeltaT),MATCH('kU(E)'!$E$6,deltaT,-1))/SQRT(3),""),"")</f>
        <v/>
      </c>
      <c r="AH52" s="62"/>
      <c r="AI52" s="55" t="str">
        <f>IFERROR(VLOOKUP(tblCompPuntosCal[[#This Row],[Punto 4]],tblBD_PatronMasa[[Código Patrón]:[mpe]],4,FALSE),"")</f>
        <v/>
      </c>
      <c r="AJ52" s="55" t="str">
        <f>IFERROR(VLOOKUP(tblCompPuntosCal[[#This Row],[Punto 4]],tblBD_PatronMasa[[Código Patrón]:[mpe]],6,FALSE),"")</f>
        <v/>
      </c>
      <c r="AK52" s="55" t="str">
        <f>IFERROR(VLOOKUP(tblCompPuntosCal[[#This Row],[Punto 4]],tblBD_PatronMasa[[Código Patrón]:[mpe]],7,FALSE),"")</f>
        <v/>
      </c>
      <c r="AL52" s="55" t="str">
        <f>IFERROR(VLOOKUP(tblCompPuntosCal[[#This Row],[Punto 4]],tblBD_PatronMasa[[Código Patrón]:[mpe]],9,FALSE),"")</f>
        <v/>
      </c>
      <c r="AM52" s="66" t="str">
        <f>IF(switch="Sí",IFERROR(VLOOKUP(tblCompPuntosCal[[#This Row],[Punto 4]],'kU(E)'!$AB$7:$AK$56,10,FALSE)*1000,""),IFERROR(VLOOKUP(tblCompPuntosCal[[#This Row],[Punto 4]],'kU(E)'!$AB$7:$AK$56,8,FALSE)*1000,""))</f>
        <v/>
      </c>
      <c r="AN52" s="55" t="str">
        <f>IFERROR(IF('kU(E)'!$E$6&lt;&gt;0,INDEX(deltaMconv,MATCH(tblCompPuntosCal[[#This Row],[mN4]],MnomDeltaT),MATCH('kU(E)'!$E$6,deltaT,-1))/SQRT(3),""),"")</f>
        <v/>
      </c>
      <c r="AO52" s="62"/>
      <c r="AP52" s="55" t="str">
        <f>IFERROR(VLOOKUP(tblCompPuntosCal[[#This Row],[Punto 5]],tblBD_PatronMasa[[Código Patrón]:[mpe]],4,FALSE),"")</f>
        <v/>
      </c>
      <c r="AQ52" s="55" t="str">
        <f>IFERROR(VLOOKUP(tblCompPuntosCal[[#This Row],[Punto 5]],tblBD_PatronMasa[[Código Patrón]:[mpe]],6,FALSE),"")</f>
        <v/>
      </c>
      <c r="AR52" s="55" t="str">
        <f>IFERROR(VLOOKUP(tblCompPuntosCal[[#This Row],[Punto 5]],tblBD_PatronMasa[[Código Patrón]:[mpe]],7,FALSE),"")</f>
        <v/>
      </c>
      <c r="AS52" s="55" t="str">
        <f>IFERROR(VLOOKUP(tblCompPuntosCal[[#This Row],[Punto 5]],tblBD_PatronMasa[[Código Patrón]:[mpe]],9,FALSE),"")</f>
        <v/>
      </c>
      <c r="AT52" s="66" t="str">
        <f>IF(switch="Sí",IFERROR(VLOOKUP(tblCompPuntosCal[[#This Row],[Punto 5]],'kU(E)'!$AB$7:$AK$56,10,FALSE)*1000,""),IFERROR(VLOOKUP(tblCompPuntosCal[[#This Row],[Punto 5]],'kU(E)'!$AB$7:$AK$56,8,FALSE)*1000,""))</f>
        <v/>
      </c>
      <c r="AU52" s="55" t="str">
        <f>IFERROR(IF('kU(E)'!$E$6&lt;&gt;0,INDEX(deltaMconv,MATCH(tblCompPuntosCal[[#This Row],[mN5]],MnomDeltaT),MATCH('kU(E)'!$E$6,deltaT,-1))/SQRT(3),""),"")</f>
        <v/>
      </c>
      <c r="AV52" s="62"/>
      <c r="AW52" s="59" t="str">
        <f>IFERROR(VLOOKUP(tblCompPuntosCal[[#This Row],[Punto 6]],tblBD_PatronMasa[[Código Patrón]:[mpe]],4,FALSE),"")</f>
        <v/>
      </c>
      <c r="AX52" s="59" t="str">
        <f>IFERROR(VLOOKUP(tblCompPuntosCal[[#This Row],[Punto 6]],tblBD_PatronMasa[[Código Patrón]:[mpe]],6,FALSE),"")</f>
        <v/>
      </c>
      <c r="AY52" s="59" t="str">
        <f>IFERROR(VLOOKUP(tblCompPuntosCal[[#This Row],[Punto 6]],tblBD_PatronMasa[[Código Patrón]:[mpe]],7,FALSE),"")</f>
        <v/>
      </c>
      <c r="AZ52" s="59" t="str">
        <f>IFERROR(VLOOKUP(tblCompPuntosCal[[#This Row],[Punto 6]],tblBD_PatronMasa[[Código Patrón]:[mpe]],9,FALSE),"")</f>
        <v/>
      </c>
      <c r="BA52" s="66" t="str">
        <f>IF(switch="Sí",IFERROR(VLOOKUP(tblCompPuntosCal[[#This Row],[Punto 6]],'kU(E)'!$AB$7:$AK$56,10,FALSE)*1000,""),IFERROR(VLOOKUP(tblCompPuntosCal[[#This Row],[Punto 6]],'kU(E)'!$AB$7:$AK$56,8,FALSE)*1000,""))</f>
        <v/>
      </c>
      <c r="BB52" s="59" t="str">
        <f>IFERROR(IF('kU(E)'!$E$6&lt;&gt;0,INDEX(deltaMconv,MATCH(tblCompPuntosCal[[#This Row],[mN6]],MnomDeltaT),MATCH('kU(E)'!$E$6,deltaT,-1))/SQRT(3),""),"")</f>
        <v/>
      </c>
      <c r="BC52" s="62"/>
      <c r="BD52" s="55" t="str">
        <f>IFERROR(VLOOKUP(tblCompPuntosCal[[#This Row],[Punto 7]],tblBD_PatronMasa[[Código Patrón]:[mpe]],4,FALSE),"")</f>
        <v/>
      </c>
      <c r="BE52" s="55" t="str">
        <f>IFERROR(VLOOKUP(tblCompPuntosCal[[#This Row],[Punto 7]],tblBD_PatronMasa[[Código Patrón]:[mpe]],6,FALSE),"")</f>
        <v/>
      </c>
      <c r="BF52" s="55" t="str">
        <f>IFERROR(VLOOKUP(tblCompPuntosCal[[#This Row],[Punto 7]],tblBD_PatronMasa[[Código Patrón]:[mpe]],7,FALSE),"")</f>
        <v/>
      </c>
      <c r="BG52" s="55" t="str">
        <f>IFERROR(VLOOKUP(tblCompPuntosCal[[#This Row],[Punto 7]],tblBD_PatronMasa[[Código Patrón]:[mpe]],9,FALSE),"")</f>
        <v/>
      </c>
      <c r="BH52" s="66" t="str">
        <f>IF(switch="Sí",IFERROR(VLOOKUP(tblCompPuntosCal[[#This Row],[Punto 7]],'kU(E)'!$AB$7:$AK$56,10,FALSE)*1000,""),IFERROR(VLOOKUP(tblCompPuntosCal[[#This Row],[Punto 7]],'kU(E)'!$AB$7:$AK$56,8,FALSE)*1000,""))</f>
        <v/>
      </c>
      <c r="BI52" s="55" t="str">
        <f>IFERROR(IF('kU(E)'!$E$6&lt;&gt;0,INDEX(deltaMconv,MATCH(tblCompPuntosCal[[#This Row],[mN7]],MnomDeltaT),MATCH('kU(E)'!$E$6,deltaT,-1))/SQRT(3),""),"")</f>
        <v/>
      </c>
      <c r="BJ52" s="62"/>
      <c r="BK52" s="55" t="str">
        <f>IFERROR(VLOOKUP(tblCompPuntosCal[[#This Row],[Punto 8]],tblBD_PatronMasa[[Código Patrón]:[mpe]],4,FALSE),"")</f>
        <v/>
      </c>
      <c r="BL52" s="55" t="str">
        <f>IFERROR(VLOOKUP(tblCompPuntosCal[[#This Row],[Punto 8]],tblBD_PatronMasa[[Código Patrón]:[mpe]],6,FALSE),"")</f>
        <v/>
      </c>
      <c r="BM52" s="55" t="str">
        <f>IFERROR(VLOOKUP(tblCompPuntosCal[[#This Row],[Punto 8]],tblBD_PatronMasa[[Código Patrón]:[mpe]],7,FALSE),"")</f>
        <v/>
      </c>
      <c r="BN52" s="55" t="str">
        <f>IFERROR(VLOOKUP(tblCompPuntosCal[[#This Row],[Punto 8]],tblBD_PatronMasa[[Código Patrón]:[mpe]],9,FALSE),"")</f>
        <v/>
      </c>
      <c r="BO52" s="66" t="str">
        <f>IF(switch="Sí",IFERROR(VLOOKUP(tblCompPuntosCal[[#This Row],[Punto 8]],'kU(E)'!$AB$7:$AK$56,10,FALSE)*1000,""),IFERROR(VLOOKUP(tblCompPuntosCal[[#This Row],[Punto 8]],'kU(E)'!$AB$7:$AK$56,8,FALSE)*1000,""))</f>
        <v/>
      </c>
      <c r="BP52" s="55" t="str">
        <f>IFERROR(IF('kU(E)'!$E$6&lt;&gt;0,INDEX(deltaMconv,MATCH(tblCompPuntosCal[[#This Row],[mN8]],MnomDeltaT),MATCH('kU(E)'!$E$6,deltaT,-1))/SQRT(3),""),"")</f>
        <v/>
      </c>
      <c r="BQ52" s="62"/>
      <c r="BR52" s="55" t="str">
        <f>IFERROR(VLOOKUP(tblCompPuntosCal[[#This Row],[Punto 9]],tblBD_PatronMasa[[Código Patrón]:[mpe]],4,FALSE),"")</f>
        <v/>
      </c>
      <c r="BS52" s="55" t="str">
        <f>IFERROR(VLOOKUP(tblCompPuntosCal[[#This Row],[Punto 9]],tblBD_PatronMasa[[Código Patrón]:[mpe]],6,FALSE),"")</f>
        <v/>
      </c>
      <c r="BT52" s="55" t="str">
        <f>IFERROR(VLOOKUP(tblCompPuntosCal[[#This Row],[Punto 9]],tblBD_PatronMasa[[Código Patrón]:[mpe]],7,FALSE),"")</f>
        <v/>
      </c>
      <c r="BU52" s="55" t="str">
        <f>IFERROR(VLOOKUP(tblCompPuntosCal[[#This Row],[Punto 9]],tblBD_PatronMasa[[Código Patrón]:[mpe]],9,FALSE),"")</f>
        <v/>
      </c>
      <c r="BV52" s="66" t="str">
        <f>IF(switch="Sí",IFERROR(VLOOKUP(tblCompPuntosCal[[#This Row],[Punto 9]],'kU(E)'!$AB$7:$AK$56,10,FALSE)*1000,""),IFERROR(VLOOKUP(tblCompPuntosCal[[#This Row],[Punto 9]],'kU(E)'!$AB$7:$AK$56,8,FALSE)*1000,""))</f>
        <v/>
      </c>
      <c r="BW52" s="55" t="str">
        <f>IFERROR(IF('kU(E)'!$E$6&lt;&gt;0,INDEX(deltaMconv,MATCH(tblCompPuntosCal[[#This Row],[mN9]],MnomDeltaT),MATCH('kU(E)'!$E$6,deltaT,-1))/SQRT(3),""),"")</f>
        <v/>
      </c>
      <c r="BX52" s="62"/>
      <c r="BY52" s="55" t="str">
        <f>IFERROR(VLOOKUP(tblCompPuntosCal[[#This Row],[Punto 10]],tblBD_PatronMasa[[Código Patrón]:[mpe]],4,FALSE),"")</f>
        <v/>
      </c>
      <c r="BZ52" s="55" t="str">
        <f>IFERROR(VLOOKUP(tblCompPuntosCal[[#This Row],[Punto 10]],tblBD_PatronMasa[[Código Patrón]:[mpe]],6,FALSE),"")</f>
        <v/>
      </c>
      <c r="CA52" s="59" t="str">
        <f>IFERROR(VLOOKUP(tblCompPuntosCal[[#This Row],[Punto 10]],tblBD_PatronMasa[[Código Patrón]:[mpe]],7,FALSE),"")</f>
        <v/>
      </c>
      <c r="CB52" s="59" t="str">
        <f>IFERROR(VLOOKUP(tblCompPuntosCal[[#This Row],[Punto 10]],tblBD_PatronMasa[[Código Patrón]:[mpe]],9,FALSE),"")</f>
        <v/>
      </c>
      <c r="CC52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52" s="59" t="str">
        <f>IFERROR(IF('kU(E)'!$E$6&lt;&gt;0,INDEX(deltaMconv,MATCH(tblCompPuntosCal[[#This Row],[mN10]],MnomDeltaT),MATCH('kU(E)'!$E$6,deltaT,-1))/SQRT(3),""),"")</f>
        <v/>
      </c>
      <c r="CG52" s="38">
        <v>48</v>
      </c>
      <c r="CH52" s="35">
        <f>tblCompPuntosCal[[#This Row],[Punto 1]]</f>
        <v>0</v>
      </c>
      <c r="CI52" s="35" t="str">
        <f>IF(tblTrazabilidad[[#This Row],[Código]]=0,"",IFERROR(IF(SEARCH("JM",tblTrazabilidad[[#This Row],[Código]])&gt;0,"Juego de pesas",),"Pesa"))</f>
        <v/>
      </c>
      <c r="CJ52" s="35" t="str">
        <f>IFERROR(VLOOKUP($CH52,tblBD_PatronMasa[[Código Patrón]:[mN-(mpe–U95)]],2,FALSE),"")</f>
        <v/>
      </c>
      <c r="CK52" s="35" t="str">
        <f>IFERROR(VLOOKUP($CH52,tblBD_PatronMasa[[Código Patrón]:[mN-(mpe–U95)]],13,FALSE),"")</f>
        <v/>
      </c>
      <c r="CL52" s="34" t="str">
        <f>IF(tblTrazabilidad[[#This Row],[Clase]]="F2",IFERROR(IF(VLOOKUP($CH52,tblBD_PatronMasa[[Código Patrón]:[mN-(mpe–U95)]],12,FALSE)=0,"",VLOOKUP($CH52,tblBD_PatronMasa[[Código Patrón]:[mN-(mpe–U95)]],12,FALSE)+731),""),IF(tblTrazabilidad[[#This Row],[Clase]]="F1",IFERROR(IF(VLOOKUP($CH52,tblBD_PatronMasa[[Código Patrón]:[mN-(mpe–U95)]],12,FALSE)=0,"",VLOOKUP($CH52,tblBD_PatronMasa[[Código Patrón]:[mN-(mpe–U95)]],12,FALSE)+731),""),IFERROR(IF(VLOOKUP($CH52,tblBD_PatronMasa[[Código Patrón]:[mN-(mpe–U95)]],12,FALSE)=0,"",VLOOKUP($CH52,tblBD_PatronMasa[[Código Patrón]:[mN-(mpe–U95)]],12,FALSE)+366),"")))</f>
        <v/>
      </c>
      <c r="CM52" s="33" t="str">
        <f>IFERROR(VLOOKUP($CH52,tblBD_PatronMasa[[Código Patrón]:[mN-(mpe–U95)]],3,FALSE),"")</f>
        <v/>
      </c>
      <c r="CO52" s="46"/>
      <c r="CP52" s="57" t="str">
        <f>IFERROR(VLOOKUP(CS52,tblTrazabilidad[[Código]:[Próxima calibración]],2,0),"")</f>
        <v/>
      </c>
      <c r="CQ52" s="58" t="str">
        <f>IFERROR(VLOOKUP(CS52,tblTrazabilidad[[Código]:[Clase]],6,0),"")</f>
        <v/>
      </c>
      <c r="CR52" s="57" t="str">
        <f>IFERROR(VLOOKUP(CS52,tblTrazabilidad[[Código]:[Próxima calibración]],3,0),"")</f>
        <v/>
      </c>
      <c r="CS52" s="56" t="str">
        <f t="shared" si="5"/>
        <v/>
      </c>
      <c r="CT52" s="55" t="str">
        <f>IFERROR(IF(VLOOKUP(CS52,tblTrazabilidad[[Código]:[Próxima calibración]],4,0)=0,"",VLOOKUP(CS52,tblTrazabilidad[[Código]:[Próxima calibración]],4,0)),"")</f>
        <v/>
      </c>
      <c r="CU52" s="54" t="str">
        <f>IFERROR(VLOOKUP(CS52,tblTrazabilidad[[Código]:[Próxima calibración]],5,0),"")</f>
        <v/>
      </c>
      <c r="CV52" s="53">
        <f t="shared" si="4"/>
        <v>0</v>
      </c>
      <c r="CW52" s="52" t="str">
        <f>IFERROR(LOOKUP(2,1/(COUNTIF($CW$4:CW51,tblTrazabilidad[Código])=0),tblTrazabilidad[Código]),"")</f>
        <v/>
      </c>
      <c r="DC52" s="1"/>
      <c r="DD52" s="1"/>
      <c r="DF52"/>
      <c r="DG52"/>
    </row>
    <row r="53" spans="2:111" ht="15.6" x14ac:dyDescent="0.3">
      <c r="B53" s="69" t="s">
        <v>137</v>
      </c>
      <c r="C53" s="68">
        <f>IFERROR(2*$C$50*SQRT(3),"")</f>
        <v>0</v>
      </c>
      <c r="D53" s="51" t="s">
        <v>136</v>
      </c>
      <c r="E53" s="50"/>
      <c r="F53" s="50"/>
      <c r="G53" s="49" t="str">
        <f>IF(E53="","",E53-F53)</f>
        <v/>
      </c>
      <c r="H53" s="49" t="str">
        <f>IFERROR(G53-$G$51,"")</f>
        <v/>
      </c>
      <c r="I53" s="45"/>
      <c r="J53" s="45"/>
      <c r="L53" s="8">
        <v>50</v>
      </c>
      <c r="M53" s="62"/>
      <c r="N53" s="59" t="str">
        <f>IFERROR(VLOOKUP(tblCompPuntosCal[[#This Row],[Punto 1]],tblBD_PatronMasa[[Código Patrón]:[mpe]],4,FALSE),"")</f>
        <v/>
      </c>
      <c r="O53" s="59" t="str">
        <f>IFERROR(VLOOKUP(tblCompPuntosCal[[#This Row],[Punto 1]],tblBD_PatronMasa[[Código Patrón]:[mpe]],6,FALSE),"")</f>
        <v/>
      </c>
      <c r="P53" s="55" t="str">
        <f>IFERROR(VLOOKUP(tblCompPuntosCal[[#This Row],[Punto 1]],tblBD_PatronMasa[[Código Patrón]:[mpe]],7,FALSE),"")</f>
        <v/>
      </c>
      <c r="Q53" s="55" t="str">
        <f>IFERROR(VLOOKUP(tblCompPuntosCal[[#This Row],[Punto 1]],tblBD_PatronMasa[[Código Patrón]:[mpe]],9,FALSE),"")</f>
        <v/>
      </c>
      <c r="R53" s="66" t="str">
        <f>IF(switch="Sí",IFERROR(VLOOKUP(tblCompPuntosCal[[#This Row],[Punto 1]],'kU(E)'!$AB$7:$AK$56,10,FALSE)*1000,""),IFERROR(VLOOKUP(tblCompPuntosCal[[#This Row],[Punto 1]],'kU(E)'!$AB$7:$AK$56*1000,8,FALSE),""))</f>
        <v/>
      </c>
      <c r="S53" s="55" t="str">
        <f>IFERROR(IF('kU(E)'!$E$6&lt;&gt;0,INDEX(deltaMconv,MATCH(tblCompPuntosCal[[#This Row],[mN1]],MnomDeltaT),MATCH('kU(E)'!$E$6,deltaT,-1))/SQRT(3),""),"")</f>
        <v/>
      </c>
      <c r="T53" s="62"/>
      <c r="U53" s="55" t="str">
        <f>IFERROR(VLOOKUP(tblCompPuntosCal[[#This Row],[Punto 2]],tblBD_PatronMasa[[Código Patrón]:[mpe]],4,FALSE),"")</f>
        <v/>
      </c>
      <c r="V53" s="55" t="str">
        <f>IFERROR(VLOOKUP(tblCompPuntosCal[[#This Row],[Punto 2]],tblBD_PatronMasa[[Código Patrón]:[mpe]],6,FALSE),"")</f>
        <v/>
      </c>
      <c r="W53" s="55" t="str">
        <f>IFERROR(VLOOKUP(tblCompPuntosCal[[#This Row],[Punto 2]],tblBD_PatronMasa[[Código Patrón]:[mpe]],7,FALSE),"")</f>
        <v/>
      </c>
      <c r="X53" s="55" t="str">
        <f>IFERROR(VLOOKUP(tblCompPuntosCal[[#This Row],[Punto 2]],tblBD_PatronMasa[[Código Patrón]:[mpe]],9,FALSE),"")</f>
        <v/>
      </c>
      <c r="Y53" s="66" t="str">
        <f>IF(switch="Sí",IFERROR(VLOOKUP(tblCompPuntosCal[[#This Row],[Punto 2]],'kU(E)'!$AB$7:$AK$56,10,FALSE)*1000,""),IFERROR(VLOOKUP(tblCompPuntosCal[[#This Row],[Punto 2]],'kU(E)'!$AB$7:$AK$56*1000,8,FALSE),""))</f>
        <v/>
      </c>
      <c r="Z53" s="55" t="str">
        <f>IFERROR(IF('kU(E)'!$E$6&lt;&gt;0,INDEX(deltaMconv,MATCH(tblCompPuntosCal[[#This Row],[mN2]],MnomDeltaT),MATCH('kU(E)'!$E$6,deltaT,-1))/SQRT(3),""),"")</f>
        <v/>
      </c>
      <c r="AA53" s="62"/>
      <c r="AB53" s="55" t="str">
        <f>IFERROR(VLOOKUP(tblCompPuntosCal[[#This Row],[Punto 3]],tblBD_PatronMasa[[Código Patrón]:[mpe]],4,FALSE),"")</f>
        <v/>
      </c>
      <c r="AC53" s="55" t="str">
        <f>IFERROR(VLOOKUP(tblCompPuntosCal[[#This Row],[Punto 3]],tblBD_PatronMasa[[Código Patrón]:[mpe]],6,FALSE),"")</f>
        <v/>
      </c>
      <c r="AD53" s="67" t="str">
        <f>IFERROR(VLOOKUP(tblCompPuntosCal[[#This Row],[Punto 3]],tblBD_PatronMasa[[Código Patrón]:[mpe]],7,FALSE),"")</f>
        <v/>
      </c>
      <c r="AE53" s="67" t="str">
        <f>IFERROR(VLOOKUP(tblCompPuntosCal[[#This Row],[Punto 3]],tblBD_PatronMasa[[Código Patrón]:[mpe]],9,FALSE),"")</f>
        <v/>
      </c>
      <c r="AF53" s="63" t="str">
        <f>IF(switch="Sí",IFERROR(VLOOKUP(tblCompPuntosCal[[#This Row],[Punto 3]],'kU(E)'!$AB$7:$AK$56,10,FALSE)*1000,""),IFERROR(VLOOKUP(tblCompPuntosCal[[#This Row],[Punto 3]],'kU(E)'!$AB$7:$AK$56*1000,8,FALSE),""))</f>
        <v/>
      </c>
      <c r="AG53" s="67" t="str">
        <f>IFERROR(IF('kU(E)'!$E$6&lt;&gt;0,INDEX(deltaMconv,MATCH(tblCompPuntosCal[[#This Row],[mN3]],MnomDeltaT),MATCH('kU(E)'!$E$6,deltaT,-1))/SQRT(3),""),"")</f>
        <v/>
      </c>
      <c r="AH53" s="62"/>
      <c r="AI53" s="67" t="str">
        <f>IFERROR(VLOOKUP(tblCompPuntosCal[[#This Row],[Punto 4]],tblBD_PatronMasa[[Código Patrón]:[mpe]],4,FALSE),"")</f>
        <v/>
      </c>
      <c r="AJ53" s="55" t="str">
        <f>IFERROR(VLOOKUP(tblCompPuntosCal[[#This Row],[Punto 4]],tblBD_PatronMasa[[Código Patrón]:[mpe]],6,FALSE),"")</f>
        <v/>
      </c>
      <c r="AK53" s="55" t="str">
        <f>IFERROR(VLOOKUP(tblCompPuntosCal[[#This Row],[Punto 4]],tblBD_PatronMasa[[Código Patrón]:[mpe]],7,FALSE),"")</f>
        <v/>
      </c>
      <c r="AL53" s="55" t="str">
        <f>IFERROR(VLOOKUP(tblCompPuntosCal[[#This Row],[Punto 4]],tblBD_PatronMasa[[Código Patrón]:[mpe]],9,FALSE),"")</f>
        <v/>
      </c>
      <c r="AM53" s="66" t="str">
        <f>IF(switch="Sí",IFERROR(VLOOKUP(tblCompPuntosCal[[#This Row],[Punto 4]],'kU(E)'!$AB$7:$AK$56,10,FALSE)*1000,""),IFERROR(VLOOKUP(tblCompPuntosCal[[#This Row],[Punto 4]],'kU(E)'!$AB$7:$AK$56,8,FALSE)*1000,""))</f>
        <v/>
      </c>
      <c r="AN53" s="55" t="str">
        <f>IFERROR(IF('kU(E)'!$E$6&lt;&gt;0,INDEX(deltaMconv,MATCH(tblCompPuntosCal[[#This Row],[mN4]],MnomDeltaT),MATCH('kU(E)'!$E$6,deltaT,-1))/SQRT(3),""),"")</f>
        <v/>
      </c>
      <c r="AO53" s="62"/>
      <c r="AP53" s="55" t="str">
        <f>IFERROR(VLOOKUP(tblCompPuntosCal[[#This Row],[Punto 5]],tblBD_PatronMasa[[Código Patrón]:[mpe]],4,FALSE),"")</f>
        <v/>
      </c>
      <c r="AQ53" s="55" t="str">
        <f>IFERROR(VLOOKUP(tblCompPuntosCal[[#This Row],[Punto 5]],tblBD_PatronMasa[[Código Patrón]:[mpe]],6,FALSE),"")</f>
        <v/>
      </c>
      <c r="AR53" s="55" t="str">
        <f>IFERROR(VLOOKUP(tblCompPuntosCal[[#This Row],[Punto 5]],tblBD_PatronMasa[[Código Patrón]:[mpe]],7,FALSE),"")</f>
        <v/>
      </c>
      <c r="AS53" s="55" t="str">
        <f>IFERROR(VLOOKUP(tblCompPuntosCal[[#This Row],[Punto 5]],tblBD_PatronMasa[[Código Patrón]:[mpe]],9,FALSE),"")</f>
        <v/>
      </c>
      <c r="AT53" s="66" t="str">
        <f>IF(switch="Sí",IFERROR(VLOOKUP(tblCompPuntosCal[[#This Row],[Punto 5]],'kU(E)'!$AB$7:$AK$56,10,FALSE)*1000,""),IFERROR(VLOOKUP(tblCompPuntosCal[[#This Row],[Punto 5]],'kU(E)'!$AB$7:$AK$56,8,FALSE)*1000,""))</f>
        <v/>
      </c>
      <c r="AU53" s="55" t="str">
        <f>IFERROR(IF('kU(E)'!$E$6&lt;&gt;0,INDEX(deltaMconv,MATCH(tblCompPuntosCal[[#This Row],[mN5]],MnomDeltaT),MATCH('kU(E)'!$E$6,deltaT,-1))/SQRT(3),""),"")</f>
        <v/>
      </c>
      <c r="AV53" s="62"/>
      <c r="AW53" s="55" t="str">
        <f>IFERROR(VLOOKUP(tblCompPuntosCal[[#This Row],[Punto 6]],tblBD_PatronMasa[[Código Patrón]:[mpe]],4,FALSE),"")</f>
        <v/>
      </c>
      <c r="AX53" s="55" t="str">
        <f>IFERROR(VLOOKUP(tblCompPuntosCal[[#This Row],[Punto 6]],tblBD_PatronMasa[[Código Patrón]:[mpe]],6,FALSE),"")</f>
        <v/>
      </c>
      <c r="AY53" s="55" t="str">
        <f>IFERROR(VLOOKUP(tblCompPuntosCal[[#This Row],[Punto 6]],tblBD_PatronMasa[[Código Patrón]:[mpe]],7,FALSE),"")</f>
        <v/>
      </c>
      <c r="AZ53" s="55" t="str">
        <f>IFERROR(VLOOKUP(tblCompPuntosCal[[#This Row],[Punto 6]],tblBD_PatronMasa[[Código Patrón]:[mpe]],9,FALSE),"")</f>
        <v/>
      </c>
      <c r="BA53" s="66" t="str">
        <f>IF(switch="Sí",IFERROR(VLOOKUP(tblCompPuntosCal[[#This Row],[Punto 6]],'kU(E)'!$AB$7:$AK$56,10,FALSE)*1000,""),IFERROR(VLOOKUP(tblCompPuntosCal[[#This Row],[Punto 6]],'kU(E)'!$AB$7:$AK$56,8,FALSE)*1000,""))</f>
        <v/>
      </c>
      <c r="BB53" s="55" t="str">
        <f>IFERROR(IF('kU(E)'!$E$6&lt;&gt;0,INDEX(deltaMconv,MATCH(tblCompPuntosCal[[#This Row],[mN6]],MnomDeltaT),MATCH('kU(E)'!$E$6,deltaT,-1))/SQRT(3),""),"")</f>
        <v/>
      </c>
      <c r="BC53" s="62"/>
      <c r="BD53" s="55" t="str">
        <f>IFERROR(VLOOKUP(tblCompPuntosCal[[#This Row],[Punto 7]],tblBD_PatronMasa[[Código Patrón]:[mpe]],4,FALSE),"")</f>
        <v/>
      </c>
      <c r="BE53" s="55" t="str">
        <f>IFERROR(VLOOKUP(tblCompPuntosCal[[#This Row],[Punto 7]],tblBD_PatronMasa[[Código Patrón]:[mpe]],6,FALSE),"")</f>
        <v/>
      </c>
      <c r="BF53" s="55" t="str">
        <f>IFERROR(VLOOKUP(tblCompPuntosCal[[#This Row],[Punto 7]],tblBD_PatronMasa[[Código Patrón]:[mpe]],7,FALSE),"")</f>
        <v/>
      </c>
      <c r="BG53" s="55" t="str">
        <f>IFERROR(VLOOKUP(tblCompPuntosCal[[#This Row],[Punto 7]],tblBD_PatronMasa[[Código Patrón]:[mpe]],9,FALSE),"")</f>
        <v/>
      </c>
      <c r="BH53" s="66" t="str">
        <f>IF(switch="Sí",IFERROR(VLOOKUP(tblCompPuntosCal[[#This Row],[Punto 7]],'kU(E)'!$AB$7:$AK$56,10,FALSE)*1000,""),IFERROR(VLOOKUP(tblCompPuntosCal[[#This Row],[Punto 7]],'kU(E)'!$AB$7:$AK$56,8,FALSE)*1000,""))</f>
        <v/>
      </c>
      <c r="BI53" s="55" t="str">
        <f>IFERROR(IF('kU(E)'!$E$6&lt;&gt;0,INDEX(deltaMconv,MATCH(tblCompPuntosCal[[#This Row],[mN7]],MnomDeltaT),MATCH('kU(E)'!$E$6,deltaT,-1))/SQRT(3),""),"")</f>
        <v/>
      </c>
      <c r="BJ53" s="62"/>
      <c r="BK53" s="55" t="str">
        <f>IFERROR(VLOOKUP(tblCompPuntosCal[[#This Row],[Punto 8]],tblBD_PatronMasa[[Código Patrón]:[mpe]],4,FALSE),"")</f>
        <v/>
      </c>
      <c r="BL53" s="55" t="str">
        <f>IFERROR(VLOOKUP(tblCompPuntosCal[[#This Row],[Punto 8]],tblBD_PatronMasa[[Código Patrón]:[mpe]],6,FALSE),"")</f>
        <v/>
      </c>
      <c r="BM53" s="55" t="str">
        <f>IFERROR(VLOOKUP(tblCompPuntosCal[[#This Row],[Punto 8]],tblBD_PatronMasa[[Código Patrón]:[mpe]],7,FALSE),"")</f>
        <v/>
      </c>
      <c r="BN53" s="55" t="str">
        <f>IFERROR(VLOOKUP(tblCompPuntosCal[[#This Row],[Punto 8]],tblBD_PatronMasa[[Código Patrón]:[mpe]],9,FALSE),"")</f>
        <v/>
      </c>
      <c r="BO53" s="66" t="str">
        <f>IF(switch="Sí",IFERROR(VLOOKUP(tblCompPuntosCal[[#This Row],[Punto 8]],'kU(E)'!$AB$7:$AK$56,10,FALSE)*1000,""),IFERROR(VLOOKUP(tblCompPuntosCal[[#This Row],[Punto 8]],'kU(E)'!$AB$7:$AK$56,8,FALSE)*1000,""))</f>
        <v/>
      </c>
      <c r="BP53" s="55" t="str">
        <f>IFERROR(IF('kU(E)'!$E$6&lt;&gt;0,INDEX(deltaMconv,MATCH(tblCompPuntosCal[[#This Row],[mN8]],MnomDeltaT),MATCH('kU(E)'!$E$6,deltaT,-1))/SQRT(3),""),"")</f>
        <v/>
      </c>
      <c r="BQ53" s="62"/>
      <c r="BR53" s="55" t="str">
        <f>IFERROR(VLOOKUP(tblCompPuntosCal[[#This Row],[Punto 9]],tblBD_PatronMasa[[Código Patrón]:[mpe]],4,FALSE),"")</f>
        <v/>
      </c>
      <c r="BS53" s="55" t="str">
        <f>IFERROR(VLOOKUP(tblCompPuntosCal[[#This Row],[Punto 9]],tblBD_PatronMasa[[Código Patrón]:[mpe]],6,FALSE),"")</f>
        <v/>
      </c>
      <c r="BT53" s="55" t="str">
        <f>IFERROR(VLOOKUP(tblCompPuntosCal[[#This Row],[Punto 9]],tblBD_PatronMasa[[Código Patrón]:[mpe]],7,FALSE),"")</f>
        <v/>
      </c>
      <c r="BU53" s="55" t="str">
        <f>IFERROR(VLOOKUP(tblCompPuntosCal[[#This Row],[Punto 9]],tblBD_PatronMasa[[Código Patrón]:[mpe]],9,FALSE),"")</f>
        <v/>
      </c>
      <c r="BV53" s="66" t="str">
        <f>IF(switch="Sí",IFERROR(VLOOKUP(tblCompPuntosCal[[#This Row],[Punto 9]],'kU(E)'!$AB$7:$AK$56,10,FALSE)*1000,""),IFERROR(VLOOKUP(tblCompPuntosCal[[#This Row],[Punto 9]],'kU(E)'!$AB$7:$AK$56,8,FALSE)*1000,""))</f>
        <v/>
      </c>
      <c r="BW53" s="55" t="str">
        <f>IFERROR(IF('kU(E)'!$E$6&lt;&gt;0,INDEX(deltaMconv,MATCH(tblCompPuntosCal[[#This Row],[mN9]],MnomDeltaT),MATCH('kU(E)'!$E$6,deltaT,-1))/SQRT(3),""),"")</f>
        <v/>
      </c>
      <c r="BX53" s="62"/>
      <c r="BY53" s="55" t="str">
        <f>IFERROR(VLOOKUP(tblCompPuntosCal[[#This Row],[Punto 10]],tblBD_PatronMasa[[Código Patrón]:[mpe]],4,FALSE),"")</f>
        <v/>
      </c>
      <c r="BZ53" s="55" t="str">
        <f>IFERROR(VLOOKUP(tblCompPuntosCal[[#This Row],[Punto 10]],tblBD_PatronMasa[[Código Patrón]:[mpe]],6,FALSE),"")</f>
        <v/>
      </c>
      <c r="CA53" s="59" t="str">
        <f>IFERROR(VLOOKUP(tblCompPuntosCal[[#This Row],[Punto 10]],tblBD_PatronMasa[[Código Patrón]:[mpe]],7,FALSE),"")</f>
        <v/>
      </c>
      <c r="CB53" s="59" t="str">
        <f>IFERROR(VLOOKUP(tblCompPuntosCal[[#This Row],[Punto 10]],tblBD_PatronMasa[[Código Patrón]:[mpe]],9,FALSE),"")</f>
        <v/>
      </c>
      <c r="CC53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53" s="59" t="str">
        <f>IFERROR(IF('kU(E)'!$E$6&lt;&gt;0,INDEX(deltaMconv,MATCH(tblCompPuntosCal[[#This Row],[mN10]],MnomDeltaT),MATCH('kU(E)'!$E$6,deltaT,-1))/SQRT(3),""),"")</f>
        <v/>
      </c>
      <c r="CG53" s="38">
        <v>49</v>
      </c>
      <c r="CH53" s="35">
        <f>tblCompPuntosCal[[#This Row],[Punto 1]]</f>
        <v>0</v>
      </c>
      <c r="CI53" s="35" t="str">
        <f>IF(tblTrazabilidad[[#This Row],[Código]]=0,"",IFERROR(IF(SEARCH("JM",tblTrazabilidad[[#This Row],[Código]])&gt;0,"Juego de pesas",),"Pesa"))</f>
        <v/>
      </c>
      <c r="CJ53" s="35" t="str">
        <f>IFERROR(VLOOKUP($CH53,tblBD_PatronMasa[[Código Patrón]:[mN-(mpe–U95)]],2,FALSE),"")</f>
        <v/>
      </c>
      <c r="CK53" s="35" t="str">
        <f>IFERROR(VLOOKUP($CH53,tblBD_PatronMasa[[Código Patrón]:[mN-(mpe–U95)]],13,FALSE),"")</f>
        <v/>
      </c>
      <c r="CL53" s="34" t="str">
        <f>IF(tblTrazabilidad[[#This Row],[Clase]]="F2",IFERROR(IF(VLOOKUP($CH53,tblBD_PatronMasa[[Código Patrón]:[mN-(mpe–U95)]],12,FALSE)=0,"",VLOOKUP($CH53,tblBD_PatronMasa[[Código Patrón]:[mN-(mpe–U95)]],12,FALSE)+731),""),IF(tblTrazabilidad[[#This Row],[Clase]]="F1",IFERROR(IF(VLOOKUP($CH53,tblBD_PatronMasa[[Código Patrón]:[mN-(mpe–U95)]],12,FALSE)=0,"",VLOOKUP($CH53,tblBD_PatronMasa[[Código Patrón]:[mN-(mpe–U95)]],12,FALSE)+731),""),IFERROR(IF(VLOOKUP($CH53,tblBD_PatronMasa[[Código Patrón]:[mN-(mpe–U95)]],12,FALSE)=0,"",VLOOKUP($CH53,tblBD_PatronMasa[[Código Patrón]:[mN-(mpe–U95)]],12,FALSE)+366),"")))</f>
        <v/>
      </c>
      <c r="CM53" s="33" t="str">
        <f>IFERROR(VLOOKUP($CH53,tblBD_PatronMasa[[Código Patrón]:[mN-(mpe–U95)]],3,FALSE),"")</f>
        <v/>
      </c>
      <c r="CO53" s="46"/>
      <c r="CP53" s="57" t="str">
        <f>IFERROR(VLOOKUP(CS53,tblTrazabilidad[[Código]:[Próxima calibración]],2,0),"")</f>
        <v/>
      </c>
      <c r="CQ53" s="58" t="str">
        <f>IFERROR(VLOOKUP(CS53,tblTrazabilidad[[Código]:[Clase]],6,0),"")</f>
        <v/>
      </c>
      <c r="CR53" s="57" t="str">
        <f>IFERROR(VLOOKUP(CS53,tblTrazabilidad[[Código]:[Próxima calibración]],3,0),"")</f>
        <v/>
      </c>
      <c r="CS53" s="56" t="str">
        <f t="shared" si="5"/>
        <v/>
      </c>
      <c r="CT53" s="55" t="str">
        <f>IFERROR(IF(VLOOKUP(CS53,tblTrazabilidad[[Código]:[Próxima calibración]],4,0)=0,"",VLOOKUP(CS53,tblTrazabilidad[[Código]:[Próxima calibración]],4,0)),"")</f>
        <v/>
      </c>
      <c r="CU53" s="54" t="str">
        <f>IFERROR(VLOOKUP(CS53,tblTrazabilidad[[Código]:[Próxima calibración]],5,0),"")</f>
        <v/>
      </c>
      <c r="CV53" s="53">
        <f t="shared" si="4"/>
        <v>0</v>
      </c>
      <c r="CW53" s="52" t="str">
        <f>IFERROR(LOOKUP(2,1/(COUNTIF($CW$4:CW52,tblTrazabilidad[Código])=0),tblTrazabilidad[Código]),"")</f>
        <v/>
      </c>
      <c r="DC53" s="1"/>
      <c r="DD53" s="1"/>
      <c r="DF53"/>
      <c r="DG53"/>
    </row>
    <row r="54" spans="2:111" ht="15.6" x14ac:dyDescent="0.35">
      <c r="B54" s="65" t="s">
        <v>135</v>
      </c>
      <c r="C54" s="64" t="str">
        <f>IFERROR(G51*C52/C53,"")</f>
        <v/>
      </c>
      <c r="D54" s="51" t="s">
        <v>134</v>
      </c>
      <c r="E54" s="50"/>
      <c r="F54" s="50"/>
      <c r="G54" s="49" t="str">
        <f>IF(E54="","",E54-F54)</f>
        <v/>
      </c>
      <c r="H54" s="49" t="str">
        <f>IFERROR(G54-$G$51,"")</f>
        <v/>
      </c>
      <c r="I54" s="45"/>
      <c r="J54" s="45"/>
      <c r="L54" s="8"/>
      <c r="M54" s="62"/>
      <c r="N54" s="59" t="str">
        <f>IFERROR(VLOOKUP(tblCompPuntosCal[[#This Row],[Punto 1]],tblBD_PatronMasa[[Código Patrón]:[mpe]],4,FALSE),"")</f>
        <v/>
      </c>
      <c r="O54" s="59" t="str">
        <f>IFERROR(VLOOKUP(tblCompPuntosCal[[#This Row],[Punto 1]],tblBD_PatronMasa[[Código Patrón]:[mpe]],6,FALSE),"")</f>
        <v/>
      </c>
      <c r="P54" s="61" t="str">
        <f>IFERROR(VLOOKUP(tblCompPuntosCal[[#This Row],[Punto 1]],tblBD_PatronMasa[[Código Patrón]:[mpe]],7,FALSE),"")</f>
        <v/>
      </c>
      <c r="Q54" s="61" t="str">
        <f>IFERROR(VLOOKUP(tblCompPuntosCal[[#This Row],[Punto 1]],tblBD_PatronMasa[[Código Patrón]:[mpe]],9,FALSE),"")</f>
        <v/>
      </c>
      <c r="R54" s="60" t="str">
        <f>IF(switch="Sí",IFERROR(VLOOKUP(tblCompPuntosCal[[#This Row],[Punto 1]],'kU(E)'!$AB$7:$AK$56,10,FALSE)*1000,""),IFERROR(VLOOKUP(tblCompPuntosCal[[#This Row],[Punto 1]],'kU(E)'!$AB$7:$AK$56*1000,8,FALSE),""))</f>
        <v/>
      </c>
      <c r="S54" s="61" t="str">
        <f>IFERROR(IF('kU(E)'!$E$6&lt;&gt;0,INDEX(deltaMconv,MATCH(tblCompPuntosCal[[#This Row],[mN1]],MnomDeltaT),MATCH('kU(E)'!$E$6,deltaT,-1))/SQRT(3),""),"")</f>
        <v/>
      </c>
      <c r="T54" s="62"/>
      <c r="U54" s="61" t="str">
        <f>IFERROR(VLOOKUP(tblCompPuntosCal[[#This Row],[Punto 2]],tblBD_PatronMasa[[Código Patrón]:[mpe]],4,FALSE),"")</f>
        <v/>
      </c>
      <c r="V54" s="61" t="str">
        <f>IFERROR(VLOOKUP(tblCompPuntosCal[[#This Row],[Punto 2]],tblBD_PatronMasa[[Código Patrón]:[mpe]],6,FALSE),"")</f>
        <v/>
      </c>
      <c r="W54" s="61" t="str">
        <f>IFERROR(VLOOKUP(tblCompPuntosCal[[#This Row],[Punto 2]],tblBD_PatronMasa[[Código Patrón]:[mpe]],7,FALSE),"")</f>
        <v/>
      </c>
      <c r="X54" s="61" t="str">
        <f>IFERROR(VLOOKUP(tblCompPuntosCal[[#This Row],[Punto 2]],tblBD_PatronMasa[[Código Patrón]:[mpe]],9,FALSE),"")</f>
        <v/>
      </c>
      <c r="Y54" s="60" t="str">
        <f>IF(switch="Sí",IFERROR(VLOOKUP(tblCompPuntosCal[[#This Row],[Punto 2]],'kU(E)'!$AB$7:$AK$56,10,FALSE)*1000,""),IFERROR(VLOOKUP(tblCompPuntosCal[[#This Row],[Punto 2]],'kU(E)'!$AB$7:$AK$56*1000,8,FALSE),""))</f>
        <v/>
      </c>
      <c r="Z54" s="61" t="str">
        <f>IFERROR(IF('kU(E)'!$E$6&lt;&gt;0,INDEX(deltaMconv,MATCH(tblCompPuntosCal[[#This Row],[mN2]],MnomDeltaT),MATCH('kU(E)'!$E$6,deltaT,-1))/SQRT(3),""),"")</f>
        <v/>
      </c>
      <c r="AA54" s="62"/>
      <c r="AB54" s="61" t="str">
        <f>IFERROR(VLOOKUP(tblCompPuntosCal[[#This Row],[Punto 3]],tblBD_PatronMasa[[Código Patrón]:[mpe]],4,FALSE),"")</f>
        <v/>
      </c>
      <c r="AC54" s="61" t="str">
        <f>IFERROR(VLOOKUP(tblCompPuntosCal[[#This Row],[Punto 3]],tblBD_PatronMasa[[Código Patrón]:[mpe]],6,FALSE),"")</f>
        <v/>
      </c>
      <c r="AD54" s="61" t="str">
        <f>IFERROR(VLOOKUP(tblCompPuntosCal[[#This Row],[Punto 3]],tblBD_PatronMasa[[Código Patrón]:[mpe]],7,FALSE),"")</f>
        <v/>
      </c>
      <c r="AE54" s="61" t="str">
        <f>IFERROR(VLOOKUP(tblCompPuntosCal[[#This Row],[Punto 3]],tblBD_PatronMasa[[Código Patrón]:[mpe]],9,FALSE),"")</f>
        <v/>
      </c>
      <c r="AF54" s="63" t="str">
        <f>IF(switch="Sí",IFERROR(VLOOKUP(tblCompPuntosCal[[#This Row],[Punto 3]],'kU(E)'!$AB$7:$AK$56,10,FALSE)*1000,""),IFERROR(VLOOKUP(tblCompPuntosCal[[#This Row],[Punto 3]],'kU(E)'!$AB$7:$AK$56*1000,8,FALSE),""))</f>
        <v/>
      </c>
      <c r="AG54" s="61" t="str">
        <f>IFERROR(IF('kU(E)'!$E$6&lt;&gt;0,INDEX(deltaMconv,MATCH(tblCompPuntosCal[[#This Row],[mN3]],MnomDeltaT),MATCH('kU(E)'!$E$6,deltaT,-1))/SQRT(3),""),"")</f>
        <v/>
      </c>
      <c r="AH54" s="62"/>
      <c r="AI54" s="61" t="str">
        <f>IFERROR(VLOOKUP(tblCompPuntosCal[[#This Row],[Punto 4]],tblBD_PatronMasa[[Código Patrón]:[mpe]],4,FALSE),"")</f>
        <v/>
      </c>
      <c r="AJ54" s="61" t="str">
        <f>IFERROR(VLOOKUP(tblCompPuntosCal[[#This Row],[Punto 4]],tblBD_PatronMasa[[Código Patrón]:[mpe]],6,FALSE),"")</f>
        <v/>
      </c>
      <c r="AK54" s="61" t="str">
        <f>IFERROR(VLOOKUP(tblCompPuntosCal[[#This Row],[Punto 4]],tblBD_PatronMasa[[Código Patrón]:[mpe]],7,FALSE),"")</f>
        <v/>
      </c>
      <c r="AL54" s="61" t="str">
        <f>IFERROR(VLOOKUP(tblCompPuntosCal[[#This Row],[Punto 4]],tblBD_PatronMasa[[Código Patrón]:[mpe]],9,FALSE),"")</f>
        <v/>
      </c>
      <c r="AM54" s="60" t="str">
        <f>IF(switch="Sí",IFERROR(VLOOKUP(tblCompPuntosCal[[#This Row],[Punto 4]],'kU(E)'!$AB$7:$AK$56,10,FALSE)*1000,""),IFERROR(VLOOKUP(tblCompPuntosCal[[#This Row],[Punto 4]],'kU(E)'!$AB$7:$AK$56,8,FALSE)*1000,""))</f>
        <v/>
      </c>
      <c r="AN54" s="61" t="str">
        <f>IFERROR(IF('kU(E)'!$E$6&lt;&gt;0,INDEX(deltaMconv,MATCH(tblCompPuntosCal[[#This Row],[mN4]],MnomDeltaT),MATCH('kU(E)'!$E$6,deltaT,-1))/SQRT(3),""),"")</f>
        <v/>
      </c>
      <c r="AO54" s="62"/>
      <c r="AP54" s="61" t="str">
        <f>IFERROR(VLOOKUP(tblCompPuntosCal[[#This Row],[Punto 5]],tblBD_PatronMasa[[Código Patrón]:[mpe]],4,FALSE),"")</f>
        <v/>
      </c>
      <c r="AQ54" s="61" t="str">
        <f>IFERROR(VLOOKUP(tblCompPuntosCal[[#This Row],[Punto 5]],tblBD_PatronMasa[[Código Patrón]:[mpe]],6,FALSE),"")</f>
        <v/>
      </c>
      <c r="AR54" s="61" t="str">
        <f>IFERROR(VLOOKUP(tblCompPuntosCal[[#This Row],[Punto 5]],tblBD_PatronMasa[[Código Patrón]:[mpe]],7,FALSE),"")</f>
        <v/>
      </c>
      <c r="AS54" s="61" t="str">
        <f>IFERROR(VLOOKUP(tblCompPuntosCal[[#This Row],[Punto 5]],tblBD_PatronMasa[[Código Patrón]:[mpe]],9,FALSE),"")</f>
        <v/>
      </c>
      <c r="AT54" s="60" t="str">
        <f>IF(switch="Sí",IFERROR(VLOOKUP(tblCompPuntosCal[[#This Row],[Punto 5]],'kU(E)'!$AB$7:$AK$56,10,FALSE)*1000,""),IFERROR(VLOOKUP(tblCompPuntosCal[[#This Row],[Punto 5]],'kU(E)'!$AB$7:$AK$56,8,FALSE)*1000,""))</f>
        <v/>
      </c>
      <c r="AU54" s="61" t="str">
        <f>IFERROR(IF('kU(E)'!$E$6&lt;&gt;0,INDEX(deltaMconv,MATCH(tblCompPuntosCal[[#This Row],[mN5]],MnomDeltaT),MATCH('kU(E)'!$E$6,deltaT,-1))/SQRT(3),""),"")</f>
        <v/>
      </c>
      <c r="AV54" s="62"/>
      <c r="AW54" s="59" t="str">
        <f>IFERROR(VLOOKUP(tblCompPuntosCal[[#This Row],[Punto 6]],tblBD_PatronMasa[[Código Patrón]:[mpe]],4,FALSE),"")</f>
        <v/>
      </c>
      <c r="AX54" s="59" t="str">
        <f>IFERROR(VLOOKUP(tblCompPuntosCal[[#This Row],[Punto 6]],tblBD_PatronMasa[[Código Patrón]:[mpe]],6,FALSE),"")</f>
        <v/>
      </c>
      <c r="AY54" s="59" t="str">
        <f>IFERROR(VLOOKUP(tblCompPuntosCal[[#This Row],[Punto 6]],tblBD_PatronMasa[[Código Patrón]:[mpe]],7,FALSE),"")</f>
        <v/>
      </c>
      <c r="AZ54" s="59" t="str">
        <f>IFERROR(VLOOKUP(tblCompPuntosCal[[#This Row],[Punto 6]],tblBD_PatronMasa[[Código Patrón]:[mpe]],9,FALSE),"")</f>
        <v/>
      </c>
      <c r="BA54" s="60" t="str">
        <f>IF(switch="Sí",IFERROR(VLOOKUP(tblCompPuntosCal[[#This Row],[Punto 6]],'kU(E)'!$AB$7:$AK$56,10,FALSE)*1000,""),IFERROR(VLOOKUP(tblCompPuntosCal[[#This Row],[Punto 6]],'kU(E)'!$AB$7:$AK$56,8,FALSE)*1000,""))</f>
        <v/>
      </c>
      <c r="BB54" s="59" t="str">
        <f>IFERROR(IF('kU(E)'!$E$6&lt;&gt;0,INDEX(deltaMconv,MATCH(tblCompPuntosCal[[#This Row],[mN6]],MnomDeltaT),MATCH('kU(E)'!$E$6,deltaT,-1))/SQRT(3),""),"")</f>
        <v/>
      </c>
      <c r="BC54" s="62"/>
      <c r="BD54" s="61" t="str">
        <f>IFERROR(VLOOKUP(tblCompPuntosCal[[#This Row],[Punto 7]],tblBD_PatronMasa[[Código Patrón]:[mpe]],4,FALSE),"")</f>
        <v/>
      </c>
      <c r="BE54" s="61" t="str">
        <f>IFERROR(VLOOKUP(tblCompPuntosCal[[#This Row],[Punto 7]],tblBD_PatronMasa[[Código Patrón]:[mpe]],6,FALSE),"")</f>
        <v/>
      </c>
      <c r="BF54" s="61" t="str">
        <f>IFERROR(VLOOKUP(tblCompPuntosCal[[#This Row],[Punto 7]],tblBD_PatronMasa[[Código Patrón]:[mpe]],7,FALSE),"")</f>
        <v/>
      </c>
      <c r="BG54" s="61" t="str">
        <f>IFERROR(VLOOKUP(tblCompPuntosCal[[#This Row],[Punto 7]],tblBD_PatronMasa[[Código Patrón]:[mpe]],9,FALSE),"")</f>
        <v/>
      </c>
      <c r="BH54" s="60" t="str">
        <f>IF(switch="Sí",IFERROR(VLOOKUP(tblCompPuntosCal[[#This Row],[Punto 7]],'kU(E)'!$AB$7:$AK$56,10,FALSE)*1000,""),IFERROR(VLOOKUP(tblCompPuntosCal[[#This Row],[Punto 7]],'kU(E)'!$AB$7:$AK$56,8,FALSE)*1000,""))</f>
        <v/>
      </c>
      <c r="BI54" s="61" t="str">
        <f>IFERROR(IF('kU(E)'!$E$6&lt;&gt;0,INDEX(deltaMconv,MATCH(tblCompPuntosCal[[#This Row],[mN7]],MnomDeltaT),MATCH('kU(E)'!$E$6,deltaT,-1))/SQRT(3),""),"")</f>
        <v/>
      </c>
      <c r="BJ54" s="62"/>
      <c r="BK54" s="61" t="str">
        <f>IFERROR(VLOOKUP(tblCompPuntosCal[[#This Row],[Punto 8]],tblBD_PatronMasa[[Código Patrón]:[mpe]],4,FALSE),"")</f>
        <v/>
      </c>
      <c r="BL54" s="61" t="str">
        <f>IFERROR(VLOOKUP(tblCompPuntosCal[[#This Row],[Punto 8]],tblBD_PatronMasa[[Código Patrón]:[mpe]],6,FALSE),"")</f>
        <v/>
      </c>
      <c r="BM54" s="61" t="str">
        <f>IFERROR(VLOOKUP(tblCompPuntosCal[[#This Row],[Punto 8]],tblBD_PatronMasa[[Código Patrón]:[mpe]],7,FALSE),"")</f>
        <v/>
      </c>
      <c r="BN54" s="61" t="str">
        <f>IFERROR(VLOOKUP(tblCompPuntosCal[[#This Row],[Punto 8]],tblBD_PatronMasa[[Código Patrón]:[mpe]],9,FALSE),"")</f>
        <v/>
      </c>
      <c r="BO54" s="60" t="str">
        <f>IF(switch="Sí",IFERROR(VLOOKUP(tblCompPuntosCal[[#This Row],[Punto 8]],'kU(E)'!$AB$7:$AK$56,10,FALSE)*1000,""),IFERROR(VLOOKUP(tblCompPuntosCal[[#This Row],[Punto 8]],'kU(E)'!$AB$7:$AK$56,8,FALSE)*1000,""))</f>
        <v/>
      </c>
      <c r="BP54" s="61" t="str">
        <f>IFERROR(IF('kU(E)'!$E$6&lt;&gt;0,INDEX(deltaMconv,MATCH(tblCompPuntosCal[[#This Row],[mN8]],MnomDeltaT),MATCH('kU(E)'!$E$6,deltaT,-1))/SQRT(3),""),"")</f>
        <v/>
      </c>
      <c r="BQ54" s="62"/>
      <c r="BR54" s="61" t="str">
        <f>IFERROR(VLOOKUP(tblCompPuntosCal[[#This Row],[Punto 9]],tblBD_PatronMasa[[Código Patrón]:[mpe]],4,FALSE),"")</f>
        <v/>
      </c>
      <c r="BS54" s="61" t="str">
        <f>IFERROR(VLOOKUP(tblCompPuntosCal[[#This Row],[Punto 9]],tblBD_PatronMasa[[Código Patrón]:[mpe]],6,FALSE),"")</f>
        <v/>
      </c>
      <c r="BT54" s="61" t="str">
        <f>IFERROR(VLOOKUP(tblCompPuntosCal[[#This Row],[Punto 9]],tblBD_PatronMasa[[Código Patrón]:[mpe]],7,FALSE),"")</f>
        <v/>
      </c>
      <c r="BU54" s="61" t="str">
        <f>IFERROR(VLOOKUP(tblCompPuntosCal[[#This Row],[Punto 9]],tblBD_PatronMasa[[Código Patrón]:[mpe]],9,FALSE),"")</f>
        <v/>
      </c>
      <c r="BV54" s="60" t="str">
        <f>IF(switch="Sí",IFERROR(VLOOKUP(tblCompPuntosCal[[#This Row],[Punto 9]],'kU(E)'!$AB$7:$AK$56,10,FALSE)*1000,""),IFERROR(VLOOKUP(tblCompPuntosCal[[#This Row],[Punto 9]],'kU(E)'!$AB$7:$AK$56,8,FALSE)*1000,""))</f>
        <v/>
      </c>
      <c r="BW54" s="61" t="str">
        <f>IFERROR(IF('kU(E)'!$E$6&lt;&gt;0,INDEX(deltaMconv,MATCH(tblCompPuntosCal[[#This Row],[mN9]],MnomDeltaT),MATCH('kU(E)'!$E$6,deltaT,-1))/SQRT(3),""),"")</f>
        <v/>
      </c>
      <c r="BX54" s="62"/>
      <c r="BY54" s="61" t="str">
        <f>IFERROR(VLOOKUP(tblCompPuntosCal[[#This Row],[Punto 10]],tblBD_PatronMasa[[Código Patrón]:[mpe]],4,FALSE),"")</f>
        <v/>
      </c>
      <c r="BZ54" s="61" t="str">
        <f>IFERROR(VLOOKUP(tblCompPuntosCal[[#This Row],[Punto 10]],tblBD_PatronMasa[[Código Patrón]:[mpe]],6,FALSE),"")</f>
        <v/>
      </c>
      <c r="CA54" s="59" t="str">
        <f>IFERROR(VLOOKUP(tblCompPuntosCal[[#This Row],[Punto 10]],tblBD_PatronMasa[[Código Patrón]:[mpe]],7,FALSE),"")</f>
        <v/>
      </c>
      <c r="CB54" s="59" t="str">
        <f>IFERROR(VLOOKUP(tblCompPuntosCal[[#This Row],[Punto 10]],tblBD_PatronMasa[[Código Patrón]:[mpe]],9,FALSE),"")</f>
        <v/>
      </c>
      <c r="CC54" s="60" t="str">
        <f>IF(switch="Sí",IFERROR(VLOOKUP(tblCompPuntosCal[[#This Row],[Punto 10]],'kU(E)'!$AB$7:$AK$56,10,FALSE)*1000,""),IFERROR(VLOOKUP(tblCompPuntosCal[[#This Row],[Punto 10]],'kU(E)'!$AB$7:$AK$56,8,FALSE)*1000,""))</f>
        <v/>
      </c>
      <c r="CD54" s="59" t="str">
        <f>IFERROR(IF('kU(E)'!$E$6&lt;&gt;0,INDEX(deltaMconv,MATCH(tblCompPuntosCal[[#This Row],[mN10]],MnomDeltaT),MATCH('kU(E)'!$E$6,deltaT,-1))/SQRT(3),""),"")</f>
        <v/>
      </c>
      <c r="CG54" s="38">
        <v>50</v>
      </c>
      <c r="CH54" s="35">
        <f>tblCompPuntosCal[[#This Row],[Punto 1]]</f>
        <v>0</v>
      </c>
      <c r="CI54" s="35" t="str">
        <f>IF(tblTrazabilidad[[#This Row],[Código]]=0,"",IFERROR(IF(SEARCH("JM",tblTrazabilidad[[#This Row],[Código]])&gt;0,"Juego de pesas",),"Pesa"))</f>
        <v/>
      </c>
      <c r="CJ54" s="35" t="str">
        <f>IFERROR(VLOOKUP($CH54,tblBD_PatronMasa[[Código Patrón]:[mN-(mpe–U95)]],2,FALSE),"")</f>
        <v/>
      </c>
      <c r="CK54" s="35" t="str">
        <f>IFERROR(VLOOKUP($CH54,tblBD_PatronMasa[[Código Patrón]:[mN-(mpe–U95)]],13,FALSE),"")</f>
        <v/>
      </c>
      <c r="CL54" s="34" t="str">
        <f>IF(tblTrazabilidad[[#This Row],[Clase]]="F2",IFERROR(IF(VLOOKUP($CH54,tblBD_PatronMasa[[Código Patrón]:[mN-(mpe–U95)]],12,FALSE)=0,"",VLOOKUP($CH54,tblBD_PatronMasa[[Código Patrón]:[mN-(mpe–U95)]],12,FALSE)+731),""),IF(tblTrazabilidad[[#This Row],[Clase]]="F1",IFERROR(IF(VLOOKUP($CH54,tblBD_PatronMasa[[Código Patrón]:[mN-(mpe–U95)]],12,FALSE)=0,"",VLOOKUP($CH54,tblBD_PatronMasa[[Código Patrón]:[mN-(mpe–U95)]],12,FALSE)+731),""),IFERROR(IF(VLOOKUP($CH54,tblBD_PatronMasa[[Código Patrón]:[mN-(mpe–U95)]],12,FALSE)=0,"",VLOOKUP($CH54,tblBD_PatronMasa[[Código Patrón]:[mN-(mpe–U95)]],12,FALSE)+366),"")))</f>
        <v/>
      </c>
      <c r="CM54" s="33" t="str">
        <f>IFERROR(VLOOKUP($CH54,tblBD_PatronMasa[[Código Patrón]:[mN-(mpe–U95)]],3,FALSE),"")</f>
        <v/>
      </c>
      <c r="CO54" s="46"/>
      <c r="CP54" s="57" t="str">
        <f>IFERROR(VLOOKUP(CS54,tblTrazabilidad[[Código]:[Próxima calibración]],2,0),"")</f>
        <v/>
      </c>
      <c r="CQ54" s="58" t="str">
        <f>IFERROR(VLOOKUP(CS54,tblTrazabilidad[[Código]:[Clase]],6,0),"")</f>
        <v/>
      </c>
      <c r="CR54" s="57" t="str">
        <f>IFERROR(VLOOKUP(CS54,tblTrazabilidad[[Código]:[Próxima calibración]],3,0),"")</f>
        <v/>
      </c>
      <c r="CS54" s="56" t="str">
        <f t="shared" si="5"/>
        <v/>
      </c>
      <c r="CT54" s="55" t="str">
        <f>IFERROR(IF(VLOOKUP(CS54,tblTrazabilidad[[Código]:[Próxima calibración]],4,0)=0,"",VLOOKUP(CS54,tblTrazabilidad[[Código]:[Próxima calibración]],4,0)),"")</f>
        <v/>
      </c>
      <c r="CU54" s="54" t="str">
        <f>IFERROR(VLOOKUP(CS54,tblTrazabilidad[[Código]:[Próxima calibración]],5,0),"")</f>
        <v/>
      </c>
      <c r="CV54" s="53">
        <f t="shared" si="4"/>
        <v>0</v>
      </c>
      <c r="CW54" s="52" t="str">
        <f>IFERROR(LOOKUP(2,1/(COUNTIF($CW$4:CW53,tblTrazabilidad[Código])=0),tblTrazabilidad[Código]),"")</f>
        <v/>
      </c>
      <c r="DC54" s="1"/>
      <c r="DD54" s="1"/>
      <c r="DF54"/>
      <c r="DG54"/>
    </row>
    <row r="55" spans="2:111" x14ac:dyDescent="0.3">
      <c r="D55" s="51" t="s">
        <v>133</v>
      </c>
      <c r="E55" s="50"/>
      <c r="F55" s="50"/>
      <c r="G55" s="49" t="str">
        <f>IF(E55="","",E55-F55)</f>
        <v/>
      </c>
      <c r="H55" s="49" t="str">
        <f>IFERROR(G55-$G$51,"")</f>
        <v/>
      </c>
      <c r="I55" s="45"/>
      <c r="J55" s="45"/>
      <c r="CG55" s="38">
        <v>51</v>
      </c>
      <c r="CH55" s="35">
        <f t="shared" ref="CH55:CH86" si="6">T5</f>
        <v>0</v>
      </c>
      <c r="CI55" s="35" t="str">
        <f>IF(tblTrazabilidad[[#This Row],[Código]]=0,"",IFERROR(IF(SEARCH("JM",tblTrazabilidad[[#This Row],[Código]])&gt;0,"Juego de pesas",),"Pesa"))</f>
        <v/>
      </c>
      <c r="CJ55" s="35" t="str">
        <f>IFERROR(VLOOKUP($CH55,tblBD_PatronMasa[[Código Patrón]:[mN-(mpe–U95)]],2,FALSE),"")</f>
        <v/>
      </c>
      <c r="CK55" s="35" t="str">
        <f>IFERROR(VLOOKUP($CH55,tblBD_PatronMasa[[Código Patrón]:[mN-(mpe–U95)]],13,FALSE),"")</f>
        <v/>
      </c>
      <c r="CL55" s="34" t="str">
        <f>IF(tblTrazabilidad[[#This Row],[Clase]]="F2",IFERROR(IF(VLOOKUP($CH55,tblBD_PatronMasa[[Código Patrón]:[mN-(mpe–U95)]],12,FALSE)=0,"",VLOOKUP($CH55,tblBD_PatronMasa[[Código Patrón]:[mN-(mpe–U95)]],12,FALSE)+731),""),IF(tblTrazabilidad[[#This Row],[Clase]]="F1",IFERROR(IF(VLOOKUP($CH55,tblBD_PatronMasa[[Código Patrón]:[mN-(mpe–U95)]],12,FALSE)=0,"",VLOOKUP($CH55,tblBD_PatronMasa[[Código Patrón]:[mN-(mpe–U95)]],12,FALSE)+731),""),IFERROR(IF(VLOOKUP($CH55,tblBD_PatronMasa[[Código Patrón]:[mN-(mpe–U95)]],12,FALSE)=0,"",VLOOKUP($CH55,tblBD_PatronMasa[[Código Patrón]:[mN-(mpe–U95)]],12,FALSE)+366),"")))</f>
        <v/>
      </c>
      <c r="CM55" s="33" t="str">
        <f>IFERROR(VLOOKUP($CH55,tblBD_PatronMasa[[Código Patrón]:[mN-(mpe–U95)]],3,FALSE),"")</f>
        <v/>
      </c>
      <c r="CO55" s="46"/>
      <c r="CP55" s="46"/>
      <c r="CQ55" s="46"/>
      <c r="CR55" s="46"/>
      <c r="CS55" s="32"/>
      <c r="CU55"/>
      <c r="DC55" s="1"/>
      <c r="DD55" s="1"/>
      <c r="DF55"/>
      <c r="DG55"/>
    </row>
    <row r="56" spans="2:111" ht="15.6" x14ac:dyDescent="0.3">
      <c r="F56" s="48" t="s">
        <v>132</v>
      </c>
      <c r="G56" s="47" t="str">
        <f t="array" ref="G56">IFERROR(_xlfn.STDEV.S(IF(G51:G55&lt;&gt;0,G51:G55)),"")</f>
        <v/>
      </c>
      <c r="H56" s="45"/>
      <c r="I56" s="45"/>
      <c r="J56" s="45"/>
      <c r="CG56" s="38">
        <v>52</v>
      </c>
      <c r="CH56" s="35">
        <f t="shared" si="6"/>
        <v>0</v>
      </c>
      <c r="CI56" s="35" t="str">
        <f>IF(tblTrazabilidad[[#This Row],[Código]]=0,"",IFERROR(IF(SEARCH("JM",tblTrazabilidad[[#This Row],[Código]])&gt;0,"Juego de pesas",),"Pesa"))</f>
        <v/>
      </c>
      <c r="CJ56" s="35" t="str">
        <f>IFERROR(VLOOKUP($CH56,tblBD_PatronMasa[[Código Patrón]:[mN-(mpe–U95)]],2,FALSE),"")</f>
        <v/>
      </c>
      <c r="CK56" s="35" t="str">
        <f>IFERROR(VLOOKUP($CH56,tblBD_PatronMasa[[Código Patrón]:[mN-(mpe–U95)]],13,FALSE),"")</f>
        <v/>
      </c>
      <c r="CL56" s="34" t="str">
        <f>IF(tblTrazabilidad[[#This Row],[Clase]]="F2",IFERROR(IF(VLOOKUP($CH56,tblBD_PatronMasa[[Código Patrón]:[mN-(mpe–U95)]],12,FALSE)=0,"",VLOOKUP($CH56,tblBD_PatronMasa[[Código Patrón]:[mN-(mpe–U95)]],12,FALSE)+731),""),IF(tblTrazabilidad[[#This Row],[Clase]]="F1",IFERROR(IF(VLOOKUP($CH56,tblBD_PatronMasa[[Código Patrón]:[mN-(mpe–U95)]],12,FALSE)=0,"",VLOOKUP($CH56,tblBD_PatronMasa[[Código Patrón]:[mN-(mpe–U95)]],12,FALSE)+731),""),IFERROR(IF(VLOOKUP($CH56,tblBD_PatronMasa[[Código Patrón]:[mN-(mpe–U95)]],12,FALSE)=0,"",VLOOKUP($CH56,tblBD_PatronMasa[[Código Patrón]:[mN-(mpe–U95)]],12,FALSE)+366),"")))</f>
        <v/>
      </c>
      <c r="CM56" s="33" t="str">
        <f>IFERROR(VLOOKUP($CH56,tblBD_PatronMasa[[Código Patrón]:[mN-(mpe–U95)]],3,FALSE),"")</f>
        <v/>
      </c>
      <c r="CO56" s="46"/>
      <c r="CP56" s="46"/>
      <c r="CQ56" s="46"/>
      <c r="CR56" s="46"/>
      <c r="CS56" s="32"/>
      <c r="CU56"/>
      <c r="DC56" s="1"/>
      <c r="DD56" s="1"/>
      <c r="DF56"/>
      <c r="DG56"/>
    </row>
    <row r="57" spans="2:111" x14ac:dyDescent="0.3">
      <c r="I57" s="45"/>
      <c r="CG57" s="38">
        <v>53</v>
      </c>
      <c r="CH57" s="35">
        <f t="shared" si="6"/>
        <v>0</v>
      </c>
      <c r="CI57" s="35" t="str">
        <f>IF(tblTrazabilidad[[#This Row],[Código]]=0,"",IFERROR(IF(SEARCH("JM",tblTrazabilidad[[#This Row],[Código]])&gt;0,"Juego de pesas",),"Pesa"))</f>
        <v/>
      </c>
      <c r="CJ57" s="35" t="str">
        <f>IFERROR(VLOOKUP($CH57,tblBD_PatronMasa[[Código Patrón]:[mN-(mpe–U95)]],2,FALSE),"")</f>
        <v/>
      </c>
      <c r="CK57" s="35" t="str">
        <f>IFERROR(VLOOKUP($CH57,tblBD_PatronMasa[[Código Patrón]:[mN-(mpe–U95)]],13,FALSE),"")</f>
        <v/>
      </c>
      <c r="CL57" s="34" t="str">
        <f>IF(tblTrazabilidad[[#This Row],[Clase]]="F2",IFERROR(IF(VLOOKUP($CH57,tblBD_PatronMasa[[Código Patrón]:[mN-(mpe–U95)]],12,FALSE)=0,"",VLOOKUP($CH57,tblBD_PatronMasa[[Código Patrón]:[mN-(mpe–U95)]],12,FALSE)+731),""),IF(tblTrazabilidad[[#This Row],[Clase]]="F1",IFERROR(IF(VLOOKUP($CH57,tblBD_PatronMasa[[Código Patrón]:[mN-(mpe–U95)]],12,FALSE)=0,"",VLOOKUP($CH57,tblBD_PatronMasa[[Código Patrón]:[mN-(mpe–U95)]],12,FALSE)+731),""),IFERROR(IF(VLOOKUP($CH57,tblBD_PatronMasa[[Código Patrón]:[mN-(mpe–U95)]],12,FALSE)=0,"",VLOOKUP($CH57,tblBD_PatronMasa[[Código Patrón]:[mN-(mpe–U95)]],12,FALSE)+366),"")))</f>
        <v/>
      </c>
      <c r="CM57" s="33" t="str">
        <f>IFERROR(VLOOKUP($CH57,tblBD_PatronMasa[[Código Patrón]:[mN-(mpe–U95)]],3,FALSE),"")</f>
        <v/>
      </c>
      <c r="CO57" s="46"/>
      <c r="CP57" s="46"/>
      <c r="CQ57" s="46"/>
      <c r="CR57" s="46"/>
      <c r="CS57" s="32"/>
      <c r="CU57"/>
      <c r="DC57" s="1"/>
      <c r="DD57" s="1"/>
      <c r="DF57"/>
      <c r="DG57"/>
    </row>
    <row r="58" spans="2:111" x14ac:dyDescent="0.3">
      <c r="I58" s="45"/>
      <c r="CG58" s="38">
        <v>54</v>
      </c>
      <c r="CH58" s="35">
        <f t="shared" si="6"/>
        <v>0</v>
      </c>
      <c r="CI58" s="35" t="str">
        <f>IF(tblTrazabilidad[[#This Row],[Código]]=0,"",IFERROR(IF(SEARCH("JM",tblTrazabilidad[[#This Row],[Código]])&gt;0,"Juego de pesas",),"Pesa"))</f>
        <v/>
      </c>
      <c r="CJ58" s="35" t="str">
        <f>IFERROR(VLOOKUP($CH58,tblBD_PatronMasa[[Código Patrón]:[mN-(mpe–U95)]],2,FALSE),"")</f>
        <v/>
      </c>
      <c r="CK58" s="35" t="str">
        <f>IFERROR(VLOOKUP($CH58,tblBD_PatronMasa[[Código Patrón]:[mN-(mpe–U95)]],13,FALSE),"")</f>
        <v/>
      </c>
      <c r="CL58" s="34" t="str">
        <f>IF(tblTrazabilidad[[#This Row],[Clase]]="F2",IFERROR(IF(VLOOKUP($CH58,tblBD_PatronMasa[[Código Patrón]:[mN-(mpe–U95)]],12,FALSE)=0,"",VLOOKUP($CH58,tblBD_PatronMasa[[Código Patrón]:[mN-(mpe–U95)]],12,FALSE)+731),""),IF(tblTrazabilidad[[#This Row],[Clase]]="F1",IFERROR(IF(VLOOKUP($CH58,tblBD_PatronMasa[[Código Patrón]:[mN-(mpe–U95)]],12,FALSE)=0,"",VLOOKUP($CH58,tblBD_PatronMasa[[Código Patrón]:[mN-(mpe–U95)]],12,FALSE)+731),""),IFERROR(IF(VLOOKUP($CH58,tblBD_PatronMasa[[Código Patrón]:[mN-(mpe–U95)]],12,FALSE)=0,"",VLOOKUP($CH58,tblBD_PatronMasa[[Código Patrón]:[mN-(mpe–U95)]],12,FALSE)+366),"")))</f>
        <v/>
      </c>
      <c r="CM58" s="33" t="str">
        <f>IFERROR(VLOOKUP($CH58,tblBD_PatronMasa[[Código Patrón]:[mN-(mpe–U95)]],3,FALSE),"")</f>
        <v/>
      </c>
      <c r="CO58" s="46"/>
      <c r="CP58" s="46"/>
      <c r="CQ58" s="46"/>
      <c r="CR58" s="46"/>
      <c r="CS58" s="32"/>
      <c r="CU58"/>
      <c r="DC58" s="1"/>
      <c r="DD58" s="1"/>
      <c r="DF58"/>
      <c r="DG58"/>
    </row>
    <row r="59" spans="2:111" x14ac:dyDescent="0.3">
      <c r="I59" s="45"/>
      <c r="J59" s="45"/>
      <c r="AO59" s="39"/>
      <c r="AP59" s="39"/>
      <c r="CG59" s="38">
        <v>55</v>
      </c>
      <c r="CH59" s="35">
        <f t="shared" si="6"/>
        <v>0</v>
      </c>
      <c r="CI59" s="35" t="str">
        <f>IF(tblTrazabilidad[[#This Row],[Código]]=0,"",IFERROR(IF(SEARCH("JM",tblTrazabilidad[[#This Row],[Código]])&gt;0,"Juego de pesas",),"Pesa"))</f>
        <v/>
      </c>
      <c r="CJ59" s="35" t="str">
        <f>IFERROR(VLOOKUP($CH59,tblBD_PatronMasa[[Código Patrón]:[mN-(mpe–U95)]],2,FALSE),"")</f>
        <v/>
      </c>
      <c r="CK59" s="35" t="str">
        <f>IFERROR(VLOOKUP($CH59,tblBD_PatronMasa[[Código Patrón]:[mN-(mpe–U95)]],13,FALSE),"")</f>
        <v/>
      </c>
      <c r="CL59" s="34" t="str">
        <f>IF(tblTrazabilidad[[#This Row],[Clase]]="F2",IFERROR(IF(VLOOKUP($CH59,tblBD_PatronMasa[[Código Patrón]:[mN-(mpe–U95)]],12,FALSE)=0,"",VLOOKUP($CH59,tblBD_PatronMasa[[Código Patrón]:[mN-(mpe–U95)]],12,FALSE)+731),""),IF(tblTrazabilidad[[#This Row],[Clase]]="F1",IFERROR(IF(VLOOKUP($CH59,tblBD_PatronMasa[[Código Patrón]:[mN-(mpe–U95)]],12,FALSE)=0,"",VLOOKUP($CH59,tblBD_PatronMasa[[Código Patrón]:[mN-(mpe–U95)]],12,FALSE)+731),""),IFERROR(IF(VLOOKUP($CH59,tblBD_PatronMasa[[Código Patrón]:[mN-(mpe–U95)]],12,FALSE)=0,"",VLOOKUP($CH59,tblBD_PatronMasa[[Código Patrón]:[mN-(mpe–U95)]],12,FALSE)+366),"")))</f>
        <v/>
      </c>
      <c r="CM59" s="33" t="str">
        <f>IFERROR(VLOOKUP($CH59,tblBD_PatronMasa[[Código Patrón]:[mN-(mpe–U95)]],3,FALSE),"")</f>
        <v/>
      </c>
      <c r="CO59" s="46"/>
      <c r="CP59" s="46"/>
      <c r="CQ59" s="46"/>
      <c r="CR59" s="46"/>
      <c r="CS59" s="32"/>
      <c r="CU59"/>
      <c r="DC59" s="1"/>
      <c r="DD59" s="1"/>
      <c r="DF59"/>
      <c r="DG59"/>
    </row>
    <row r="60" spans="2:111" x14ac:dyDescent="0.3">
      <c r="I60" s="45"/>
      <c r="J60" s="45"/>
      <c r="AO60" s="39"/>
      <c r="AP60" s="39"/>
      <c r="CG60" s="38">
        <v>56</v>
      </c>
      <c r="CH60" s="35">
        <f t="shared" si="6"/>
        <v>0</v>
      </c>
      <c r="CI60" s="35" t="str">
        <f>IF(tblTrazabilidad[[#This Row],[Código]]=0,"",IFERROR(IF(SEARCH("JM",tblTrazabilidad[[#This Row],[Código]])&gt;0,"Juego de pesas",),"Pesa"))</f>
        <v/>
      </c>
      <c r="CJ60" s="35" t="str">
        <f>IFERROR(VLOOKUP($CH60,tblBD_PatronMasa[[Código Patrón]:[mN-(mpe–U95)]],2,FALSE),"")</f>
        <v/>
      </c>
      <c r="CK60" s="35" t="str">
        <f>IFERROR(VLOOKUP($CH60,tblBD_PatronMasa[[Código Patrón]:[mN-(mpe–U95)]],13,FALSE),"")</f>
        <v/>
      </c>
      <c r="CL60" s="34" t="str">
        <f>IF(tblTrazabilidad[[#This Row],[Clase]]="F2",IFERROR(IF(VLOOKUP($CH60,tblBD_PatronMasa[[Código Patrón]:[mN-(mpe–U95)]],12,FALSE)=0,"",VLOOKUP($CH60,tblBD_PatronMasa[[Código Patrón]:[mN-(mpe–U95)]],12,FALSE)+731),""),IF(tblTrazabilidad[[#This Row],[Clase]]="F1",IFERROR(IF(VLOOKUP($CH60,tblBD_PatronMasa[[Código Patrón]:[mN-(mpe–U95)]],12,FALSE)=0,"",VLOOKUP($CH60,tblBD_PatronMasa[[Código Patrón]:[mN-(mpe–U95)]],12,FALSE)+731),""),IFERROR(IF(VLOOKUP($CH60,tblBD_PatronMasa[[Código Patrón]:[mN-(mpe–U95)]],12,FALSE)=0,"",VLOOKUP($CH60,tblBD_PatronMasa[[Código Patrón]:[mN-(mpe–U95)]],12,FALSE)+366),"")))</f>
        <v/>
      </c>
      <c r="CM60" s="33" t="str">
        <f>IFERROR(VLOOKUP($CH60,tblBD_PatronMasa[[Código Patrón]:[mN-(mpe–U95)]],3,FALSE),"")</f>
        <v/>
      </c>
      <c r="CO60" s="46"/>
      <c r="CP60" s="46"/>
      <c r="CQ60" s="46"/>
      <c r="CR60" s="46"/>
      <c r="CS60" s="32"/>
      <c r="CU60"/>
      <c r="DC60" s="1"/>
      <c r="DD60" s="1"/>
      <c r="DF60"/>
      <c r="DG60"/>
    </row>
    <row r="61" spans="2:111" x14ac:dyDescent="0.3">
      <c r="I61" s="45"/>
      <c r="J61" s="45"/>
      <c r="AO61" s="39"/>
      <c r="AP61" s="39"/>
      <c r="CG61" s="38">
        <v>57</v>
      </c>
      <c r="CH61" s="35">
        <f t="shared" si="6"/>
        <v>0</v>
      </c>
      <c r="CI61" s="35" t="str">
        <f>IF(tblTrazabilidad[[#This Row],[Código]]=0,"",IFERROR(IF(SEARCH("JM",tblTrazabilidad[[#This Row],[Código]])&gt;0,"Juego de pesas",),"Pesa"))</f>
        <v/>
      </c>
      <c r="CJ61" s="35" t="str">
        <f>IFERROR(VLOOKUP($CH61,tblBD_PatronMasa[[Código Patrón]:[mN-(mpe–U95)]],2,FALSE),"")</f>
        <v/>
      </c>
      <c r="CK61" s="35" t="str">
        <f>IFERROR(VLOOKUP($CH61,tblBD_PatronMasa[[Código Patrón]:[mN-(mpe–U95)]],13,FALSE),"")</f>
        <v/>
      </c>
      <c r="CL61" s="34" t="str">
        <f>IF(tblTrazabilidad[[#This Row],[Clase]]="F2",IFERROR(IF(VLOOKUP($CH61,tblBD_PatronMasa[[Código Patrón]:[mN-(mpe–U95)]],12,FALSE)=0,"",VLOOKUP($CH61,tblBD_PatronMasa[[Código Patrón]:[mN-(mpe–U95)]],12,FALSE)+731),""),IF(tblTrazabilidad[[#This Row],[Clase]]="F1",IFERROR(IF(VLOOKUP($CH61,tblBD_PatronMasa[[Código Patrón]:[mN-(mpe–U95)]],12,FALSE)=0,"",VLOOKUP($CH61,tblBD_PatronMasa[[Código Patrón]:[mN-(mpe–U95)]],12,FALSE)+731),""),IFERROR(IF(VLOOKUP($CH61,tblBD_PatronMasa[[Código Patrón]:[mN-(mpe–U95)]],12,FALSE)=0,"",VLOOKUP($CH61,tblBD_PatronMasa[[Código Patrón]:[mN-(mpe–U95)]],12,FALSE)+366),"")))</f>
        <v/>
      </c>
      <c r="CM61" s="33" t="str">
        <f>IFERROR(VLOOKUP($CH61,tblBD_PatronMasa[[Código Patrón]:[mN-(mpe–U95)]],3,FALSE),"")</f>
        <v/>
      </c>
      <c r="CO61" s="46"/>
      <c r="CP61" s="46"/>
      <c r="CQ61" s="46"/>
      <c r="CR61" s="46"/>
      <c r="CS61" s="32"/>
      <c r="CU61"/>
      <c r="DC61" s="1"/>
      <c r="DD61" s="1"/>
      <c r="DF61"/>
      <c r="DG61"/>
    </row>
    <row r="62" spans="2:111" x14ac:dyDescent="0.3">
      <c r="I62" s="45"/>
      <c r="J62" s="45"/>
      <c r="AO62" s="39"/>
      <c r="AP62" s="39"/>
      <c r="CG62" s="38">
        <v>58</v>
      </c>
      <c r="CH62" s="35">
        <f t="shared" si="6"/>
        <v>0</v>
      </c>
      <c r="CI62" s="35" t="str">
        <f>IF(tblTrazabilidad[[#This Row],[Código]]=0,"",IFERROR(IF(SEARCH("JM",tblTrazabilidad[[#This Row],[Código]])&gt;0,"Juego de pesas",),"Pesa"))</f>
        <v/>
      </c>
      <c r="CJ62" s="35" t="str">
        <f>IFERROR(VLOOKUP($CH62,tblBD_PatronMasa[[Código Patrón]:[mN-(mpe–U95)]],2,FALSE),"")</f>
        <v/>
      </c>
      <c r="CK62" s="35" t="str">
        <f>IFERROR(VLOOKUP($CH62,tblBD_PatronMasa[[Código Patrón]:[mN-(mpe–U95)]],13,FALSE),"")</f>
        <v/>
      </c>
      <c r="CL62" s="34" t="str">
        <f>IF(tblTrazabilidad[[#This Row],[Clase]]="F2",IFERROR(IF(VLOOKUP($CH62,tblBD_PatronMasa[[Código Patrón]:[mN-(mpe–U95)]],12,FALSE)=0,"",VLOOKUP($CH62,tblBD_PatronMasa[[Código Patrón]:[mN-(mpe–U95)]],12,FALSE)+731),""),IF(tblTrazabilidad[[#This Row],[Clase]]="F1",IFERROR(IF(VLOOKUP($CH62,tblBD_PatronMasa[[Código Patrón]:[mN-(mpe–U95)]],12,FALSE)=0,"",VLOOKUP($CH62,tblBD_PatronMasa[[Código Patrón]:[mN-(mpe–U95)]],12,FALSE)+731),""),IFERROR(IF(VLOOKUP($CH62,tblBD_PatronMasa[[Código Patrón]:[mN-(mpe–U95)]],12,FALSE)=0,"",VLOOKUP($CH62,tblBD_PatronMasa[[Código Patrón]:[mN-(mpe–U95)]],12,FALSE)+366),"")))</f>
        <v/>
      </c>
      <c r="CM62" s="33" t="str">
        <f>IFERROR(VLOOKUP($CH62,tblBD_PatronMasa[[Código Patrón]:[mN-(mpe–U95)]],3,FALSE),"")</f>
        <v/>
      </c>
      <c r="CS62" s="32"/>
      <c r="CU62"/>
      <c r="DC62" s="1"/>
      <c r="DD62" s="1"/>
      <c r="DF62"/>
      <c r="DG62"/>
    </row>
    <row r="63" spans="2:111" x14ac:dyDescent="0.3">
      <c r="I63" s="45"/>
      <c r="J63" s="45"/>
      <c r="AO63" s="39"/>
      <c r="AP63" s="39"/>
      <c r="CG63" s="38">
        <v>59</v>
      </c>
      <c r="CH63" s="35">
        <f t="shared" si="6"/>
        <v>0</v>
      </c>
      <c r="CI63" s="35" t="str">
        <f>IF(tblTrazabilidad[[#This Row],[Código]]=0,"",IFERROR(IF(SEARCH("JM",tblTrazabilidad[[#This Row],[Código]])&gt;0,"Juego de pesas",),"Pesa"))</f>
        <v/>
      </c>
      <c r="CJ63" s="35" t="str">
        <f>IFERROR(VLOOKUP($CH63,tblBD_PatronMasa[[Código Patrón]:[mN-(mpe–U95)]],2,FALSE),"")</f>
        <v/>
      </c>
      <c r="CK63" s="35" t="str">
        <f>IFERROR(VLOOKUP($CH63,tblBD_PatronMasa[[Código Patrón]:[mN-(mpe–U95)]],13,FALSE),"")</f>
        <v/>
      </c>
      <c r="CL63" s="34" t="str">
        <f>IF(tblTrazabilidad[[#This Row],[Clase]]="F2",IFERROR(IF(VLOOKUP($CH63,tblBD_PatronMasa[[Código Patrón]:[mN-(mpe–U95)]],12,FALSE)=0,"",VLOOKUP($CH63,tblBD_PatronMasa[[Código Patrón]:[mN-(mpe–U95)]],12,FALSE)+731),""),IF(tblTrazabilidad[[#This Row],[Clase]]="F1",IFERROR(IF(VLOOKUP($CH63,tblBD_PatronMasa[[Código Patrón]:[mN-(mpe–U95)]],12,FALSE)=0,"",VLOOKUP($CH63,tblBD_PatronMasa[[Código Patrón]:[mN-(mpe–U95)]],12,FALSE)+731),""),IFERROR(IF(VLOOKUP($CH63,tblBD_PatronMasa[[Código Patrón]:[mN-(mpe–U95)]],12,FALSE)=0,"",VLOOKUP($CH63,tblBD_PatronMasa[[Código Patrón]:[mN-(mpe–U95)]],12,FALSE)+366),"")))</f>
        <v/>
      </c>
      <c r="CM63" s="33" t="str">
        <f>IFERROR(VLOOKUP($CH63,tblBD_PatronMasa[[Código Patrón]:[mN-(mpe–U95)]],3,FALSE),"")</f>
        <v/>
      </c>
      <c r="CS63" s="32"/>
      <c r="CU63"/>
      <c r="DC63" s="1"/>
      <c r="DD63" s="1"/>
      <c r="DF63"/>
      <c r="DG63"/>
    </row>
    <row r="64" spans="2:111" x14ac:dyDescent="0.3">
      <c r="AO64" s="39"/>
      <c r="AP64" s="39"/>
      <c r="CG64" s="38">
        <v>60</v>
      </c>
      <c r="CH64" s="35">
        <f t="shared" si="6"/>
        <v>0</v>
      </c>
      <c r="CI64" s="35" t="str">
        <f>IF(tblTrazabilidad[[#This Row],[Código]]=0,"",IFERROR(IF(SEARCH("JM",tblTrazabilidad[[#This Row],[Código]])&gt;0,"Juego de pesas",),"Pesa"))</f>
        <v/>
      </c>
      <c r="CJ64" s="35" t="str">
        <f>IFERROR(VLOOKUP($CH64,tblBD_PatronMasa[[Código Patrón]:[mN-(mpe–U95)]],2,FALSE),"")</f>
        <v/>
      </c>
      <c r="CK64" s="35" t="str">
        <f>IFERROR(VLOOKUP($CH64,tblBD_PatronMasa[[Código Patrón]:[mN-(mpe–U95)]],13,FALSE),"")</f>
        <v/>
      </c>
      <c r="CL64" s="34" t="str">
        <f>IF(tblTrazabilidad[[#This Row],[Clase]]="F2",IFERROR(IF(VLOOKUP($CH64,tblBD_PatronMasa[[Código Patrón]:[mN-(mpe–U95)]],12,FALSE)=0,"",VLOOKUP($CH64,tblBD_PatronMasa[[Código Patrón]:[mN-(mpe–U95)]],12,FALSE)+731),""),IF(tblTrazabilidad[[#This Row],[Clase]]="F1",IFERROR(IF(VLOOKUP($CH64,tblBD_PatronMasa[[Código Patrón]:[mN-(mpe–U95)]],12,FALSE)=0,"",VLOOKUP($CH64,tblBD_PatronMasa[[Código Patrón]:[mN-(mpe–U95)]],12,FALSE)+731),""),IFERROR(IF(VLOOKUP($CH64,tblBD_PatronMasa[[Código Patrón]:[mN-(mpe–U95)]],12,FALSE)=0,"",VLOOKUP($CH64,tblBD_PatronMasa[[Código Patrón]:[mN-(mpe–U95)]],12,FALSE)+366),"")))</f>
        <v/>
      </c>
      <c r="CM64" s="33" t="str">
        <f>IFERROR(VLOOKUP($CH64,tblBD_PatronMasa[[Código Patrón]:[mN-(mpe–U95)]],3,FALSE),"")</f>
        <v/>
      </c>
      <c r="CS64" s="32"/>
      <c r="CU64"/>
      <c r="DC64" s="1"/>
      <c r="DD64" s="1"/>
      <c r="DF64"/>
      <c r="DG64"/>
    </row>
    <row r="65" spans="41:111" x14ac:dyDescent="0.3">
      <c r="AO65" s="39"/>
      <c r="AP65" s="39"/>
      <c r="CG65" s="38">
        <v>61</v>
      </c>
      <c r="CH65" s="35">
        <f t="shared" si="6"/>
        <v>0</v>
      </c>
      <c r="CI65" s="35" t="str">
        <f>IF(tblTrazabilidad[[#This Row],[Código]]=0,"",IFERROR(IF(SEARCH("JM",tblTrazabilidad[[#This Row],[Código]])&gt;0,"Juego de pesas",),"Pesa"))</f>
        <v/>
      </c>
      <c r="CJ65" s="35" t="str">
        <f>IFERROR(VLOOKUP($CH65,tblBD_PatronMasa[[Código Patrón]:[mN-(mpe–U95)]],2,FALSE),"")</f>
        <v/>
      </c>
      <c r="CK65" s="35" t="str">
        <f>IFERROR(VLOOKUP($CH65,tblBD_PatronMasa[[Código Patrón]:[mN-(mpe–U95)]],13,FALSE),"")</f>
        <v/>
      </c>
      <c r="CL65" s="34" t="str">
        <f>IF(tblTrazabilidad[[#This Row],[Clase]]="F2",IFERROR(IF(VLOOKUP($CH65,tblBD_PatronMasa[[Código Patrón]:[mN-(mpe–U95)]],12,FALSE)=0,"",VLOOKUP($CH65,tblBD_PatronMasa[[Código Patrón]:[mN-(mpe–U95)]],12,FALSE)+731),""),IF(tblTrazabilidad[[#This Row],[Clase]]="F1",IFERROR(IF(VLOOKUP($CH65,tblBD_PatronMasa[[Código Patrón]:[mN-(mpe–U95)]],12,FALSE)=0,"",VLOOKUP($CH65,tblBD_PatronMasa[[Código Patrón]:[mN-(mpe–U95)]],12,FALSE)+731),""),IFERROR(IF(VLOOKUP($CH65,tblBD_PatronMasa[[Código Patrón]:[mN-(mpe–U95)]],12,FALSE)=0,"",VLOOKUP($CH65,tblBD_PatronMasa[[Código Patrón]:[mN-(mpe–U95)]],12,FALSE)+366),"")))</f>
        <v/>
      </c>
      <c r="CM65" s="33" t="str">
        <f>IFERROR(VLOOKUP($CH65,tblBD_PatronMasa[[Código Patrón]:[mN-(mpe–U95)]],3,FALSE),"")</f>
        <v/>
      </c>
      <c r="CS65" s="32"/>
      <c r="CU65"/>
      <c r="DC65" s="1"/>
      <c r="DD65" s="1"/>
      <c r="DF65"/>
      <c r="DG65"/>
    </row>
    <row r="66" spans="41:111" x14ac:dyDescent="0.3">
      <c r="AO66" s="39"/>
      <c r="AP66" s="39"/>
      <c r="CG66" s="38">
        <v>62</v>
      </c>
      <c r="CH66" s="35">
        <f t="shared" si="6"/>
        <v>0</v>
      </c>
      <c r="CI66" s="35" t="str">
        <f>IF(tblTrazabilidad[[#This Row],[Código]]=0,"",IFERROR(IF(SEARCH("JM",tblTrazabilidad[[#This Row],[Código]])&gt;0,"Juego de pesas",),"Pesa"))</f>
        <v/>
      </c>
      <c r="CJ66" s="35" t="str">
        <f>IFERROR(VLOOKUP($CH66,tblBD_PatronMasa[[Código Patrón]:[mN-(mpe–U95)]],2,FALSE),"")</f>
        <v/>
      </c>
      <c r="CK66" s="35" t="str">
        <f>IFERROR(VLOOKUP($CH66,tblBD_PatronMasa[[Código Patrón]:[mN-(mpe–U95)]],13,FALSE),"")</f>
        <v/>
      </c>
      <c r="CL66" s="34" t="str">
        <f>IF(tblTrazabilidad[[#This Row],[Clase]]="F2",IFERROR(IF(VLOOKUP($CH66,tblBD_PatronMasa[[Código Patrón]:[mN-(mpe–U95)]],12,FALSE)=0,"",VLOOKUP($CH66,tblBD_PatronMasa[[Código Patrón]:[mN-(mpe–U95)]],12,FALSE)+731),""),IF(tblTrazabilidad[[#This Row],[Clase]]="F1",IFERROR(IF(VLOOKUP($CH66,tblBD_PatronMasa[[Código Patrón]:[mN-(mpe–U95)]],12,FALSE)=0,"",VLOOKUP($CH66,tblBD_PatronMasa[[Código Patrón]:[mN-(mpe–U95)]],12,FALSE)+731),""),IFERROR(IF(VLOOKUP($CH66,tblBD_PatronMasa[[Código Patrón]:[mN-(mpe–U95)]],12,FALSE)=0,"",VLOOKUP($CH66,tblBD_PatronMasa[[Código Patrón]:[mN-(mpe–U95)]],12,FALSE)+366),"")))</f>
        <v/>
      </c>
      <c r="CM66" s="33" t="str">
        <f>IFERROR(VLOOKUP($CH66,tblBD_PatronMasa[[Código Patrón]:[mN-(mpe–U95)]],3,FALSE),"")</f>
        <v/>
      </c>
      <c r="CS66" s="32"/>
      <c r="CU66"/>
      <c r="DC66" s="1"/>
      <c r="DD66" s="1"/>
      <c r="DF66"/>
      <c r="DG66"/>
    </row>
    <row r="67" spans="41:111" x14ac:dyDescent="0.3">
      <c r="AO67" s="39"/>
      <c r="AP67" s="39"/>
      <c r="CG67" s="38">
        <v>63</v>
      </c>
      <c r="CH67" s="35">
        <f t="shared" si="6"/>
        <v>0</v>
      </c>
      <c r="CI67" s="35" t="str">
        <f>IF(tblTrazabilidad[[#This Row],[Código]]=0,"",IFERROR(IF(SEARCH("JM",tblTrazabilidad[[#This Row],[Código]])&gt;0,"Juego de pesas",),"Pesa"))</f>
        <v/>
      </c>
      <c r="CJ67" s="35" t="str">
        <f>IFERROR(VLOOKUP($CH67,tblBD_PatronMasa[[Código Patrón]:[mN-(mpe–U95)]],2,FALSE),"")</f>
        <v/>
      </c>
      <c r="CK67" s="35" t="str">
        <f>IFERROR(VLOOKUP($CH67,tblBD_PatronMasa[[Código Patrón]:[mN-(mpe–U95)]],13,FALSE),"")</f>
        <v/>
      </c>
      <c r="CL67" s="34" t="str">
        <f>IF(tblTrazabilidad[[#This Row],[Clase]]="F2",IFERROR(IF(VLOOKUP($CH67,tblBD_PatronMasa[[Código Patrón]:[mN-(mpe–U95)]],12,FALSE)=0,"",VLOOKUP($CH67,tblBD_PatronMasa[[Código Patrón]:[mN-(mpe–U95)]],12,FALSE)+731),""),IF(tblTrazabilidad[[#This Row],[Clase]]="F1",IFERROR(IF(VLOOKUP($CH67,tblBD_PatronMasa[[Código Patrón]:[mN-(mpe–U95)]],12,FALSE)=0,"",VLOOKUP($CH67,tblBD_PatronMasa[[Código Patrón]:[mN-(mpe–U95)]],12,FALSE)+731),""),IFERROR(IF(VLOOKUP($CH67,tblBD_PatronMasa[[Código Patrón]:[mN-(mpe–U95)]],12,FALSE)=0,"",VLOOKUP($CH67,tblBD_PatronMasa[[Código Patrón]:[mN-(mpe–U95)]],12,FALSE)+366),"")))</f>
        <v/>
      </c>
      <c r="CM67" s="33" t="str">
        <f>IFERROR(VLOOKUP($CH67,tblBD_PatronMasa[[Código Patrón]:[mN-(mpe–U95)]],3,FALSE),"")</f>
        <v/>
      </c>
      <c r="CS67" s="32"/>
      <c r="CU67"/>
      <c r="DC67" s="1"/>
      <c r="DD67" s="1"/>
      <c r="DF67"/>
      <c r="DG67"/>
    </row>
    <row r="68" spans="41:111" x14ac:dyDescent="0.3">
      <c r="AO68" s="39"/>
      <c r="AP68" s="39"/>
      <c r="CG68" s="38">
        <v>64</v>
      </c>
      <c r="CH68" s="35">
        <f t="shared" si="6"/>
        <v>0</v>
      </c>
      <c r="CI68" s="35" t="str">
        <f>IF(tblTrazabilidad[[#This Row],[Código]]=0,"",IFERROR(IF(SEARCH("JM",tblTrazabilidad[[#This Row],[Código]])&gt;0,"Juego de pesas",),"Pesa"))</f>
        <v/>
      </c>
      <c r="CJ68" s="35" t="str">
        <f>IFERROR(VLOOKUP($CH68,tblBD_PatronMasa[[Código Patrón]:[mN-(mpe–U95)]],2,FALSE),"")</f>
        <v/>
      </c>
      <c r="CK68" s="35" t="str">
        <f>IFERROR(VLOOKUP($CH68,tblBD_PatronMasa[[Código Patrón]:[mN-(mpe–U95)]],13,FALSE),"")</f>
        <v/>
      </c>
      <c r="CL68" s="34" t="str">
        <f>IF(tblTrazabilidad[[#This Row],[Clase]]="F2",IFERROR(IF(VLOOKUP($CH68,tblBD_PatronMasa[[Código Patrón]:[mN-(mpe–U95)]],12,FALSE)=0,"",VLOOKUP($CH68,tblBD_PatronMasa[[Código Patrón]:[mN-(mpe–U95)]],12,FALSE)+731),""),IF(tblTrazabilidad[[#This Row],[Clase]]="F1",IFERROR(IF(VLOOKUP($CH68,tblBD_PatronMasa[[Código Patrón]:[mN-(mpe–U95)]],12,FALSE)=0,"",VLOOKUP($CH68,tblBD_PatronMasa[[Código Patrón]:[mN-(mpe–U95)]],12,FALSE)+731),""),IFERROR(IF(VLOOKUP($CH68,tblBD_PatronMasa[[Código Patrón]:[mN-(mpe–U95)]],12,FALSE)=0,"",VLOOKUP($CH68,tblBD_PatronMasa[[Código Patrón]:[mN-(mpe–U95)]],12,FALSE)+366),"")))</f>
        <v/>
      </c>
      <c r="CM68" s="33" t="str">
        <f>IFERROR(VLOOKUP($CH68,tblBD_PatronMasa[[Código Patrón]:[mN-(mpe–U95)]],3,FALSE),"")</f>
        <v/>
      </c>
      <c r="CS68" s="32"/>
      <c r="CU68"/>
      <c r="DC68" s="1"/>
      <c r="DD68" s="1"/>
      <c r="DF68"/>
      <c r="DG68"/>
    </row>
    <row r="69" spans="41:111" x14ac:dyDescent="0.3">
      <c r="AO69" s="39"/>
      <c r="AP69" s="39"/>
      <c r="CG69" s="38">
        <v>65</v>
      </c>
      <c r="CH69" s="35">
        <f t="shared" si="6"/>
        <v>0</v>
      </c>
      <c r="CI69" s="35" t="str">
        <f>IF(tblTrazabilidad[[#This Row],[Código]]=0,"",IFERROR(IF(SEARCH("JM",tblTrazabilidad[[#This Row],[Código]])&gt;0,"Juego de pesas",),"Pesa"))</f>
        <v/>
      </c>
      <c r="CJ69" s="35" t="str">
        <f>IFERROR(VLOOKUP($CH69,tblBD_PatronMasa[[Código Patrón]:[mN-(mpe–U95)]],2,FALSE),"")</f>
        <v/>
      </c>
      <c r="CK69" s="35" t="str">
        <f>IFERROR(VLOOKUP($CH69,tblBD_PatronMasa[[Código Patrón]:[mN-(mpe–U95)]],13,FALSE),"")</f>
        <v/>
      </c>
      <c r="CL69" s="34" t="str">
        <f>IF(tblTrazabilidad[[#This Row],[Clase]]="F2",IFERROR(IF(VLOOKUP($CH69,tblBD_PatronMasa[[Código Patrón]:[mN-(mpe–U95)]],12,FALSE)=0,"",VLOOKUP($CH69,tblBD_PatronMasa[[Código Patrón]:[mN-(mpe–U95)]],12,FALSE)+731),""),IF(tblTrazabilidad[[#This Row],[Clase]]="F1",IFERROR(IF(VLOOKUP($CH69,tblBD_PatronMasa[[Código Patrón]:[mN-(mpe–U95)]],12,FALSE)=0,"",VLOOKUP($CH69,tblBD_PatronMasa[[Código Patrón]:[mN-(mpe–U95)]],12,FALSE)+731),""),IFERROR(IF(VLOOKUP($CH69,tblBD_PatronMasa[[Código Patrón]:[mN-(mpe–U95)]],12,FALSE)=0,"",VLOOKUP($CH69,tblBD_PatronMasa[[Código Patrón]:[mN-(mpe–U95)]],12,FALSE)+366),"")))</f>
        <v/>
      </c>
      <c r="CM69" s="33" t="str">
        <f>IFERROR(VLOOKUP($CH69,tblBD_PatronMasa[[Código Patrón]:[mN-(mpe–U95)]],3,FALSE),"")</f>
        <v/>
      </c>
      <c r="CS69" s="32"/>
      <c r="CU69"/>
      <c r="DC69" s="1"/>
      <c r="DD69" s="1"/>
      <c r="DF69"/>
      <c r="DG69"/>
    </row>
    <row r="70" spans="41:111" x14ac:dyDescent="0.3">
      <c r="AO70" s="39"/>
      <c r="AP70" s="39"/>
      <c r="CG70" s="38">
        <v>66</v>
      </c>
      <c r="CH70" s="35">
        <f t="shared" si="6"/>
        <v>0</v>
      </c>
      <c r="CI70" s="35" t="str">
        <f>IF(tblTrazabilidad[[#This Row],[Código]]=0,"",IFERROR(IF(SEARCH("JM",tblTrazabilidad[[#This Row],[Código]])&gt;0,"Juego de pesas",),"Pesa"))</f>
        <v/>
      </c>
      <c r="CJ70" s="35" t="str">
        <f>IFERROR(VLOOKUP($CH70,tblBD_PatronMasa[[Código Patrón]:[mN-(mpe–U95)]],2,FALSE),"")</f>
        <v/>
      </c>
      <c r="CK70" s="35" t="str">
        <f>IFERROR(VLOOKUP($CH70,tblBD_PatronMasa[[Código Patrón]:[mN-(mpe–U95)]],13,FALSE),"")</f>
        <v/>
      </c>
      <c r="CL70" s="34" t="str">
        <f>IF(tblTrazabilidad[[#This Row],[Clase]]="F2",IFERROR(IF(VLOOKUP($CH70,tblBD_PatronMasa[[Código Patrón]:[mN-(mpe–U95)]],12,FALSE)=0,"",VLOOKUP($CH70,tblBD_PatronMasa[[Código Patrón]:[mN-(mpe–U95)]],12,FALSE)+731),""),IF(tblTrazabilidad[[#This Row],[Clase]]="F1",IFERROR(IF(VLOOKUP($CH70,tblBD_PatronMasa[[Código Patrón]:[mN-(mpe–U95)]],12,FALSE)=0,"",VLOOKUP($CH70,tblBD_PatronMasa[[Código Patrón]:[mN-(mpe–U95)]],12,FALSE)+731),""),IFERROR(IF(VLOOKUP($CH70,tblBD_PatronMasa[[Código Patrón]:[mN-(mpe–U95)]],12,FALSE)=0,"",VLOOKUP($CH70,tblBD_PatronMasa[[Código Patrón]:[mN-(mpe–U95)]],12,FALSE)+366),"")))</f>
        <v/>
      </c>
      <c r="CM70" s="33" t="str">
        <f>IFERROR(VLOOKUP($CH70,tblBD_PatronMasa[[Código Patrón]:[mN-(mpe–U95)]],3,FALSE),"")</f>
        <v/>
      </c>
      <c r="CS70" s="32"/>
      <c r="CU70"/>
      <c r="DC70" s="1"/>
      <c r="DD70" s="1"/>
      <c r="DF70"/>
      <c r="DG70"/>
    </row>
    <row r="71" spans="41:111" x14ac:dyDescent="0.3">
      <c r="AO71" s="39"/>
      <c r="AP71" s="39"/>
      <c r="CG71" s="38">
        <v>67</v>
      </c>
      <c r="CH71" s="35">
        <f t="shared" si="6"/>
        <v>0</v>
      </c>
      <c r="CI71" s="35" t="str">
        <f>IF(tblTrazabilidad[[#This Row],[Código]]=0,"",IFERROR(IF(SEARCH("JM",tblTrazabilidad[[#This Row],[Código]])&gt;0,"Juego de pesas",),"Pesa"))</f>
        <v/>
      </c>
      <c r="CJ71" s="35" t="str">
        <f>IFERROR(VLOOKUP($CH71,tblBD_PatronMasa[[Código Patrón]:[mN-(mpe–U95)]],2,FALSE),"")</f>
        <v/>
      </c>
      <c r="CK71" s="35" t="str">
        <f>IFERROR(VLOOKUP($CH71,tblBD_PatronMasa[[Código Patrón]:[mN-(mpe–U95)]],13,FALSE),"")</f>
        <v/>
      </c>
      <c r="CL71" s="34" t="str">
        <f>IF(tblTrazabilidad[[#This Row],[Clase]]="F2",IFERROR(IF(VLOOKUP($CH71,tblBD_PatronMasa[[Código Patrón]:[mN-(mpe–U95)]],12,FALSE)=0,"",VLOOKUP($CH71,tblBD_PatronMasa[[Código Patrón]:[mN-(mpe–U95)]],12,FALSE)+731),""),IF(tblTrazabilidad[[#This Row],[Clase]]="F1",IFERROR(IF(VLOOKUP($CH71,tblBD_PatronMasa[[Código Patrón]:[mN-(mpe–U95)]],12,FALSE)=0,"",VLOOKUP($CH71,tblBD_PatronMasa[[Código Patrón]:[mN-(mpe–U95)]],12,FALSE)+731),""),IFERROR(IF(VLOOKUP($CH71,tblBD_PatronMasa[[Código Patrón]:[mN-(mpe–U95)]],12,FALSE)=0,"",VLOOKUP($CH71,tblBD_PatronMasa[[Código Patrón]:[mN-(mpe–U95)]],12,FALSE)+366),"")))</f>
        <v/>
      </c>
      <c r="CM71" s="33" t="str">
        <f>IFERROR(VLOOKUP($CH71,tblBD_PatronMasa[[Código Patrón]:[mN-(mpe–U95)]],3,FALSE),"")</f>
        <v/>
      </c>
      <c r="CS71" s="32"/>
      <c r="CU71"/>
      <c r="DC71" s="1"/>
      <c r="DD71" s="1"/>
      <c r="DF71"/>
      <c r="DG71"/>
    </row>
    <row r="72" spans="41:111" x14ac:dyDescent="0.3">
      <c r="CG72" s="38">
        <v>68</v>
      </c>
      <c r="CH72" s="35">
        <f t="shared" si="6"/>
        <v>0</v>
      </c>
      <c r="CI72" s="35" t="str">
        <f>IF(tblTrazabilidad[[#This Row],[Código]]=0,"",IFERROR(IF(SEARCH("JM",tblTrazabilidad[[#This Row],[Código]])&gt;0,"Juego de pesas",),"Pesa"))</f>
        <v/>
      </c>
      <c r="CJ72" s="35" t="str">
        <f>IFERROR(VLOOKUP($CH72,tblBD_PatronMasa[[Código Patrón]:[mN-(mpe–U95)]],2,FALSE),"")</f>
        <v/>
      </c>
      <c r="CK72" s="35" t="str">
        <f>IFERROR(VLOOKUP($CH72,tblBD_PatronMasa[[Código Patrón]:[mN-(mpe–U95)]],13,FALSE),"")</f>
        <v/>
      </c>
      <c r="CL72" s="34" t="str">
        <f>IF(tblTrazabilidad[[#This Row],[Clase]]="F2",IFERROR(IF(VLOOKUP($CH72,tblBD_PatronMasa[[Código Patrón]:[mN-(mpe–U95)]],12,FALSE)=0,"",VLOOKUP($CH72,tblBD_PatronMasa[[Código Patrón]:[mN-(mpe–U95)]],12,FALSE)+731),""),IF(tblTrazabilidad[[#This Row],[Clase]]="F1",IFERROR(IF(VLOOKUP($CH72,tblBD_PatronMasa[[Código Patrón]:[mN-(mpe–U95)]],12,FALSE)=0,"",VLOOKUP($CH72,tblBD_PatronMasa[[Código Patrón]:[mN-(mpe–U95)]],12,FALSE)+731),""),IFERROR(IF(VLOOKUP($CH72,tblBD_PatronMasa[[Código Patrón]:[mN-(mpe–U95)]],12,FALSE)=0,"",VLOOKUP($CH72,tblBD_PatronMasa[[Código Patrón]:[mN-(mpe–U95)]],12,FALSE)+366),"")))</f>
        <v/>
      </c>
      <c r="CM72" s="33" t="str">
        <f>IFERROR(VLOOKUP($CH72,tblBD_PatronMasa[[Código Patrón]:[mN-(mpe–U95)]],3,FALSE),"")</f>
        <v/>
      </c>
      <c r="CS72" s="32"/>
      <c r="CU72"/>
      <c r="DC72" s="1"/>
      <c r="DD72" s="1"/>
      <c r="DF72"/>
      <c r="DG72"/>
    </row>
    <row r="73" spans="41:111" x14ac:dyDescent="0.3">
      <c r="CG73" s="38">
        <v>69</v>
      </c>
      <c r="CH73" s="35">
        <f t="shared" si="6"/>
        <v>0</v>
      </c>
      <c r="CI73" s="35" t="str">
        <f>IF(tblTrazabilidad[[#This Row],[Código]]=0,"",IFERROR(IF(SEARCH("JM",tblTrazabilidad[[#This Row],[Código]])&gt;0,"Juego de pesas",),"Pesa"))</f>
        <v/>
      </c>
      <c r="CJ73" s="35" t="str">
        <f>IFERROR(VLOOKUP($CH73,tblBD_PatronMasa[[Código Patrón]:[mN-(mpe–U95)]],2,FALSE),"")</f>
        <v/>
      </c>
      <c r="CK73" s="35" t="str">
        <f>IFERROR(VLOOKUP($CH73,tblBD_PatronMasa[[Código Patrón]:[mN-(mpe–U95)]],13,FALSE),"")</f>
        <v/>
      </c>
      <c r="CL73" s="34" t="str">
        <f>IF(tblTrazabilidad[[#This Row],[Clase]]="F2",IFERROR(IF(VLOOKUP($CH73,tblBD_PatronMasa[[Código Patrón]:[mN-(mpe–U95)]],12,FALSE)=0,"",VLOOKUP($CH73,tblBD_PatronMasa[[Código Patrón]:[mN-(mpe–U95)]],12,FALSE)+731),""),IF(tblTrazabilidad[[#This Row],[Clase]]="F1",IFERROR(IF(VLOOKUP($CH73,tblBD_PatronMasa[[Código Patrón]:[mN-(mpe–U95)]],12,FALSE)=0,"",VLOOKUP($CH73,tblBD_PatronMasa[[Código Patrón]:[mN-(mpe–U95)]],12,FALSE)+731),""),IFERROR(IF(VLOOKUP($CH73,tblBD_PatronMasa[[Código Patrón]:[mN-(mpe–U95)]],12,FALSE)=0,"",VLOOKUP($CH73,tblBD_PatronMasa[[Código Patrón]:[mN-(mpe–U95)]],12,FALSE)+366),"")))</f>
        <v/>
      </c>
      <c r="CM73" s="33" t="str">
        <f>IFERROR(VLOOKUP($CH73,tblBD_PatronMasa[[Código Patrón]:[mN-(mpe–U95)]],3,FALSE),"")</f>
        <v/>
      </c>
      <c r="CS73" s="32"/>
      <c r="CU73"/>
      <c r="DC73" s="1"/>
      <c r="DD73" s="1"/>
      <c r="DF73"/>
      <c r="DG73"/>
    </row>
    <row r="74" spans="41:111" x14ac:dyDescent="0.3">
      <c r="CG74" s="38">
        <v>70</v>
      </c>
      <c r="CH74" s="35">
        <f t="shared" si="6"/>
        <v>0</v>
      </c>
      <c r="CI74" s="35" t="str">
        <f>IF(tblTrazabilidad[[#This Row],[Código]]=0,"",IFERROR(IF(SEARCH("JM",tblTrazabilidad[[#This Row],[Código]])&gt;0,"Juego de pesas",),"Pesa"))</f>
        <v/>
      </c>
      <c r="CJ74" s="35" t="str">
        <f>IFERROR(VLOOKUP($CH74,tblBD_PatronMasa[[Código Patrón]:[mN-(mpe–U95)]],2,FALSE),"")</f>
        <v/>
      </c>
      <c r="CK74" s="35" t="str">
        <f>IFERROR(VLOOKUP($CH74,tblBD_PatronMasa[[Código Patrón]:[mN-(mpe–U95)]],13,FALSE),"")</f>
        <v/>
      </c>
      <c r="CL74" s="34" t="str">
        <f>IF(tblTrazabilidad[[#This Row],[Clase]]="F2",IFERROR(IF(VLOOKUP($CH74,tblBD_PatronMasa[[Código Patrón]:[mN-(mpe–U95)]],12,FALSE)=0,"",VLOOKUP($CH74,tblBD_PatronMasa[[Código Patrón]:[mN-(mpe–U95)]],12,FALSE)+731),""),IF(tblTrazabilidad[[#This Row],[Clase]]="F1",IFERROR(IF(VLOOKUP($CH74,tblBD_PatronMasa[[Código Patrón]:[mN-(mpe–U95)]],12,FALSE)=0,"",VLOOKUP($CH74,tblBD_PatronMasa[[Código Patrón]:[mN-(mpe–U95)]],12,FALSE)+731),""),IFERROR(IF(VLOOKUP($CH74,tblBD_PatronMasa[[Código Patrón]:[mN-(mpe–U95)]],12,FALSE)=0,"",VLOOKUP($CH74,tblBD_PatronMasa[[Código Patrón]:[mN-(mpe–U95)]],12,FALSE)+366),"")))</f>
        <v/>
      </c>
      <c r="CM74" s="33" t="str">
        <f>IFERROR(VLOOKUP($CH74,tblBD_PatronMasa[[Código Patrón]:[mN-(mpe–U95)]],3,FALSE),"")</f>
        <v/>
      </c>
      <c r="CS74" s="32"/>
      <c r="CU74"/>
      <c r="DC74" s="1"/>
      <c r="DD74" s="1"/>
      <c r="DF74"/>
      <c r="DG74"/>
    </row>
    <row r="75" spans="41:111" x14ac:dyDescent="0.3">
      <c r="CG75" s="38">
        <v>71</v>
      </c>
      <c r="CH75" s="35">
        <f t="shared" si="6"/>
        <v>0</v>
      </c>
      <c r="CI75" s="35" t="str">
        <f>IF(tblTrazabilidad[[#This Row],[Código]]=0,"",IFERROR(IF(SEARCH("JM",tblTrazabilidad[[#This Row],[Código]])&gt;0,"Juego de pesas",),"Pesa"))</f>
        <v/>
      </c>
      <c r="CJ75" s="35" t="str">
        <f>IFERROR(VLOOKUP($CH75,tblBD_PatronMasa[[Código Patrón]:[mN-(mpe–U95)]],2,FALSE),"")</f>
        <v/>
      </c>
      <c r="CK75" s="35" t="str">
        <f>IFERROR(VLOOKUP($CH75,tblBD_PatronMasa[[Código Patrón]:[mN-(mpe–U95)]],13,FALSE),"")</f>
        <v/>
      </c>
      <c r="CL75" s="34" t="str">
        <f>IF(tblTrazabilidad[[#This Row],[Clase]]="F2",IFERROR(IF(VLOOKUP($CH75,tblBD_PatronMasa[[Código Patrón]:[mN-(mpe–U95)]],12,FALSE)=0,"",VLOOKUP($CH75,tblBD_PatronMasa[[Código Patrón]:[mN-(mpe–U95)]],12,FALSE)+731),""),IF(tblTrazabilidad[[#This Row],[Clase]]="F1",IFERROR(IF(VLOOKUP($CH75,tblBD_PatronMasa[[Código Patrón]:[mN-(mpe–U95)]],12,FALSE)=0,"",VLOOKUP($CH75,tblBD_PatronMasa[[Código Patrón]:[mN-(mpe–U95)]],12,FALSE)+731),""),IFERROR(IF(VLOOKUP($CH75,tblBD_PatronMasa[[Código Patrón]:[mN-(mpe–U95)]],12,FALSE)=0,"",VLOOKUP($CH75,tblBD_PatronMasa[[Código Patrón]:[mN-(mpe–U95)]],12,FALSE)+366),"")))</f>
        <v/>
      </c>
      <c r="CM75" s="33" t="str">
        <f>IFERROR(VLOOKUP($CH75,tblBD_PatronMasa[[Código Patrón]:[mN-(mpe–U95)]],3,FALSE),"")</f>
        <v/>
      </c>
      <c r="CS75" s="32"/>
      <c r="CU75"/>
      <c r="DC75" s="1"/>
      <c r="DD75" s="1"/>
      <c r="DF75"/>
      <c r="DG75"/>
    </row>
    <row r="76" spans="41:111" x14ac:dyDescent="0.3">
      <c r="CG76" s="38">
        <v>72</v>
      </c>
      <c r="CH76" s="35">
        <f t="shared" si="6"/>
        <v>0</v>
      </c>
      <c r="CI76" s="35" t="str">
        <f>IF(tblTrazabilidad[[#This Row],[Código]]=0,"",IFERROR(IF(SEARCH("JM",tblTrazabilidad[[#This Row],[Código]])&gt;0,"Juego de pesas",),"Pesa"))</f>
        <v/>
      </c>
      <c r="CJ76" s="35" t="str">
        <f>IFERROR(VLOOKUP($CH76,tblBD_PatronMasa[[Código Patrón]:[mN-(mpe–U95)]],2,FALSE),"")</f>
        <v/>
      </c>
      <c r="CK76" s="35" t="str">
        <f>IFERROR(VLOOKUP($CH76,tblBD_PatronMasa[[Código Patrón]:[mN-(mpe–U95)]],13,FALSE),"")</f>
        <v/>
      </c>
      <c r="CL76" s="34" t="str">
        <f>IF(tblTrazabilidad[[#This Row],[Clase]]="F2",IFERROR(IF(VLOOKUP($CH76,tblBD_PatronMasa[[Código Patrón]:[mN-(mpe–U95)]],12,FALSE)=0,"",VLOOKUP($CH76,tblBD_PatronMasa[[Código Patrón]:[mN-(mpe–U95)]],12,FALSE)+731),""),IF(tblTrazabilidad[[#This Row],[Clase]]="F1",IFERROR(IF(VLOOKUP($CH76,tblBD_PatronMasa[[Código Patrón]:[mN-(mpe–U95)]],12,FALSE)=0,"",VLOOKUP($CH76,tblBD_PatronMasa[[Código Patrón]:[mN-(mpe–U95)]],12,FALSE)+731),""),IFERROR(IF(VLOOKUP($CH76,tblBD_PatronMasa[[Código Patrón]:[mN-(mpe–U95)]],12,FALSE)=0,"",VLOOKUP($CH76,tblBD_PatronMasa[[Código Patrón]:[mN-(mpe–U95)]],12,FALSE)+366),"")))</f>
        <v/>
      </c>
      <c r="CM76" s="33" t="str">
        <f>IFERROR(VLOOKUP($CH76,tblBD_PatronMasa[[Código Patrón]:[mN-(mpe–U95)]],3,FALSE),"")</f>
        <v/>
      </c>
      <c r="CS76" s="32"/>
      <c r="CU76"/>
      <c r="DC76" s="1"/>
      <c r="DD76" s="1"/>
      <c r="DF76"/>
      <c r="DG76"/>
    </row>
    <row r="77" spans="41:111" x14ac:dyDescent="0.3">
      <c r="AO77" s="39"/>
      <c r="AP77" s="39"/>
      <c r="CG77" s="38">
        <v>73</v>
      </c>
      <c r="CH77" s="35">
        <f t="shared" si="6"/>
        <v>0</v>
      </c>
      <c r="CI77" s="35" t="str">
        <f>IF(tblTrazabilidad[[#This Row],[Código]]=0,"",IFERROR(IF(SEARCH("JM",tblTrazabilidad[[#This Row],[Código]])&gt;0,"Juego de pesas",),"Pesa"))</f>
        <v/>
      </c>
      <c r="CJ77" s="35" t="str">
        <f>IFERROR(VLOOKUP($CH77,tblBD_PatronMasa[[Código Patrón]:[mN-(mpe–U95)]],2,FALSE),"")</f>
        <v/>
      </c>
      <c r="CK77" s="35" t="str">
        <f>IFERROR(VLOOKUP($CH77,tblBD_PatronMasa[[Código Patrón]:[mN-(mpe–U95)]],13,FALSE),"")</f>
        <v/>
      </c>
      <c r="CL77" s="34" t="str">
        <f>IF(tblTrazabilidad[[#This Row],[Clase]]="F2",IFERROR(IF(VLOOKUP($CH77,tblBD_PatronMasa[[Código Patrón]:[mN-(mpe–U95)]],12,FALSE)=0,"",VLOOKUP($CH77,tblBD_PatronMasa[[Código Patrón]:[mN-(mpe–U95)]],12,FALSE)+731),""),IF(tblTrazabilidad[[#This Row],[Clase]]="F1",IFERROR(IF(VLOOKUP($CH77,tblBD_PatronMasa[[Código Patrón]:[mN-(mpe–U95)]],12,FALSE)=0,"",VLOOKUP($CH77,tblBD_PatronMasa[[Código Patrón]:[mN-(mpe–U95)]],12,FALSE)+731),""),IFERROR(IF(VLOOKUP($CH77,tblBD_PatronMasa[[Código Patrón]:[mN-(mpe–U95)]],12,FALSE)=0,"",VLOOKUP($CH77,tblBD_PatronMasa[[Código Patrón]:[mN-(mpe–U95)]],12,FALSE)+366),"")))</f>
        <v/>
      </c>
      <c r="CM77" s="33" t="str">
        <f>IFERROR(VLOOKUP($CH77,tblBD_PatronMasa[[Código Patrón]:[mN-(mpe–U95)]],3,FALSE),"")</f>
        <v/>
      </c>
      <c r="CS77" s="32"/>
      <c r="CU77"/>
      <c r="DC77" s="1"/>
      <c r="DD77" s="1"/>
      <c r="DF77"/>
      <c r="DG77"/>
    </row>
    <row r="78" spans="41:111" x14ac:dyDescent="0.3">
      <c r="AO78" s="39"/>
      <c r="AP78" s="39"/>
      <c r="CG78" s="38">
        <v>74</v>
      </c>
      <c r="CH78" s="35">
        <f t="shared" si="6"/>
        <v>0</v>
      </c>
      <c r="CI78" s="35" t="str">
        <f>IF(tblTrazabilidad[[#This Row],[Código]]=0,"",IFERROR(IF(SEARCH("JM",tblTrazabilidad[[#This Row],[Código]])&gt;0,"Juego de pesas",),"Pesa"))</f>
        <v/>
      </c>
      <c r="CJ78" s="35" t="str">
        <f>IFERROR(VLOOKUP($CH78,tblBD_PatronMasa[[Código Patrón]:[mN-(mpe–U95)]],2,FALSE),"")</f>
        <v/>
      </c>
      <c r="CK78" s="35" t="str">
        <f>IFERROR(VLOOKUP($CH78,tblBD_PatronMasa[[Código Patrón]:[mN-(mpe–U95)]],13,FALSE),"")</f>
        <v/>
      </c>
      <c r="CL78" s="34" t="str">
        <f>IF(tblTrazabilidad[[#This Row],[Clase]]="F2",IFERROR(IF(VLOOKUP($CH78,tblBD_PatronMasa[[Código Patrón]:[mN-(mpe–U95)]],12,FALSE)=0,"",VLOOKUP($CH78,tblBD_PatronMasa[[Código Patrón]:[mN-(mpe–U95)]],12,FALSE)+731),""),IF(tblTrazabilidad[[#This Row],[Clase]]="F1",IFERROR(IF(VLOOKUP($CH78,tblBD_PatronMasa[[Código Patrón]:[mN-(mpe–U95)]],12,FALSE)=0,"",VLOOKUP($CH78,tblBD_PatronMasa[[Código Patrón]:[mN-(mpe–U95)]],12,FALSE)+731),""),IFERROR(IF(VLOOKUP($CH78,tblBD_PatronMasa[[Código Patrón]:[mN-(mpe–U95)]],12,FALSE)=0,"",VLOOKUP($CH78,tblBD_PatronMasa[[Código Patrón]:[mN-(mpe–U95)]],12,FALSE)+366),"")))</f>
        <v/>
      </c>
      <c r="CM78" s="33" t="str">
        <f>IFERROR(VLOOKUP($CH78,tblBD_PatronMasa[[Código Patrón]:[mN-(mpe–U95)]],3,FALSE),"")</f>
        <v/>
      </c>
      <c r="CS78" s="32"/>
      <c r="CU78"/>
      <c r="DC78" s="1"/>
      <c r="DD78" s="1"/>
      <c r="DF78"/>
      <c r="DG78"/>
    </row>
    <row r="79" spans="41:111" x14ac:dyDescent="0.3">
      <c r="AO79" s="39"/>
      <c r="AP79" s="39"/>
      <c r="CG79" s="38">
        <v>75</v>
      </c>
      <c r="CH79" s="35">
        <f t="shared" si="6"/>
        <v>0</v>
      </c>
      <c r="CI79" s="35" t="str">
        <f>IF(tblTrazabilidad[[#This Row],[Código]]=0,"",IFERROR(IF(SEARCH("JM",tblTrazabilidad[[#This Row],[Código]])&gt;0,"Juego de pesas",),"Pesa"))</f>
        <v/>
      </c>
      <c r="CJ79" s="35" t="str">
        <f>IFERROR(VLOOKUP($CH79,tblBD_PatronMasa[[Código Patrón]:[mN-(mpe–U95)]],2,FALSE),"")</f>
        <v/>
      </c>
      <c r="CK79" s="35" t="str">
        <f>IFERROR(VLOOKUP($CH79,tblBD_PatronMasa[[Código Patrón]:[mN-(mpe–U95)]],13,FALSE),"")</f>
        <v/>
      </c>
      <c r="CL79" s="34" t="str">
        <f>IF(tblTrazabilidad[[#This Row],[Clase]]="F2",IFERROR(IF(VLOOKUP($CH79,tblBD_PatronMasa[[Código Patrón]:[mN-(mpe–U95)]],12,FALSE)=0,"",VLOOKUP($CH79,tblBD_PatronMasa[[Código Patrón]:[mN-(mpe–U95)]],12,FALSE)+731),""),IF(tblTrazabilidad[[#This Row],[Clase]]="F1",IFERROR(IF(VLOOKUP($CH79,tblBD_PatronMasa[[Código Patrón]:[mN-(mpe–U95)]],12,FALSE)=0,"",VLOOKUP($CH79,tblBD_PatronMasa[[Código Patrón]:[mN-(mpe–U95)]],12,FALSE)+731),""),IFERROR(IF(VLOOKUP($CH79,tblBD_PatronMasa[[Código Patrón]:[mN-(mpe–U95)]],12,FALSE)=0,"",VLOOKUP($CH79,tblBD_PatronMasa[[Código Patrón]:[mN-(mpe–U95)]],12,FALSE)+366),"")))</f>
        <v/>
      </c>
      <c r="CM79" s="33" t="str">
        <f>IFERROR(VLOOKUP($CH79,tblBD_PatronMasa[[Código Patrón]:[mN-(mpe–U95)]],3,FALSE),"")</f>
        <v/>
      </c>
      <c r="CS79" s="32"/>
      <c r="CU79"/>
      <c r="DC79" s="1"/>
      <c r="DD79" s="1"/>
      <c r="DF79"/>
      <c r="DG79"/>
    </row>
    <row r="80" spans="41:111" x14ac:dyDescent="0.3">
      <c r="AO80" s="39"/>
      <c r="AP80" s="39"/>
      <c r="CG80" s="38">
        <v>76</v>
      </c>
      <c r="CH80" s="35">
        <f t="shared" si="6"/>
        <v>0</v>
      </c>
      <c r="CI80" s="35" t="str">
        <f>IF(tblTrazabilidad[[#This Row],[Código]]=0,"",IFERROR(IF(SEARCH("JM",tblTrazabilidad[[#This Row],[Código]])&gt;0,"Juego de pesas",),"Pesa"))</f>
        <v/>
      </c>
      <c r="CJ80" s="35" t="str">
        <f>IFERROR(VLOOKUP($CH80,tblBD_PatronMasa[[Código Patrón]:[mN-(mpe–U95)]],2,FALSE),"")</f>
        <v/>
      </c>
      <c r="CK80" s="35" t="str">
        <f>IFERROR(VLOOKUP($CH80,tblBD_PatronMasa[[Código Patrón]:[mN-(mpe–U95)]],13,FALSE),"")</f>
        <v/>
      </c>
      <c r="CL80" s="34" t="str">
        <f>IF(tblTrazabilidad[[#This Row],[Clase]]="F2",IFERROR(IF(VLOOKUP($CH80,tblBD_PatronMasa[[Código Patrón]:[mN-(mpe–U95)]],12,FALSE)=0,"",VLOOKUP($CH80,tblBD_PatronMasa[[Código Patrón]:[mN-(mpe–U95)]],12,FALSE)+731),""),IF(tblTrazabilidad[[#This Row],[Clase]]="F1",IFERROR(IF(VLOOKUP($CH80,tblBD_PatronMasa[[Código Patrón]:[mN-(mpe–U95)]],12,FALSE)=0,"",VLOOKUP($CH80,tblBD_PatronMasa[[Código Patrón]:[mN-(mpe–U95)]],12,FALSE)+731),""),IFERROR(IF(VLOOKUP($CH80,tblBD_PatronMasa[[Código Patrón]:[mN-(mpe–U95)]],12,FALSE)=0,"",VLOOKUP($CH80,tblBD_PatronMasa[[Código Patrón]:[mN-(mpe–U95)]],12,FALSE)+366),"")))</f>
        <v/>
      </c>
      <c r="CM80" s="33" t="str">
        <f>IFERROR(VLOOKUP($CH80,tblBD_PatronMasa[[Código Patrón]:[mN-(mpe–U95)]],3,FALSE),"")</f>
        <v/>
      </c>
      <c r="CS80" s="32"/>
      <c r="CU80"/>
      <c r="DC80" s="1"/>
      <c r="DD80" s="1"/>
      <c r="DF80"/>
      <c r="DG80"/>
    </row>
    <row r="81" spans="41:111" x14ac:dyDescent="0.3">
      <c r="AO81" s="39"/>
      <c r="AP81" s="39"/>
      <c r="CG81" s="38">
        <v>77</v>
      </c>
      <c r="CH81" s="35">
        <f t="shared" si="6"/>
        <v>0</v>
      </c>
      <c r="CI81" s="35" t="str">
        <f>IF(tblTrazabilidad[[#This Row],[Código]]=0,"",IFERROR(IF(SEARCH("JM",tblTrazabilidad[[#This Row],[Código]])&gt;0,"Juego de pesas",),"Pesa"))</f>
        <v/>
      </c>
      <c r="CJ81" s="35" t="str">
        <f>IFERROR(VLOOKUP($CH81,tblBD_PatronMasa[[Código Patrón]:[mN-(mpe–U95)]],2,FALSE),"")</f>
        <v/>
      </c>
      <c r="CK81" s="35" t="str">
        <f>IFERROR(VLOOKUP($CH81,tblBD_PatronMasa[[Código Patrón]:[mN-(mpe–U95)]],13,FALSE),"")</f>
        <v/>
      </c>
      <c r="CL81" s="34" t="str">
        <f>IF(tblTrazabilidad[[#This Row],[Clase]]="F2",IFERROR(IF(VLOOKUP($CH81,tblBD_PatronMasa[[Código Patrón]:[mN-(mpe–U95)]],12,FALSE)=0,"",VLOOKUP($CH81,tblBD_PatronMasa[[Código Patrón]:[mN-(mpe–U95)]],12,FALSE)+731),""),IF(tblTrazabilidad[[#This Row],[Clase]]="F1",IFERROR(IF(VLOOKUP($CH81,tblBD_PatronMasa[[Código Patrón]:[mN-(mpe–U95)]],12,FALSE)=0,"",VLOOKUP($CH81,tblBD_PatronMasa[[Código Patrón]:[mN-(mpe–U95)]],12,FALSE)+731),""),IFERROR(IF(VLOOKUP($CH81,tblBD_PatronMasa[[Código Patrón]:[mN-(mpe–U95)]],12,FALSE)=0,"",VLOOKUP($CH81,tblBD_PatronMasa[[Código Patrón]:[mN-(mpe–U95)]],12,FALSE)+366),"")))</f>
        <v/>
      </c>
      <c r="CM81" s="33" t="str">
        <f>IFERROR(VLOOKUP($CH81,tblBD_PatronMasa[[Código Patrón]:[mN-(mpe–U95)]],3,FALSE),"")</f>
        <v/>
      </c>
      <c r="CS81" s="32"/>
      <c r="CU81"/>
      <c r="DC81" s="1"/>
      <c r="DD81" s="1"/>
      <c r="DF81"/>
      <c r="DG81"/>
    </row>
    <row r="82" spans="41:111" x14ac:dyDescent="0.3">
      <c r="AO82" s="39"/>
      <c r="AP82" s="39"/>
      <c r="CG82" s="38">
        <v>78</v>
      </c>
      <c r="CH82" s="35">
        <f t="shared" si="6"/>
        <v>0</v>
      </c>
      <c r="CI82" s="35" t="str">
        <f>IF(tblTrazabilidad[[#This Row],[Código]]=0,"",IFERROR(IF(SEARCH("JM",tblTrazabilidad[[#This Row],[Código]])&gt;0,"Juego de pesas",),"Pesa"))</f>
        <v/>
      </c>
      <c r="CJ82" s="35" t="str">
        <f>IFERROR(VLOOKUP($CH82,tblBD_PatronMasa[[Código Patrón]:[mN-(mpe–U95)]],2,FALSE),"")</f>
        <v/>
      </c>
      <c r="CK82" s="35" t="str">
        <f>IFERROR(VLOOKUP($CH82,tblBD_PatronMasa[[Código Patrón]:[mN-(mpe–U95)]],13,FALSE),"")</f>
        <v/>
      </c>
      <c r="CL82" s="34" t="str">
        <f>IF(tblTrazabilidad[[#This Row],[Clase]]="F2",IFERROR(IF(VLOOKUP($CH82,tblBD_PatronMasa[[Código Patrón]:[mN-(mpe–U95)]],12,FALSE)=0,"",VLOOKUP($CH82,tblBD_PatronMasa[[Código Patrón]:[mN-(mpe–U95)]],12,FALSE)+731),""),IF(tblTrazabilidad[[#This Row],[Clase]]="F1",IFERROR(IF(VLOOKUP($CH82,tblBD_PatronMasa[[Código Patrón]:[mN-(mpe–U95)]],12,FALSE)=0,"",VLOOKUP($CH82,tblBD_PatronMasa[[Código Patrón]:[mN-(mpe–U95)]],12,FALSE)+731),""),IFERROR(IF(VLOOKUP($CH82,tblBD_PatronMasa[[Código Patrón]:[mN-(mpe–U95)]],12,FALSE)=0,"",VLOOKUP($CH82,tblBD_PatronMasa[[Código Patrón]:[mN-(mpe–U95)]],12,FALSE)+366),"")))</f>
        <v/>
      </c>
      <c r="CM82" s="33" t="str">
        <f>IFERROR(VLOOKUP($CH82,tblBD_PatronMasa[[Código Patrón]:[mN-(mpe–U95)]],3,FALSE),"")</f>
        <v/>
      </c>
      <c r="CS82" s="32"/>
      <c r="CU82"/>
      <c r="DC82" s="1"/>
      <c r="DD82" s="1"/>
      <c r="DF82"/>
      <c r="DG82"/>
    </row>
    <row r="83" spans="41:111" x14ac:dyDescent="0.3">
      <c r="AO83" s="39"/>
      <c r="AP83" s="39"/>
      <c r="CG83" s="38">
        <v>79</v>
      </c>
      <c r="CH83" s="35">
        <f t="shared" si="6"/>
        <v>0</v>
      </c>
      <c r="CI83" s="35" t="str">
        <f>IF(tblTrazabilidad[[#This Row],[Código]]=0,"",IFERROR(IF(SEARCH("JM",tblTrazabilidad[[#This Row],[Código]])&gt;0,"Juego de pesas",),"Pesa"))</f>
        <v/>
      </c>
      <c r="CJ83" s="35" t="str">
        <f>IFERROR(VLOOKUP($CH83,tblBD_PatronMasa[[Código Patrón]:[mN-(mpe–U95)]],2,FALSE),"")</f>
        <v/>
      </c>
      <c r="CK83" s="35" t="str">
        <f>IFERROR(VLOOKUP($CH83,tblBD_PatronMasa[[Código Patrón]:[mN-(mpe–U95)]],13,FALSE),"")</f>
        <v/>
      </c>
      <c r="CL83" s="34" t="str">
        <f>IF(tblTrazabilidad[[#This Row],[Clase]]="F2",IFERROR(IF(VLOOKUP($CH83,tblBD_PatronMasa[[Código Patrón]:[mN-(mpe–U95)]],12,FALSE)=0,"",VLOOKUP($CH83,tblBD_PatronMasa[[Código Patrón]:[mN-(mpe–U95)]],12,FALSE)+731),""),IF(tblTrazabilidad[[#This Row],[Clase]]="F1",IFERROR(IF(VLOOKUP($CH83,tblBD_PatronMasa[[Código Patrón]:[mN-(mpe–U95)]],12,FALSE)=0,"",VLOOKUP($CH83,tblBD_PatronMasa[[Código Patrón]:[mN-(mpe–U95)]],12,FALSE)+731),""),IFERROR(IF(VLOOKUP($CH83,tblBD_PatronMasa[[Código Patrón]:[mN-(mpe–U95)]],12,FALSE)=0,"",VLOOKUP($CH83,tblBD_PatronMasa[[Código Patrón]:[mN-(mpe–U95)]],12,FALSE)+366),"")))</f>
        <v/>
      </c>
      <c r="CM83" s="33" t="str">
        <f>IFERROR(VLOOKUP($CH83,tblBD_PatronMasa[[Código Patrón]:[mN-(mpe–U95)]],3,FALSE),"")</f>
        <v/>
      </c>
      <c r="CS83" s="32"/>
      <c r="CU83"/>
      <c r="DC83" s="1"/>
      <c r="DD83" s="1"/>
      <c r="DF83"/>
      <c r="DG83"/>
    </row>
    <row r="84" spans="41:111" x14ac:dyDescent="0.3">
      <c r="AO84" s="39"/>
      <c r="AP84" s="39"/>
      <c r="CG84" s="38">
        <v>80</v>
      </c>
      <c r="CH84" s="35">
        <f t="shared" si="6"/>
        <v>0</v>
      </c>
      <c r="CI84" s="35" t="str">
        <f>IF(tblTrazabilidad[[#This Row],[Código]]=0,"",IFERROR(IF(SEARCH("JM",tblTrazabilidad[[#This Row],[Código]])&gt;0,"Juego de pesas",),"Pesa"))</f>
        <v/>
      </c>
      <c r="CJ84" s="35" t="str">
        <f>IFERROR(VLOOKUP($CH84,tblBD_PatronMasa[[Código Patrón]:[mN-(mpe–U95)]],2,FALSE),"")</f>
        <v/>
      </c>
      <c r="CK84" s="35" t="str">
        <f>IFERROR(VLOOKUP($CH84,tblBD_PatronMasa[[Código Patrón]:[mN-(mpe–U95)]],13,FALSE),"")</f>
        <v/>
      </c>
      <c r="CL84" s="34" t="str">
        <f>IF(tblTrazabilidad[[#This Row],[Clase]]="F2",IFERROR(IF(VLOOKUP($CH84,tblBD_PatronMasa[[Código Patrón]:[mN-(mpe–U95)]],12,FALSE)=0,"",VLOOKUP($CH84,tblBD_PatronMasa[[Código Patrón]:[mN-(mpe–U95)]],12,FALSE)+731),""),IF(tblTrazabilidad[[#This Row],[Clase]]="F1",IFERROR(IF(VLOOKUP($CH84,tblBD_PatronMasa[[Código Patrón]:[mN-(mpe–U95)]],12,FALSE)=0,"",VLOOKUP($CH84,tblBD_PatronMasa[[Código Patrón]:[mN-(mpe–U95)]],12,FALSE)+731),""),IFERROR(IF(VLOOKUP($CH84,tblBD_PatronMasa[[Código Patrón]:[mN-(mpe–U95)]],12,FALSE)=0,"",VLOOKUP($CH84,tblBD_PatronMasa[[Código Patrón]:[mN-(mpe–U95)]],12,FALSE)+366),"")))</f>
        <v/>
      </c>
      <c r="CM84" s="33" t="str">
        <f>IFERROR(VLOOKUP($CH84,tblBD_PatronMasa[[Código Patrón]:[mN-(mpe–U95)]],3,FALSE),"")</f>
        <v/>
      </c>
      <c r="CS84" s="32"/>
      <c r="CU84"/>
      <c r="DC84" s="1"/>
      <c r="DD84" s="1"/>
      <c r="DF84"/>
      <c r="DG84"/>
    </row>
    <row r="85" spans="41:111" x14ac:dyDescent="0.3">
      <c r="AO85" s="39"/>
      <c r="AP85" s="39"/>
      <c r="CG85" s="38">
        <v>81</v>
      </c>
      <c r="CH85" s="35">
        <f t="shared" si="6"/>
        <v>0</v>
      </c>
      <c r="CI85" s="35" t="str">
        <f>IF(tblTrazabilidad[[#This Row],[Código]]=0,"",IFERROR(IF(SEARCH("JM",tblTrazabilidad[[#This Row],[Código]])&gt;0,"Juego de pesas",),"Pesa"))</f>
        <v/>
      </c>
      <c r="CJ85" s="35" t="str">
        <f>IFERROR(VLOOKUP($CH85,tblBD_PatronMasa[[Código Patrón]:[mN-(mpe–U95)]],2,FALSE),"")</f>
        <v/>
      </c>
      <c r="CK85" s="35" t="str">
        <f>IFERROR(VLOOKUP($CH85,tblBD_PatronMasa[[Código Patrón]:[mN-(mpe–U95)]],13,FALSE),"")</f>
        <v/>
      </c>
      <c r="CL85" s="34" t="str">
        <f>IF(tblTrazabilidad[[#This Row],[Clase]]="F2",IFERROR(IF(VLOOKUP($CH85,tblBD_PatronMasa[[Código Patrón]:[mN-(mpe–U95)]],12,FALSE)=0,"",VLOOKUP($CH85,tblBD_PatronMasa[[Código Patrón]:[mN-(mpe–U95)]],12,FALSE)+731),""),IF(tblTrazabilidad[[#This Row],[Clase]]="F1",IFERROR(IF(VLOOKUP($CH85,tblBD_PatronMasa[[Código Patrón]:[mN-(mpe–U95)]],12,FALSE)=0,"",VLOOKUP($CH85,tblBD_PatronMasa[[Código Patrón]:[mN-(mpe–U95)]],12,FALSE)+731),""),IFERROR(IF(VLOOKUP($CH85,tblBD_PatronMasa[[Código Patrón]:[mN-(mpe–U95)]],12,FALSE)=0,"",VLOOKUP($CH85,tblBD_PatronMasa[[Código Patrón]:[mN-(mpe–U95)]],12,FALSE)+366),"")))</f>
        <v/>
      </c>
      <c r="CM85" s="33" t="str">
        <f>IFERROR(VLOOKUP($CH85,tblBD_PatronMasa[[Código Patrón]:[mN-(mpe–U95)]],3,FALSE),"")</f>
        <v/>
      </c>
      <c r="CS85" s="32"/>
      <c r="CU85"/>
      <c r="DC85" s="1" t="s">
        <v>131</v>
      </c>
      <c r="DD85" s="1"/>
      <c r="DF85"/>
      <c r="DG85"/>
    </row>
    <row r="86" spans="41:111" x14ac:dyDescent="0.3">
      <c r="AO86" s="39"/>
      <c r="AP86" s="39"/>
      <c r="CG86" s="38">
        <v>82</v>
      </c>
      <c r="CH86" s="35">
        <f t="shared" si="6"/>
        <v>0</v>
      </c>
      <c r="CI86" s="35" t="str">
        <f>IF(tblTrazabilidad[[#This Row],[Código]]=0,"",IFERROR(IF(SEARCH("JM",tblTrazabilidad[[#This Row],[Código]])&gt;0,"Juego de pesas",),"Pesa"))</f>
        <v/>
      </c>
      <c r="CJ86" s="35" t="str">
        <f>IFERROR(VLOOKUP($CH86,tblBD_PatronMasa[[Código Patrón]:[mN-(mpe–U95)]],2,FALSE),"")</f>
        <v/>
      </c>
      <c r="CK86" s="35" t="str">
        <f>IFERROR(VLOOKUP($CH86,tblBD_PatronMasa[[Código Patrón]:[mN-(mpe–U95)]],13,FALSE),"")</f>
        <v/>
      </c>
      <c r="CL86" s="34" t="str">
        <f>IF(tblTrazabilidad[[#This Row],[Clase]]="F2",IFERROR(IF(VLOOKUP($CH86,tblBD_PatronMasa[[Código Patrón]:[mN-(mpe–U95)]],12,FALSE)=0,"",VLOOKUP($CH86,tblBD_PatronMasa[[Código Patrón]:[mN-(mpe–U95)]],12,FALSE)+731),""),IF(tblTrazabilidad[[#This Row],[Clase]]="F1",IFERROR(IF(VLOOKUP($CH86,tblBD_PatronMasa[[Código Patrón]:[mN-(mpe–U95)]],12,FALSE)=0,"",VLOOKUP($CH86,tblBD_PatronMasa[[Código Patrón]:[mN-(mpe–U95)]],12,FALSE)+731),""),IFERROR(IF(VLOOKUP($CH86,tblBD_PatronMasa[[Código Patrón]:[mN-(mpe–U95)]],12,FALSE)=0,"",VLOOKUP($CH86,tblBD_PatronMasa[[Código Patrón]:[mN-(mpe–U95)]],12,FALSE)+366),"")))</f>
        <v/>
      </c>
      <c r="CM86" s="33" t="str">
        <f>IFERROR(VLOOKUP($CH86,tblBD_PatronMasa[[Código Patrón]:[mN-(mpe–U95)]],3,FALSE),"")</f>
        <v/>
      </c>
      <c r="CS86" s="32"/>
      <c r="CU86"/>
      <c r="DC86" s="1" t="s">
        <v>130</v>
      </c>
      <c r="DD86" s="1"/>
      <c r="DF86"/>
      <c r="DG86"/>
    </row>
    <row r="87" spans="41:111" x14ac:dyDescent="0.3">
      <c r="AO87" s="39"/>
      <c r="AP87" s="39"/>
      <c r="CG87" s="38">
        <v>83</v>
      </c>
      <c r="CH87" s="35">
        <f t="shared" ref="CH87:CH103" si="7">T37</f>
        <v>0</v>
      </c>
      <c r="CI87" s="35" t="str">
        <f>IF(tblTrazabilidad[[#This Row],[Código]]=0,"",IFERROR(IF(SEARCH("JM",tblTrazabilidad[[#This Row],[Código]])&gt;0,"Juego de pesas",),"Pesa"))</f>
        <v/>
      </c>
      <c r="CJ87" s="35" t="str">
        <f>IFERROR(VLOOKUP($CH87,tblBD_PatronMasa[[Código Patrón]:[mN-(mpe–U95)]],2,FALSE),"")</f>
        <v/>
      </c>
      <c r="CK87" s="35" t="str">
        <f>IFERROR(VLOOKUP($CH87,tblBD_PatronMasa[[Código Patrón]:[mN-(mpe–U95)]],13,FALSE),"")</f>
        <v/>
      </c>
      <c r="CL87" s="34" t="str">
        <f>IF(tblTrazabilidad[[#This Row],[Clase]]="F2",IFERROR(IF(VLOOKUP($CH87,tblBD_PatronMasa[[Código Patrón]:[mN-(mpe–U95)]],12,FALSE)=0,"",VLOOKUP($CH87,tblBD_PatronMasa[[Código Patrón]:[mN-(mpe–U95)]],12,FALSE)+731),""),IF(tblTrazabilidad[[#This Row],[Clase]]="F1",IFERROR(IF(VLOOKUP($CH87,tblBD_PatronMasa[[Código Patrón]:[mN-(mpe–U95)]],12,FALSE)=0,"",VLOOKUP($CH87,tblBD_PatronMasa[[Código Patrón]:[mN-(mpe–U95)]],12,FALSE)+731),""),IFERROR(IF(VLOOKUP($CH87,tblBD_PatronMasa[[Código Patrón]:[mN-(mpe–U95)]],12,FALSE)=0,"",VLOOKUP($CH87,tblBD_PatronMasa[[Código Patrón]:[mN-(mpe–U95)]],12,FALSE)+366),"")))</f>
        <v/>
      </c>
      <c r="CM87" s="33" t="str">
        <f>IFERROR(VLOOKUP($CH87,tblBD_PatronMasa[[Código Patrón]:[mN-(mpe–U95)]],3,FALSE),"")</f>
        <v/>
      </c>
      <c r="CS87" s="32"/>
      <c r="CU87"/>
      <c r="DC87" s="1" t="s">
        <v>129</v>
      </c>
      <c r="DD87" s="1"/>
      <c r="DF87"/>
      <c r="DG87"/>
    </row>
    <row r="88" spans="41:111" x14ac:dyDescent="0.3">
      <c r="AO88" s="39"/>
      <c r="AP88" s="39"/>
      <c r="CG88" s="38">
        <v>84</v>
      </c>
      <c r="CH88" s="35">
        <f t="shared" si="7"/>
        <v>0</v>
      </c>
      <c r="CI88" s="35" t="str">
        <f>IF(tblTrazabilidad[[#This Row],[Código]]=0,"",IFERROR(IF(SEARCH("JM",tblTrazabilidad[[#This Row],[Código]])&gt;0,"Juego de pesas",),"Pesa"))</f>
        <v/>
      </c>
      <c r="CJ88" s="35" t="str">
        <f>IFERROR(VLOOKUP($CH88,tblBD_PatronMasa[[Código Patrón]:[mN-(mpe–U95)]],2,FALSE),"")</f>
        <v/>
      </c>
      <c r="CK88" s="35" t="str">
        <f>IFERROR(VLOOKUP($CH88,tblBD_PatronMasa[[Código Patrón]:[mN-(mpe–U95)]],13,FALSE),"")</f>
        <v/>
      </c>
      <c r="CL88" s="34" t="str">
        <f>IF(tblTrazabilidad[[#This Row],[Clase]]="F2",IFERROR(IF(VLOOKUP($CH88,tblBD_PatronMasa[[Código Patrón]:[mN-(mpe–U95)]],12,FALSE)=0,"",VLOOKUP($CH88,tblBD_PatronMasa[[Código Patrón]:[mN-(mpe–U95)]],12,FALSE)+731),""),IF(tblTrazabilidad[[#This Row],[Clase]]="F1",IFERROR(IF(VLOOKUP($CH88,tblBD_PatronMasa[[Código Patrón]:[mN-(mpe–U95)]],12,FALSE)=0,"",VLOOKUP($CH88,tblBD_PatronMasa[[Código Patrón]:[mN-(mpe–U95)]],12,FALSE)+731),""),IFERROR(IF(VLOOKUP($CH88,tblBD_PatronMasa[[Código Patrón]:[mN-(mpe–U95)]],12,FALSE)=0,"",VLOOKUP($CH88,tblBD_PatronMasa[[Código Patrón]:[mN-(mpe–U95)]],12,FALSE)+366),"")))</f>
        <v/>
      </c>
      <c r="CM88" s="33" t="str">
        <f>IFERROR(VLOOKUP($CH88,tblBD_PatronMasa[[Código Patrón]:[mN-(mpe–U95)]],3,FALSE),"")</f>
        <v/>
      </c>
      <c r="CS88" s="32"/>
      <c r="CU88"/>
      <c r="DC88" s="1"/>
      <c r="DD88" s="1"/>
      <c r="DF88"/>
      <c r="DG88"/>
    </row>
    <row r="89" spans="41:111" x14ac:dyDescent="0.3">
      <c r="AO89" s="39"/>
      <c r="AP89" s="39"/>
      <c r="CG89" s="38">
        <v>85</v>
      </c>
      <c r="CH89" s="35">
        <f t="shared" si="7"/>
        <v>0</v>
      </c>
      <c r="CI89" s="35" t="str">
        <f>IF(tblTrazabilidad[[#This Row],[Código]]=0,"",IFERROR(IF(SEARCH("JM",tblTrazabilidad[[#This Row],[Código]])&gt;0,"Juego de pesas",),"Pesa"))</f>
        <v/>
      </c>
      <c r="CJ89" s="35" t="str">
        <f>IFERROR(VLOOKUP($CH89,tblBD_PatronMasa[[Código Patrón]:[mN-(mpe–U95)]],2,FALSE),"")</f>
        <v/>
      </c>
      <c r="CK89" s="35" t="str">
        <f>IFERROR(VLOOKUP($CH89,tblBD_PatronMasa[[Código Patrón]:[mN-(mpe–U95)]],13,FALSE),"")</f>
        <v/>
      </c>
      <c r="CL89" s="34" t="str">
        <f>IF(tblTrazabilidad[[#This Row],[Clase]]="F2",IFERROR(IF(VLOOKUP($CH89,tblBD_PatronMasa[[Código Patrón]:[mN-(mpe–U95)]],12,FALSE)=0,"",VLOOKUP($CH89,tblBD_PatronMasa[[Código Patrón]:[mN-(mpe–U95)]],12,FALSE)+731),""),IF(tblTrazabilidad[[#This Row],[Clase]]="F1",IFERROR(IF(VLOOKUP($CH89,tblBD_PatronMasa[[Código Patrón]:[mN-(mpe–U95)]],12,FALSE)=0,"",VLOOKUP($CH89,tblBD_PatronMasa[[Código Patrón]:[mN-(mpe–U95)]],12,FALSE)+731),""),IFERROR(IF(VLOOKUP($CH89,tblBD_PatronMasa[[Código Patrón]:[mN-(mpe–U95)]],12,FALSE)=0,"",VLOOKUP($CH89,tblBD_PatronMasa[[Código Patrón]:[mN-(mpe–U95)]],12,FALSE)+366),"")))</f>
        <v/>
      </c>
      <c r="CM89" s="33" t="str">
        <f>IFERROR(VLOOKUP($CH89,tblBD_PatronMasa[[Código Patrón]:[mN-(mpe–U95)]],3,FALSE),"")</f>
        <v/>
      </c>
      <c r="CS89" s="32"/>
      <c r="CU89"/>
      <c r="DC89" s="1" t="s">
        <v>6</v>
      </c>
      <c r="DD89" s="1"/>
      <c r="DF89"/>
      <c r="DG89"/>
    </row>
    <row r="90" spans="41:111" x14ac:dyDescent="0.3">
      <c r="AO90" s="39"/>
      <c r="AP90" s="39"/>
      <c r="CG90" s="38">
        <v>86</v>
      </c>
      <c r="CH90" s="35">
        <f t="shared" si="7"/>
        <v>0</v>
      </c>
      <c r="CI90" s="35" t="str">
        <f>IF(tblTrazabilidad[[#This Row],[Código]]=0,"",IFERROR(IF(SEARCH("JM",tblTrazabilidad[[#This Row],[Código]])&gt;0,"Juego de pesas",),"Pesa"))</f>
        <v/>
      </c>
      <c r="CJ90" s="35" t="str">
        <f>IFERROR(VLOOKUP($CH90,tblBD_PatronMasa[[Código Patrón]:[mN-(mpe–U95)]],2,FALSE),"")</f>
        <v/>
      </c>
      <c r="CK90" s="35" t="str">
        <f>IFERROR(VLOOKUP($CH90,tblBD_PatronMasa[[Código Patrón]:[mN-(mpe–U95)]],13,FALSE),"")</f>
        <v/>
      </c>
      <c r="CL90" s="34" t="str">
        <f>IF(tblTrazabilidad[[#This Row],[Clase]]="F2",IFERROR(IF(VLOOKUP($CH90,tblBD_PatronMasa[[Código Patrón]:[mN-(mpe–U95)]],12,FALSE)=0,"",VLOOKUP($CH90,tblBD_PatronMasa[[Código Patrón]:[mN-(mpe–U95)]],12,FALSE)+731),""),IF(tblTrazabilidad[[#This Row],[Clase]]="F1",IFERROR(IF(VLOOKUP($CH90,tblBD_PatronMasa[[Código Patrón]:[mN-(mpe–U95)]],12,FALSE)=0,"",VLOOKUP($CH90,tblBD_PatronMasa[[Código Patrón]:[mN-(mpe–U95)]],12,FALSE)+731),""),IFERROR(IF(VLOOKUP($CH90,tblBD_PatronMasa[[Código Patrón]:[mN-(mpe–U95)]],12,FALSE)=0,"",VLOOKUP($CH90,tblBD_PatronMasa[[Código Patrón]:[mN-(mpe–U95)]],12,FALSE)+366),"")))</f>
        <v/>
      </c>
      <c r="CM90" s="33" t="str">
        <f>IFERROR(VLOOKUP($CH90,tblBD_PatronMasa[[Código Patrón]:[mN-(mpe–U95)]],3,FALSE),"")</f>
        <v/>
      </c>
      <c r="CS90" s="32"/>
      <c r="CU90"/>
      <c r="DC90" s="1" t="s">
        <v>5</v>
      </c>
      <c r="DD90" s="1"/>
      <c r="DF90"/>
      <c r="DG90"/>
    </row>
    <row r="91" spans="41:111" x14ac:dyDescent="0.3">
      <c r="AO91" s="39"/>
      <c r="AP91" s="39"/>
      <c r="CG91" s="38">
        <v>87</v>
      </c>
      <c r="CH91" s="35">
        <f t="shared" si="7"/>
        <v>0</v>
      </c>
      <c r="CI91" s="35" t="str">
        <f>IF(tblTrazabilidad[[#This Row],[Código]]=0,"",IFERROR(IF(SEARCH("JM",tblTrazabilidad[[#This Row],[Código]])&gt;0,"Juego de pesas",),"Pesa"))</f>
        <v/>
      </c>
      <c r="CJ91" s="35" t="str">
        <f>IFERROR(VLOOKUP($CH91,tblBD_PatronMasa[[Código Patrón]:[mN-(mpe–U95)]],2,FALSE),"")</f>
        <v/>
      </c>
      <c r="CK91" s="35" t="str">
        <f>IFERROR(VLOOKUP($CH91,tblBD_PatronMasa[[Código Patrón]:[mN-(mpe–U95)]],13,FALSE),"")</f>
        <v/>
      </c>
      <c r="CL91" s="34" t="str">
        <f>IF(tblTrazabilidad[[#This Row],[Clase]]="F2",IFERROR(IF(VLOOKUP($CH91,tblBD_PatronMasa[[Código Patrón]:[mN-(mpe–U95)]],12,FALSE)=0,"",VLOOKUP($CH91,tblBD_PatronMasa[[Código Patrón]:[mN-(mpe–U95)]],12,FALSE)+731),""),IF(tblTrazabilidad[[#This Row],[Clase]]="F1",IFERROR(IF(VLOOKUP($CH91,tblBD_PatronMasa[[Código Patrón]:[mN-(mpe–U95)]],12,FALSE)=0,"",VLOOKUP($CH91,tblBD_PatronMasa[[Código Patrón]:[mN-(mpe–U95)]],12,FALSE)+731),""),IFERROR(IF(VLOOKUP($CH91,tblBD_PatronMasa[[Código Patrón]:[mN-(mpe–U95)]],12,FALSE)=0,"",VLOOKUP($CH91,tblBD_PatronMasa[[Código Patrón]:[mN-(mpe–U95)]],12,FALSE)+366),"")))</f>
        <v/>
      </c>
      <c r="CM91" s="33" t="str">
        <f>IFERROR(VLOOKUP($CH91,tblBD_PatronMasa[[Código Patrón]:[mN-(mpe–U95)]],3,FALSE),"")</f>
        <v/>
      </c>
      <c r="CS91" s="32"/>
      <c r="CU91"/>
      <c r="DC91" s="1"/>
      <c r="DD91" s="1"/>
      <c r="DF91"/>
      <c r="DG91"/>
    </row>
    <row r="92" spans="41:111" ht="57.6" x14ac:dyDescent="0.3">
      <c r="AO92" s="39"/>
      <c r="AP92" s="39"/>
      <c r="CG92" s="38">
        <v>88</v>
      </c>
      <c r="CH92" s="35">
        <f t="shared" si="7"/>
        <v>0</v>
      </c>
      <c r="CI92" s="35" t="str">
        <f>IF(tblTrazabilidad[[#This Row],[Código]]=0,"",IFERROR(IF(SEARCH("JM",tblTrazabilidad[[#This Row],[Código]])&gt;0,"Juego de pesas",),"Pesa"))</f>
        <v/>
      </c>
      <c r="CJ92" s="35" t="str">
        <f>IFERROR(VLOOKUP($CH92,tblBD_PatronMasa[[Código Patrón]:[mN-(mpe–U95)]],2,FALSE),"")</f>
        <v/>
      </c>
      <c r="CK92" s="35" t="str">
        <f>IFERROR(VLOOKUP($CH92,tblBD_PatronMasa[[Código Patrón]:[mN-(mpe–U95)]],13,FALSE),"")</f>
        <v/>
      </c>
      <c r="CL92" s="34" t="str">
        <f>IF(tblTrazabilidad[[#This Row],[Clase]]="F2",IFERROR(IF(VLOOKUP($CH92,tblBD_PatronMasa[[Código Patrón]:[mN-(mpe–U95)]],12,FALSE)=0,"",VLOOKUP($CH92,tblBD_PatronMasa[[Código Patrón]:[mN-(mpe–U95)]],12,FALSE)+731),""),IF(tblTrazabilidad[[#This Row],[Clase]]="F1",IFERROR(IF(VLOOKUP($CH92,tblBD_PatronMasa[[Código Patrón]:[mN-(mpe–U95)]],12,FALSE)=0,"",VLOOKUP($CH92,tblBD_PatronMasa[[Código Patrón]:[mN-(mpe–U95)]],12,FALSE)+731),""),IFERROR(IF(VLOOKUP($CH92,tblBD_PatronMasa[[Código Patrón]:[mN-(mpe–U95)]],12,FALSE)=0,"",VLOOKUP($CH92,tblBD_PatronMasa[[Código Patrón]:[mN-(mpe–U95)]],12,FALSE)+366),"")))</f>
        <v/>
      </c>
      <c r="CM92" s="33" t="str">
        <f>IFERROR(VLOOKUP($CH92,tblBD_PatronMasa[[Código Patrón]:[mN-(mpe–U95)]],3,FALSE),"")</f>
        <v/>
      </c>
      <c r="CS92" s="32"/>
      <c r="CU92"/>
      <c r="DC92" s="44" t="s">
        <v>128</v>
      </c>
      <c r="DD92" s="1"/>
      <c r="DF92"/>
      <c r="DG92"/>
    </row>
    <row r="93" spans="41:111" x14ac:dyDescent="0.3">
      <c r="AO93" s="39"/>
      <c r="AP93" s="39"/>
      <c r="CG93" s="38">
        <v>89</v>
      </c>
      <c r="CH93" s="35">
        <f t="shared" si="7"/>
        <v>0</v>
      </c>
      <c r="CI93" s="35" t="str">
        <f>IF(tblTrazabilidad[[#This Row],[Código]]=0,"",IFERROR(IF(SEARCH("JM",tblTrazabilidad[[#This Row],[Código]])&gt;0,"Juego de pesas",),"Pesa"))</f>
        <v/>
      </c>
      <c r="CJ93" s="35" t="str">
        <f>IFERROR(VLOOKUP($CH93,tblBD_PatronMasa[[Código Patrón]:[mN-(mpe–U95)]],2,FALSE),"")</f>
        <v/>
      </c>
      <c r="CK93" s="35" t="str">
        <f>IFERROR(VLOOKUP($CH93,tblBD_PatronMasa[[Código Patrón]:[mN-(mpe–U95)]],13,FALSE),"")</f>
        <v/>
      </c>
      <c r="CL93" s="34" t="str">
        <f>IF(tblTrazabilidad[[#This Row],[Clase]]="F2",IFERROR(IF(VLOOKUP($CH93,tblBD_PatronMasa[[Código Patrón]:[mN-(mpe–U95)]],12,FALSE)=0,"",VLOOKUP($CH93,tblBD_PatronMasa[[Código Patrón]:[mN-(mpe–U95)]],12,FALSE)+731),""),IF(tblTrazabilidad[[#This Row],[Clase]]="F1",IFERROR(IF(VLOOKUP($CH93,tblBD_PatronMasa[[Código Patrón]:[mN-(mpe–U95)]],12,FALSE)=0,"",VLOOKUP($CH93,tblBD_PatronMasa[[Código Patrón]:[mN-(mpe–U95)]],12,FALSE)+731),""),IFERROR(IF(VLOOKUP($CH93,tblBD_PatronMasa[[Código Patrón]:[mN-(mpe–U95)]],12,FALSE)=0,"",VLOOKUP($CH93,tblBD_PatronMasa[[Código Patrón]:[mN-(mpe–U95)]],12,FALSE)+366),"")))</f>
        <v/>
      </c>
      <c r="CM93" s="33" t="str">
        <f>IFERROR(VLOOKUP($CH93,tblBD_PatronMasa[[Código Patrón]:[mN-(mpe–U95)]],3,FALSE),"")</f>
        <v/>
      </c>
      <c r="CS93" s="32"/>
      <c r="CU93"/>
      <c r="DC93" s="1" t="s">
        <v>127</v>
      </c>
      <c r="DD93" s="1"/>
      <c r="DF93"/>
      <c r="DG93"/>
    </row>
    <row r="94" spans="41:111" x14ac:dyDescent="0.3">
      <c r="AO94" s="39"/>
      <c r="AP94" s="39"/>
      <c r="CG94" s="38">
        <v>90</v>
      </c>
      <c r="CH94" s="35">
        <f t="shared" si="7"/>
        <v>0</v>
      </c>
      <c r="CI94" s="35" t="str">
        <f>IF(tblTrazabilidad[[#This Row],[Código]]=0,"",IFERROR(IF(SEARCH("JM",tblTrazabilidad[[#This Row],[Código]])&gt;0,"Juego de pesas",),"Pesa"))</f>
        <v/>
      </c>
      <c r="CJ94" s="35" t="str">
        <f>IFERROR(VLOOKUP($CH94,tblBD_PatronMasa[[Código Patrón]:[mN-(mpe–U95)]],2,FALSE),"")</f>
        <v/>
      </c>
      <c r="CK94" s="35" t="str">
        <f>IFERROR(VLOOKUP($CH94,tblBD_PatronMasa[[Código Patrón]:[mN-(mpe–U95)]],13,FALSE),"")</f>
        <v/>
      </c>
      <c r="CL94" s="34" t="str">
        <f>IF(tblTrazabilidad[[#This Row],[Clase]]="F2",IFERROR(IF(VLOOKUP($CH94,tblBD_PatronMasa[[Código Patrón]:[mN-(mpe–U95)]],12,FALSE)=0,"",VLOOKUP($CH94,tblBD_PatronMasa[[Código Patrón]:[mN-(mpe–U95)]],12,FALSE)+731),""),IF(tblTrazabilidad[[#This Row],[Clase]]="F1",IFERROR(IF(VLOOKUP($CH94,tblBD_PatronMasa[[Código Patrón]:[mN-(mpe–U95)]],12,FALSE)=0,"",VLOOKUP($CH94,tblBD_PatronMasa[[Código Patrón]:[mN-(mpe–U95)]],12,FALSE)+731),""),IFERROR(IF(VLOOKUP($CH94,tblBD_PatronMasa[[Código Patrón]:[mN-(mpe–U95)]],12,FALSE)=0,"",VLOOKUP($CH94,tblBD_PatronMasa[[Código Patrón]:[mN-(mpe–U95)]],12,FALSE)+366),"")))</f>
        <v/>
      </c>
      <c r="CM94" s="33" t="str">
        <f>IFERROR(VLOOKUP($CH94,tblBD_PatronMasa[[Código Patrón]:[mN-(mpe–U95)]],3,FALSE),"")</f>
        <v/>
      </c>
      <c r="CS94" s="32"/>
      <c r="CU94"/>
      <c r="DC94" s="1" t="s">
        <v>121</v>
      </c>
      <c r="DD94" s="1" t="s">
        <v>126</v>
      </c>
      <c r="DF94"/>
      <c r="DG94"/>
    </row>
    <row r="95" spans="41:111" x14ac:dyDescent="0.3">
      <c r="AO95" s="39"/>
      <c r="AP95" s="39"/>
      <c r="CG95" s="38">
        <v>91</v>
      </c>
      <c r="CH95" s="35">
        <f t="shared" si="7"/>
        <v>0</v>
      </c>
      <c r="CI95" s="35" t="str">
        <f>IF(tblTrazabilidad[[#This Row],[Código]]=0,"",IFERROR(IF(SEARCH("JM",tblTrazabilidad[[#This Row],[Código]])&gt;0,"Juego de pesas",),"Pesa"))</f>
        <v/>
      </c>
      <c r="CJ95" s="35" t="str">
        <f>IFERROR(VLOOKUP($CH95,tblBD_PatronMasa[[Código Patrón]:[mN-(mpe–U95)]],2,FALSE),"")</f>
        <v/>
      </c>
      <c r="CK95" s="35" t="str">
        <f>IFERROR(VLOOKUP($CH95,tblBD_PatronMasa[[Código Patrón]:[mN-(mpe–U95)]],13,FALSE),"")</f>
        <v/>
      </c>
      <c r="CL95" s="34" t="str">
        <f>IF(tblTrazabilidad[[#This Row],[Clase]]="F2",IFERROR(IF(VLOOKUP($CH95,tblBD_PatronMasa[[Código Patrón]:[mN-(mpe–U95)]],12,FALSE)=0,"",VLOOKUP($CH95,tblBD_PatronMasa[[Código Patrón]:[mN-(mpe–U95)]],12,FALSE)+731),""),IF(tblTrazabilidad[[#This Row],[Clase]]="F1",IFERROR(IF(VLOOKUP($CH95,tblBD_PatronMasa[[Código Patrón]:[mN-(mpe–U95)]],12,FALSE)=0,"",VLOOKUP($CH95,tblBD_PatronMasa[[Código Patrón]:[mN-(mpe–U95)]],12,FALSE)+731),""),IFERROR(IF(VLOOKUP($CH95,tblBD_PatronMasa[[Código Patrón]:[mN-(mpe–U95)]],12,FALSE)=0,"",VLOOKUP($CH95,tblBD_PatronMasa[[Código Patrón]:[mN-(mpe–U95)]],12,FALSE)+366),"")))</f>
        <v/>
      </c>
      <c r="CM95" s="33" t="str">
        <f>IFERROR(VLOOKUP($CH95,tblBD_PatronMasa[[Código Patrón]:[mN-(mpe–U95)]],3,FALSE),"")</f>
        <v/>
      </c>
      <c r="CS95" s="32"/>
      <c r="CU95"/>
      <c r="DC95" s="1" t="s">
        <v>119</v>
      </c>
      <c r="DD95" s="1" t="s">
        <v>125</v>
      </c>
      <c r="DF95"/>
      <c r="DG95"/>
    </row>
    <row r="96" spans="41:111" x14ac:dyDescent="0.3">
      <c r="AO96" s="39"/>
      <c r="AP96" s="39"/>
      <c r="CG96" s="38">
        <v>92</v>
      </c>
      <c r="CH96" s="35">
        <f t="shared" si="7"/>
        <v>0</v>
      </c>
      <c r="CI96" s="35" t="str">
        <f>IF(tblTrazabilidad[[#This Row],[Código]]=0,"",IFERROR(IF(SEARCH("JM",tblTrazabilidad[[#This Row],[Código]])&gt;0,"Juego de pesas",),"Pesa"))</f>
        <v/>
      </c>
      <c r="CJ96" s="35" t="str">
        <f>IFERROR(VLOOKUP($CH96,tblBD_PatronMasa[[Código Patrón]:[mN-(mpe–U95)]],2,FALSE),"")</f>
        <v/>
      </c>
      <c r="CK96" s="35" t="str">
        <f>IFERROR(VLOOKUP($CH96,tblBD_PatronMasa[[Código Patrón]:[mN-(mpe–U95)]],13,FALSE),"")</f>
        <v/>
      </c>
      <c r="CL96" s="34" t="str">
        <f>IF(tblTrazabilidad[[#This Row],[Clase]]="F2",IFERROR(IF(VLOOKUP($CH96,tblBD_PatronMasa[[Código Patrón]:[mN-(mpe–U95)]],12,FALSE)=0,"",VLOOKUP($CH96,tblBD_PatronMasa[[Código Patrón]:[mN-(mpe–U95)]],12,FALSE)+731),""),IF(tblTrazabilidad[[#This Row],[Clase]]="F1",IFERROR(IF(VLOOKUP($CH96,tblBD_PatronMasa[[Código Patrón]:[mN-(mpe–U95)]],12,FALSE)=0,"",VLOOKUP($CH96,tblBD_PatronMasa[[Código Patrón]:[mN-(mpe–U95)]],12,FALSE)+731),""),IFERROR(IF(VLOOKUP($CH96,tblBD_PatronMasa[[Código Patrón]:[mN-(mpe–U95)]],12,FALSE)=0,"",VLOOKUP($CH96,tblBD_PatronMasa[[Código Patrón]:[mN-(mpe–U95)]],12,FALSE)+366),"")))</f>
        <v/>
      </c>
      <c r="CM96" s="33" t="str">
        <f>IFERROR(VLOOKUP($CH96,tblBD_PatronMasa[[Código Patrón]:[mN-(mpe–U95)]],3,FALSE),"")</f>
        <v/>
      </c>
      <c r="CS96" s="32"/>
      <c r="CU96"/>
      <c r="DC96" s="1" t="s">
        <v>117</v>
      </c>
      <c r="DD96" s="1" t="s">
        <v>124</v>
      </c>
      <c r="DF96"/>
      <c r="DG96"/>
    </row>
    <row r="97" spans="41:111" x14ac:dyDescent="0.3">
      <c r="AO97" s="39"/>
      <c r="AP97" s="39"/>
      <c r="CG97" s="38">
        <v>93</v>
      </c>
      <c r="CH97" s="35">
        <f t="shared" si="7"/>
        <v>0</v>
      </c>
      <c r="CI97" s="35" t="str">
        <f>IF(tblTrazabilidad[[#This Row],[Código]]=0,"",IFERROR(IF(SEARCH("JM",tblTrazabilidad[[#This Row],[Código]])&gt;0,"Juego de pesas",),"Pesa"))</f>
        <v/>
      </c>
      <c r="CJ97" s="35" t="str">
        <f>IFERROR(VLOOKUP($CH97,tblBD_PatronMasa[[Código Patrón]:[mN-(mpe–U95)]],2,FALSE),"")</f>
        <v/>
      </c>
      <c r="CK97" s="35" t="str">
        <f>IFERROR(VLOOKUP($CH97,tblBD_PatronMasa[[Código Patrón]:[mN-(mpe–U95)]],13,FALSE),"")</f>
        <v/>
      </c>
      <c r="CL97" s="34" t="str">
        <f>IF(tblTrazabilidad[[#This Row],[Clase]]="F2",IFERROR(IF(VLOOKUP($CH97,tblBD_PatronMasa[[Código Patrón]:[mN-(mpe–U95)]],12,FALSE)=0,"",VLOOKUP($CH97,tblBD_PatronMasa[[Código Patrón]:[mN-(mpe–U95)]],12,FALSE)+731),""),IF(tblTrazabilidad[[#This Row],[Clase]]="F1",IFERROR(IF(VLOOKUP($CH97,tblBD_PatronMasa[[Código Patrón]:[mN-(mpe–U95)]],12,FALSE)=0,"",VLOOKUP($CH97,tblBD_PatronMasa[[Código Patrón]:[mN-(mpe–U95)]],12,FALSE)+731),""),IFERROR(IF(VLOOKUP($CH97,tblBD_PatronMasa[[Código Patrón]:[mN-(mpe–U95)]],12,FALSE)=0,"",VLOOKUP($CH97,tblBD_PatronMasa[[Código Patrón]:[mN-(mpe–U95)]],12,FALSE)+366),"")))</f>
        <v/>
      </c>
      <c r="CM97" s="33" t="str">
        <f>IFERROR(VLOOKUP($CH97,tblBD_PatronMasa[[Código Patrón]:[mN-(mpe–U95)]],3,FALSE),"")</f>
        <v/>
      </c>
      <c r="CS97" s="32"/>
      <c r="CU97"/>
      <c r="DC97" s="1" t="s">
        <v>115</v>
      </c>
      <c r="DD97" s="1" t="s">
        <v>123</v>
      </c>
      <c r="DF97"/>
      <c r="DG97"/>
    </row>
    <row r="98" spans="41:111" x14ac:dyDescent="0.3">
      <c r="AO98" s="39"/>
      <c r="AP98" s="39"/>
      <c r="CG98" s="38">
        <v>94</v>
      </c>
      <c r="CH98" s="35">
        <f t="shared" si="7"/>
        <v>0</v>
      </c>
      <c r="CI98" s="35" t="str">
        <f>IF(tblTrazabilidad[[#This Row],[Código]]=0,"",IFERROR(IF(SEARCH("JM",tblTrazabilidad[[#This Row],[Código]])&gt;0,"Juego de pesas",),"Pesa"))</f>
        <v/>
      </c>
      <c r="CJ98" s="35" t="str">
        <f>IFERROR(VLOOKUP($CH98,tblBD_PatronMasa[[Código Patrón]:[mN-(mpe–U95)]],2,FALSE),"")</f>
        <v/>
      </c>
      <c r="CK98" s="35" t="str">
        <f>IFERROR(VLOOKUP($CH98,tblBD_PatronMasa[[Código Patrón]:[mN-(mpe–U95)]],13,FALSE),"")</f>
        <v/>
      </c>
      <c r="CL98" s="34" t="str">
        <f>IF(tblTrazabilidad[[#This Row],[Clase]]="F2",IFERROR(IF(VLOOKUP($CH98,tblBD_PatronMasa[[Código Patrón]:[mN-(mpe–U95)]],12,FALSE)=0,"",VLOOKUP($CH98,tblBD_PatronMasa[[Código Patrón]:[mN-(mpe–U95)]],12,FALSE)+731),""),IF(tblTrazabilidad[[#This Row],[Clase]]="F1",IFERROR(IF(VLOOKUP($CH98,tblBD_PatronMasa[[Código Patrón]:[mN-(mpe–U95)]],12,FALSE)=0,"",VLOOKUP($CH98,tblBD_PatronMasa[[Código Patrón]:[mN-(mpe–U95)]],12,FALSE)+731),""),IFERROR(IF(VLOOKUP($CH98,tblBD_PatronMasa[[Código Patrón]:[mN-(mpe–U95)]],12,FALSE)=0,"",VLOOKUP($CH98,tblBD_PatronMasa[[Código Patrón]:[mN-(mpe–U95)]],12,FALSE)+366),"")))</f>
        <v/>
      </c>
      <c r="CM98" s="33" t="str">
        <f>IFERROR(VLOOKUP($CH98,tblBD_PatronMasa[[Código Patrón]:[mN-(mpe–U95)]],3,FALSE),"")</f>
        <v/>
      </c>
      <c r="CS98" s="32"/>
      <c r="CU98"/>
      <c r="DC98" s="1" t="s">
        <v>122</v>
      </c>
      <c r="DD98" s="1"/>
      <c r="DF98"/>
      <c r="DG98"/>
    </row>
    <row r="99" spans="41:111" x14ac:dyDescent="0.3">
      <c r="AO99" s="39"/>
      <c r="AP99" s="39"/>
      <c r="CG99" s="38">
        <v>95</v>
      </c>
      <c r="CH99" s="35">
        <f t="shared" si="7"/>
        <v>0</v>
      </c>
      <c r="CI99" s="35" t="str">
        <f>IF(tblTrazabilidad[[#This Row],[Código]]=0,"",IFERROR(IF(SEARCH("JM",tblTrazabilidad[[#This Row],[Código]])&gt;0,"Juego de pesas",),"Pesa"))</f>
        <v/>
      </c>
      <c r="CJ99" s="35" t="str">
        <f>IFERROR(VLOOKUP($CH99,tblBD_PatronMasa[[Código Patrón]:[mN-(mpe–U95)]],2,FALSE),"")</f>
        <v/>
      </c>
      <c r="CK99" s="35" t="str">
        <f>IFERROR(VLOOKUP($CH99,tblBD_PatronMasa[[Código Patrón]:[mN-(mpe–U95)]],13,FALSE),"")</f>
        <v/>
      </c>
      <c r="CL99" s="34" t="str">
        <f>IF(tblTrazabilidad[[#This Row],[Clase]]="F2",IFERROR(IF(VLOOKUP($CH99,tblBD_PatronMasa[[Código Patrón]:[mN-(mpe–U95)]],12,FALSE)=0,"",VLOOKUP($CH99,tblBD_PatronMasa[[Código Patrón]:[mN-(mpe–U95)]],12,FALSE)+731),""),IF(tblTrazabilidad[[#This Row],[Clase]]="F1",IFERROR(IF(VLOOKUP($CH99,tblBD_PatronMasa[[Código Patrón]:[mN-(mpe–U95)]],12,FALSE)=0,"",VLOOKUP($CH99,tblBD_PatronMasa[[Código Patrón]:[mN-(mpe–U95)]],12,FALSE)+731),""),IFERROR(IF(VLOOKUP($CH99,tblBD_PatronMasa[[Código Patrón]:[mN-(mpe–U95)]],12,FALSE)=0,"",VLOOKUP($CH99,tblBD_PatronMasa[[Código Patrón]:[mN-(mpe–U95)]],12,FALSE)+366),"")))</f>
        <v/>
      </c>
      <c r="CM99" s="33" t="str">
        <f>IFERROR(VLOOKUP($CH99,tblBD_PatronMasa[[Código Patrón]:[mN-(mpe–U95)]],3,FALSE),"")</f>
        <v/>
      </c>
      <c r="CS99" s="32"/>
      <c r="CU99"/>
      <c r="DC99" s="1" t="s">
        <v>121</v>
      </c>
      <c r="DD99" s="1" t="s">
        <v>120</v>
      </c>
      <c r="DF99"/>
      <c r="DG99"/>
    </row>
    <row r="100" spans="41:111" x14ac:dyDescent="0.3">
      <c r="AO100" s="39"/>
      <c r="AP100" s="39"/>
      <c r="CG100" s="38">
        <v>96</v>
      </c>
      <c r="CH100" s="35">
        <f t="shared" si="7"/>
        <v>0</v>
      </c>
      <c r="CI100" s="35" t="str">
        <f>IF(tblTrazabilidad[[#This Row],[Código]]=0,"",IFERROR(IF(SEARCH("JM",tblTrazabilidad[[#This Row],[Código]])&gt;0,"Juego de pesas",),"Pesa"))</f>
        <v/>
      </c>
      <c r="CJ100" s="35" t="str">
        <f>IFERROR(VLOOKUP($CH100,tblBD_PatronMasa[[Código Patrón]:[mN-(mpe–U95)]],2,FALSE),"")</f>
        <v/>
      </c>
      <c r="CK100" s="35" t="str">
        <f>IFERROR(VLOOKUP($CH100,tblBD_PatronMasa[[Código Patrón]:[mN-(mpe–U95)]],13,FALSE),"")</f>
        <v/>
      </c>
      <c r="CL100" s="34" t="str">
        <f>IF(tblTrazabilidad[[#This Row],[Clase]]="F2",IFERROR(IF(VLOOKUP($CH100,tblBD_PatronMasa[[Código Patrón]:[mN-(mpe–U95)]],12,FALSE)=0,"",VLOOKUP($CH100,tblBD_PatronMasa[[Código Patrón]:[mN-(mpe–U95)]],12,FALSE)+731),""),IF(tblTrazabilidad[[#This Row],[Clase]]="F1",IFERROR(IF(VLOOKUP($CH100,tblBD_PatronMasa[[Código Patrón]:[mN-(mpe–U95)]],12,FALSE)=0,"",VLOOKUP($CH100,tblBD_PatronMasa[[Código Patrón]:[mN-(mpe–U95)]],12,FALSE)+731),""),IFERROR(IF(VLOOKUP($CH100,tblBD_PatronMasa[[Código Patrón]:[mN-(mpe–U95)]],12,FALSE)=0,"",VLOOKUP($CH100,tblBD_PatronMasa[[Código Patrón]:[mN-(mpe–U95)]],12,FALSE)+366),"")))</f>
        <v/>
      </c>
      <c r="CM100" s="33" t="str">
        <f>IFERROR(VLOOKUP($CH100,tblBD_PatronMasa[[Código Patrón]:[mN-(mpe–U95)]],3,FALSE),"")</f>
        <v/>
      </c>
      <c r="CS100" s="32"/>
      <c r="CU100"/>
      <c r="DC100" s="1" t="s">
        <v>119</v>
      </c>
      <c r="DD100" s="1" t="s">
        <v>118</v>
      </c>
      <c r="DF100"/>
      <c r="DG100"/>
    </row>
    <row r="101" spans="41:111" x14ac:dyDescent="0.3">
      <c r="AO101" s="39"/>
      <c r="AP101" s="39"/>
      <c r="CG101" s="38">
        <v>97</v>
      </c>
      <c r="CH101" s="35">
        <f t="shared" si="7"/>
        <v>0</v>
      </c>
      <c r="CI101" s="35" t="str">
        <f>IF(tblTrazabilidad[[#This Row],[Código]]=0,"",IFERROR(IF(SEARCH("JM",tblTrazabilidad[[#This Row],[Código]])&gt;0,"Juego de pesas",),"Pesa"))</f>
        <v/>
      </c>
      <c r="CJ101" s="35" t="str">
        <f>IFERROR(VLOOKUP($CH101,tblBD_PatronMasa[[Código Patrón]:[mN-(mpe–U95)]],2,FALSE),"")</f>
        <v/>
      </c>
      <c r="CK101" s="35" t="str">
        <f>IFERROR(VLOOKUP($CH101,tblBD_PatronMasa[[Código Patrón]:[mN-(mpe–U95)]],13,FALSE),"")</f>
        <v/>
      </c>
      <c r="CL101" s="34" t="str">
        <f>IF(tblTrazabilidad[[#This Row],[Clase]]="F2",IFERROR(IF(VLOOKUP($CH101,tblBD_PatronMasa[[Código Patrón]:[mN-(mpe–U95)]],12,FALSE)=0,"",VLOOKUP($CH101,tblBD_PatronMasa[[Código Patrón]:[mN-(mpe–U95)]],12,FALSE)+731),""),IF(tblTrazabilidad[[#This Row],[Clase]]="F1",IFERROR(IF(VLOOKUP($CH101,tblBD_PatronMasa[[Código Patrón]:[mN-(mpe–U95)]],12,FALSE)=0,"",VLOOKUP($CH101,tblBD_PatronMasa[[Código Patrón]:[mN-(mpe–U95)]],12,FALSE)+731),""),IFERROR(IF(VLOOKUP($CH101,tblBD_PatronMasa[[Código Patrón]:[mN-(mpe–U95)]],12,FALSE)=0,"",VLOOKUP($CH101,tblBD_PatronMasa[[Código Patrón]:[mN-(mpe–U95)]],12,FALSE)+366),"")))</f>
        <v/>
      </c>
      <c r="CM101" s="33" t="str">
        <f>IFERROR(VLOOKUP($CH101,tblBD_PatronMasa[[Código Patrón]:[mN-(mpe–U95)]],3,FALSE),"")</f>
        <v/>
      </c>
      <c r="CS101" s="32"/>
      <c r="CU101"/>
      <c r="DC101" s="1" t="s">
        <v>117</v>
      </c>
      <c r="DD101" s="1" t="s">
        <v>116</v>
      </c>
      <c r="DF101"/>
      <c r="DG101"/>
    </row>
    <row r="102" spans="41:111" x14ac:dyDescent="0.3">
      <c r="AO102" s="39"/>
      <c r="AP102" s="39"/>
      <c r="CG102" s="38">
        <v>98</v>
      </c>
      <c r="CH102" s="35">
        <f t="shared" si="7"/>
        <v>0</v>
      </c>
      <c r="CI102" s="35" t="str">
        <f>IF(tblTrazabilidad[[#This Row],[Código]]=0,"",IFERROR(IF(SEARCH("JM",tblTrazabilidad[[#This Row],[Código]])&gt;0,"Juego de pesas",),"Pesa"))</f>
        <v/>
      </c>
      <c r="CJ102" s="35" t="str">
        <f>IFERROR(VLOOKUP($CH102,tblBD_PatronMasa[[Código Patrón]:[mN-(mpe–U95)]],2,FALSE),"")</f>
        <v/>
      </c>
      <c r="CK102" s="35" t="str">
        <f>IFERROR(VLOOKUP($CH102,tblBD_PatronMasa[[Código Patrón]:[mN-(mpe–U95)]],13,FALSE),"")</f>
        <v/>
      </c>
      <c r="CL102" s="34" t="str">
        <f>IF(tblTrazabilidad[[#This Row],[Clase]]="F2",IFERROR(IF(VLOOKUP($CH102,tblBD_PatronMasa[[Código Patrón]:[mN-(mpe–U95)]],12,FALSE)=0,"",VLOOKUP($CH102,tblBD_PatronMasa[[Código Patrón]:[mN-(mpe–U95)]],12,FALSE)+731),""),IF(tblTrazabilidad[[#This Row],[Clase]]="F1",IFERROR(IF(VLOOKUP($CH102,tblBD_PatronMasa[[Código Patrón]:[mN-(mpe–U95)]],12,FALSE)=0,"",VLOOKUP($CH102,tblBD_PatronMasa[[Código Patrón]:[mN-(mpe–U95)]],12,FALSE)+731),""),IFERROR(IF(VLOOKUP($CH102,tblBD_PatronMasa[[Código Patrón]:[mN-(mpe–U95)]],12,FALSE)=0,"",VLOOKUP($CH102,tblBD_PatronMasa[[Código Patrón]:[mN-(mpe–U95)]],12,FALSE)+366),"")))</f>
        <v/>
      </c>
      <c r="CM102" s="33" t="str">
        <f>IFERROR(VLOOKUP($CH102,tblBD_PatronMasa[[Código Patrón]:[mN-(mpe–U95)]],3,FALSE),"")</f>
        <v/>
      </c>
      <c r="CS102" s="32"/>
      <c r="CU102"/>
      <c r="DC102" s="1" t="s">
        <v>115</v>
      </c>
      <c r="DD102" s="1" t="s">
        <v>114</v>
      </c>
      <c r="DF102"/>
      <c r="DG102"/>
    </row>
    <row r="103" spans="41:111" x14ac:dyDescent="0.3">
      <c r="AO103" s="39"/>
      <c r="AP103" s="39"/>
      <c r="CG103" s="38">
        <v>99</v>
      </c>
      <c r="CH103" s="35">
        <f t="shared" si="7"/>
        <v>0</v>
      </c>
      <c r="CI103" s="35" t="str">
        <f>IF(tblTrazabilidad[[#This Row],[Código]]=0,"",IFERROR(IF(SEARCH("JM",tblTrazabilidad[[#This Row],[Código]])&gt;0,"Juego de pesas",),"Pesa"))</f>
        <v/>
      </c>
      <c r="CJ103" s="35" t="str">
        <f>IFERROR(VLOOKUP($CH103,tblBD_PatronMasa[[Código Patrón]:[mN-(mpe–U95)]],2,FALSE),"")</f>
        <v/>
      </c>
      <c r="CK103" s="35" t="str">
        <f>IFERROR(VLOOKUP($CH103,tblBD_PatronMasa[[Código Patrón]:[mN-(mpe–U95)]],13,FALSE),"")</f>
        <v/>
      </c>
      <c r="CL103" s="34" t="str">
        <f>IF(tblTrazabilidad[[#This Row],[Clase]]="F2",IFERROR(IF(VLOOKUP($CH103,tblBD_PatronMasa[[Código Patrón]:[mN-(mpe–U95)]],12,FALSE)=0,"",VLOOKUP($CH103,tblBD_PatronMasa[[Código Patrón]:[mN-(mpe–U95)]],12,FALSE)+731),""),IF(tblTrazabilidad[[#This Row],[Clase]]="F1",IFERROR(IF(VLOOKUP($CH103,tblBD_PatronMasa[[Código Patrón]:[mN-(mpe–U95)]],12,FALSE)=0,"",VLOOKUP($CH103,tblBD_PatronMasa[[Código Patrón]:[mN-(mpe–U95)]],12,FALSE)+731),""),IFERROR(IF(VLOOKUP($CH103,tblBD_PatronMasa[[Código Patrón]:[mN-(mpe–U95)]],12,FALSE)=0,"",VLOOKUP($CH103,tblBD_PatronMasa[[Código Patrón]:[mN-(mpe–U95)]],12,FALSE)+366),"")))</f>
        <v/>
      </c>
      <c r="CM103" s="33" t="str">
        <f>IFERROR(VLOOKUP($CH103,tblBD_PatronMasa[[Código Patrón]:[mN-(mpe–U95)]],3,FALSE),"")</f>
        <v/>
      </c>
      <c r="CS103" s="32"/>
      <c r="CU103"/>
      <c r="DC103" s="1"/>
      <c r="DD103" s="1" t="s">
        <v>113</v>
      </c>
      <c r="DF103"/>
      <c r="DG103"/>
    </row>
    <row r="104" spans="41:111" x14ac:dyDescent="0.3">
      <c r="AO104" s="39"/>
      <c r="AP104" s="39"/>
      <c r="CG104" s="43"/>
      <c r="CH104" s="42"/>
      <c r="CI104" s="35" t="str">
        <f>IF(tblTrazabilidad[[#This Row],[Código]]=0,"",IFERROR(IF(SEARCH("JM",tblTrazabilidad[[#This Row],[Código]])&gt;0,"Juego de pesas",),"Pesa"))</f>
        <v/>
      </c>
      <c r="CJ104" s="35" t="str">
        <f>IFERROR(VLOOKUP($CH104,tblBD_PatronMasa[[Código Patrón]:[mN-(mpe–U95)]],2,FALSE),"")</f>
        <v/>
      </c>
      <c r="CK104" s="41" t="str">
        <f>IFERROR(VLOOKUP($CH104,tblBD_PatronMasa[[Código Patrón]:[mN-(mpe–U95)]],13,FALSE),"")</f>
        <v/>
      </c>
      <c r="CL104" s="34" t="str">
        <f>IF(tblTrazabilidad[[#This Row],[Clase]]="F2",IFERROR(IF(VLOOKUP($CH104,tblBD_PatronMasa[[Código Patrón]:[mN-(mpe–U95)]],12,FALSE)=0,"",VLOOKUP($CH104,tblBD_PatronMasa[[Código Patrón]:[mN-(mpe–U95)]],12,FALSE)+731),""),IF(tblTrazabilidad[[#This Row],[Clase]]="F1",IFERROR(IF(VLOOKUP($CH104,tblBD_PatronMasa[[Código Patrón]:[mN-(mpe–U95)]],12,FALSE)=0,"",VLOOKUP($CH104,tblBD_PatronMasa[[Código Patrón]:[mN-(mpe–U95)]],12,FALSE)+731),""),IFERROR(IF(VLOOKUP($CH104,tblBD_PatronMasa[[Código Patrón]:[mN-(mpe–U95)]],12,FALSE)=0,"",VLOOKUP($CH104,tblBD_PatronMasa[[Código Patrón]:[mN-(mpe–U95)]],12,FALSE)+366),"")))</f>
        <v/>
      </c>
      <c r="CM104" s="33" t="str">
        <f>IFERROR(VLOOKUP($CH104,tblBD_PatronMasa[[Código Patrón]:[mN-(mpe–U95)]],3,FALSE),"")</f>
        <v/>
      </c>
      <c r="CS104" s="32"/>
      <c r="CU104"/>
      <c r="DC104" s="1"/>
      <c r="DD104" s="1"/>
      <c r="DF104"/>
      <c r="DG104"/>
    </row>
    <row r="105" spans="41:111" x14ac:dyDescent="0.3">
      <c r="AO105" s="39"/>
      <c r="AP105" s="39"/>
      <c r="CG105" s="43"/>
      <c r="CH105" s="42"/>
      <c r="CI105" s="35" t="str">
        <f>IF(tblTrazabilidad[[#This Row],[Código]]=0,"",IFERROR(IF(SEARCH("JM",tblTrazabilidad[[#This Row],[Código]])&gt;0,"Juego de pesas",),"Pesa"))</f>
        <v/>
      </c>
      <c r="CJ105" s="35" t="str">
        <f>IFERROR(VLOOKUP($CH105,tblBD_PatronMasa[[Código Patrón]:[mN-(mpe–U95)]],2,FALSE),"")</f>
        <v/>
      </c>
      <c r="CK105" s="41" t="str">
        <f>IFERROR(VLOOKUP($CH105,tblBD_PatronMasa[[Código Patrón]:[mN-(mpe–U95)]],13,FALSE),"")</f>
        <v/>
      </c>
      <c r="CL105" s="34" t="str">
        <f>IF(tblTrazabilidad[[#This Row],[Clase]]="F2",IFERROR(IF(VLOOKUP($CH105,tblBD_PatronMasa[[Código Patrón]:[mN-(mpe–U95)]],12,FALSE)=0,"",VLOOKUP($CH105,tblBD_PatronMasa[[Código Patrón]:[mN-(mpe–U95)]],12,FALSE)+731),""),IF(tblTrazabilidad[[#This Row],[Clase]]="F1",IFERROR(IF(VLOOKUP($CH105,tblBD_PatronMasa[[Código Patrón]:[mN-(mpe–U95)]],12,FALSE)=0,"",VLOOKUP($CH105,tblBD_PatronMasa[[Código Patrón]:[mN-(mpe–U95)]],12,FALSE)+731),""),IFERROR(IF(VLOOKUP($CH105,tblBD_PatronMasa[[Código Patrón]:[mN-(mpe–U95)]],12,FALSE)=0,"",VLOOKUP($CH105,tblBD_PatronMasa[[Código Patrón]:[mN-(mpe–U95)]],12,FALSE)+366),"")))</f>
        <v/>
      </c>
      <c r="CM105" s="33" t="str">
        <f>IFERROR(VLOOKUP($CH105,tblBD_PatronMasa[[Código Patrón]:[mN-(mpe–U95)]],3,FALSE),"")</f>
        <v/>
      </c>
      <c r="CS105" s="32"/>
      <c r="CU105"/>
      <c r="DC105" s="1"/>
      <c r="DD105" s="1"/>
      <c r="DF105"/>
      <c r="DG105"/>
    </row>
    <row r="106" spans="41:111" x14ac:dyDescent="0.3">
      <c r="AO106" s="39"/>
      <c r="AP106" s="39"/>
      <c r="CG106" s="38">
        <v>100</v>
      </c>
      <c r="CH106" s="35">
        <f>T54</f>
        <v>0</v>
      </c>
      <c r="CI106" s="35" t="str">
        <f>IF(tblTrazabilidad[[#This Row],[Código]]=0,"",IFERROR(IF(SEARCH("JM",tblTrazabilidad[[#This Row],[Código]])&gt;0,"Juego de pesas",),"Pesa"))</f>
        <v/>
      </c>
      <c r="CJ106" s="35" t="str">
        <f>IFERROR(VLOOKUP($CH106,tblBD_PatronMasa[[Código Patrón]:[mN-(mpe–U95)]],2,FALSE),"")</f>
        <v/>
      </c>
      <c r="CK106" s="35" t="str">
        <f>IFERROR(VLOOKUP($CH106,tblBD_PatronMasa[[Código Patrón]:[mN-(mpe–U95)]],13,FALSE),"")</f>
        <v/>
      </c>
      <c r="CL106" s="34" t="str">
        <f>IF(tblTrazabilidad[[#This Row],[Clase]]="F2",IFERROR(IF(VLOOKUP($CH106,tblBD_PatronMasa[[Código Patrón]:[mN-(mpe–U95)]],12,FALSE)=0,"",VLOOKUP($CH106,tblBD_PatronMasa[[Código Patrón]:[mN-(mpe–U95)]],12,FALSE)+731),""),IF(tblTrazabilidad[[#This Row],[Clase]]="F1",IFERROR(IF(VLOOKUP($CH106,tblBD_PatronMasa[[Código Patrón]:[mN-(mpe–U95)]],12,FALSE)=0,"",VLOOKUP($CH106,tblBD_PatronMasa[[Código Patrón]:[mN-(mpe–U95)]],12,FALSE)+731),""),IFERROR(IF(VLOOKUP($CH106,tblBD_PatronMasa[[Código Patrón]:[mN-(mpe–U95)]],12,FALSE)=0,"",VLOOKUP($CH106,tblBD_PatronMasa[[Código Patrón]:[mN-(mpe–U95)]],12,FALSE)+366),"")))</f>
        <v/>
      </c>
      <c r="CM106" s="33" t="str">
        <f>IFERROR(VLOOKUP($CH106,tblBD_PatronMasa[[Código Patrón]:[mN-(mpe–U95)]],3,FALSE),"")</f>
        <v/>
      </c>
      <c r="CS106" s="32"/>
      <c r="CU106"/>
      <c r="DC106" s="40" t="s">
        <v>4</v>
      </c>
      <c r="DD106" s="1"/>
      <c r="DF106"/>
      <c r="DG106"/>
    </row>
    <row r="107" spans="41:111" x14ac:dyDescent="0.3">
      <c r="AO107" s="39"/>
      <c r="AP107" s="39"/>
      <c r="CG107" s="38">
        <v>101</v>
      </c>
      <c r="CH107" s="35">
        <f t="shared" ref="CH107:CH138" si="8">AA5</f>
        <v>0</v>
      </c>
      <c r="CI107" s="35" t="str">
        <f>IF(tblTrazabilidad[[#This Row],[Código]]=0,"",IFERROR(IF(SEARCH("JM",tblTrazabilidad[[#This Row],[Código]])&gt;0,"Juego de pesas",),"Pesa"))</f>
        <v/>
      </c>
      <c r="CJ107" s="35" t="str">
        <f>IFERROR(VLOOKUP($CH107,tblBD_PatronMasa[[Código Patrón]:[mN-(mpe–U95)]],2,FALSE),"")</f>
        <v/>
      </c>
      <c r="CK107" s="35" t="str">
        <f>IFERROR(VLOOKUP($CH107,tblBD_PatronMasa[[Código Patrón]:[mN-(mpe–U95)]],13,FALSE),"")</f>
        <v/>
      </c>
      <c r="CL107" s="34" t="str">
        <f>IF(tblTrazabilidad[[#This Row],[Clase]]="F2",IFERROR(IF(VLOOKUP($CH107,tblBD_PatronMasa[[Código Patrón]:[mN-(mpe–U95)]],12,FALSE)=0,"",VLOOKUP($CH107,tblBD_PatronMasa[[Código Patrón]:[mN-(mpe–U95)]],12,FALSE)+731),""),IF(tblTrazabilidad[[#This Row],[Clase]]="F1",IFERROR(IF(VLOOKUP($CH107,tblBD_PatronMasa[[Código Patrón]:[mN-(mpe–U95)]],12,FALSE)=0,"",VLOOKUP($CH107,tblBD_PatronMasa[[Código Patrón]:[mN-(mpe–U95)]],12,FALSE)+731),""),IFERROR(IF(VLOOKUP($CH107,tblBD_PatronMasa[[Código Patrón]:[mN-(mpe–U95)]],12,FALSE)=0,"",VLOOKUP($CH107,tblBD_PatronMasa[[Código Patrón]:[mN-(mpe–U95)]],12,FALSE)+366),"")))</f>
        <v/>
      </c>
      <c r="CM107" s="33" t="str">
        <f>IFERROR(VLOOKUP($CH107,tblBD_PatronMasa[[Código Patrón]:[mN-(mpe–U95)]],3,FALSE),"")</f>
        <v/>
      </c>
      <c r="CS107" s="32"/>
      <c r="CU107"/>
      <c r="DC107" s="1">
        <v>1</v>
      </c>
      <c r="DD107" s="1"/>
      <c r="DF107"/>
      <c r="DG107"/>
    </row>
    <row r="108" spans="41:111" x14ac:dyDescent="0.3">
      <c r="AO108" s="39"/>
      <c r="AP108" s="39"/>
      <c r="CG108" s="38">
        <v>102</v>
      </c>
      <c r="CH108" s="35">
        <f t="shared" si="8"/>
        <v>0</v>
      </c>
      <c r="CI108" s="35" t="str">
        <f>IF(tblTrazabilidad[[#This Row],[Código]]=0,"",IFERROR(IF(SEARCH("JM",tblTrazabilidad[[#This Row],[Código]])&gt;0,"Juego de pesas",),"Pesa"))</f>
        <v/>
      </c>
      <c r="CJ108" s="35" t="str">
        <f>IFERROR(VLOOKUP($CH108,tblBD_PatronMasa[[Código Patrón]:[mN-(mpe–U95)]],2,FALSE),"")</f>
        <v/>
      </c>
      <c r="CK108" s="35" t="str">
        <f>IFERROR(VLOOKUP($CH108,tblBD_PatronMasa[[Código Patrón]:[mN-(mpe–U95)]],13,FALSE),"")</f>
        <v/>
      </c>
      <c r="CL108" s="34" t="str">
        <f>IF(tblTrazabilidad[[#This Row],[Clase]]="F2",IFERROR(IF(VLOOKUP($CH108,tblBD_PatronMasa[[Código Patrón]:[mN-(mpe–U95)]],12,FALSE)=0,"",VLOOKUP($CH108,tblBD_PatronMasa[[Código Patrón]:[mN-(mpe–U95)]],12,FALSE)+731),""),IF(tblTrazabilidad[[#This Row],[Clase]]="F1",IFERROR(IF(VLOOKUP($CH108,tblBD_PatronMasa[[Código Patrón]:[mN-(mpe–U95)]],12,FALSE)=0,"",VLOOKUP($CH108,tblBD_PatronMasa[[Código Patrón]:[mN-(mpe–U95)]],12,FALSE)+731),""),IFERROR(IF(VLOOKUP($CH108,tblBD_PatronMasa[[Código Patrón]:[mN-(mpe–U95)]],12,FALSE)=0,"",VLOOKUP($CH108,tblBD_PatronMasa[[Código Patrón]:[mN-(mpe–U95)]],12,FALSE)+366),"")))</f>
        <v/>
      </c>
      <c r="CM108" s="33" t="str">
        <f>IFERROR(VLOOKUP($CH108,tblBD_PatronMasa[[Código Patrón]:[mN-(mpe–U95)]],3,FALSE),"")</f>
        <v/>
      </c>
      <c r="CS108" s="32"/>
      <c r="CU108"/>
      <c r="DC108" s="1">
        <v>2</v>
      </c>
      <c r="DD108" s="1"/>
      <c r="DF108"/>
      <c r="DG108"/>
    </row>
    <row r="109" spans="41:111" x14ac:dyDescent="0.3">
      <c r="AO109" s="39"/>
      <c r="AP109" s="39"/>
      <c r="CG109" s="38">
        <v>103</v>
      </c>
      <c r="CH109" s="35">
        <f t="shared" si="8"/>
        <v>0</v>
      </c>
      <c r="CI109" s="35" t="str">
        <f>IF(tblTrazabilidad[[#This Row],[Código]]=0,"",IFERROR(IF(SEARCH("JM",tblTrazabilidad[[#This Row],[Código]])&gt;0,"Juego de pesas",),"Pesa"))</f>
        <v/>
      </c>
      <c r="CJ109" s="35" t="str">
        <f>IFERROR(VLOOKUP($CH109,tblBD_PatronMasa[[Código Patrón]:[mN-(mpe–U95)]],2,FALSE),"")</f>
        <v/>
      </c>
      <c r="CK109" s="35" t="str">
        <f>IFERROR(VLOOKUP($CH109,tblBD_PatronMasa[[Código Patrón]:[mN-(mpe–U95)]],13,FALSE),"")</f>
        <v/>
      </c>
      <c r="CL109" s="34" t="str">
        <f>IF(tblTrazabilidad[[#This Row],[Clase]]="F2",IFERROR(IF(VLOOKUP($CH109,tblBD_PatronMasa[[Código Patrón]:[mN-(mpe–U95)]],12,FALSE)=0,"",VLOOKUP($CH109,tblBD_PatronMasa[[Código Patrón]:[mN-(mpe–U95)]],12,FALSE)+731),""),IF(tblTrazabilidad[[#This Row],[Clase]]="F1",IFERROR(IF(VLOOKUP($CH109,tblBD_PatronMasa[[Código Patrón]:[mN-(mpe–U95)]],12,FALSE)=0,"",VLOOKUP($CH109,tblBD_PatronMasa[[Código Patrón]:[mN-(mpe–U95)]],12,FALSE)+731),""),IFERROR(IF(VLOOKUP($CH109,tblBD_PatronMasa[[Código Patrón]:[mN-(mpe–U95)]],12,FALSE)=0,"",VLOOKUP($CH109,tblBD_PatronMasa[[Código Patrón]:[mN-(mpe–U95)]],12,FALSE)+366),"")))</f>
        <v/>
      </c>
      <c r="CM109" s="33" t="str">
        <f>IFERROR(VLOOKUP($CH109,tblBD_PatronMasa[[Código Patrón]:[mN-(mpe–U95)]],3,FALSE),"")</f>
        <v/>
      </c>
      <c r="CS109" s="32"/>
      <c r="CU109"/>
      <c r="DC109" s="1">
        <v>3</v>
      </c>
      <c r="DD109" s="1"/>
      <c r="DF109"/>
      <c r="DG109"/>
    </row>
    <row r="110" spans="41:111" x14ac:dyDescent="0.3">
      <c r="AO110" s="39"/>
      <c r="AP110" s="39"/>
      <c r="CG110" s="38">
        <v>104</v>
      </c>
      <c r="CH110" s="35">
        <f t="shared" si="8"/>
        <v>0</v>
      </c>
      <c r="CI110" s="35" t="str">
        <f>IF(tblTrazabilidad[[#This Row],[Código]]=0,"",IFERROR(IF(SEARCH("JM",tblTrazabilidad[[#This Row],[Código]])&gt;0,"Juego de pesas",),"Pesa"))</f>
        <v/>
      </c>
      <c r="CJ110" s="35" t="str">
        <f>IFERROR(VLOOKUP($CH110,tblBD_PatronMasa[[Código Patrón]:[mN-(mpe–U95)]],2,FALSE),"")</f>
        <v/>
      </c>
      <c r="CK110" s="35" t="str">
        <f>IFERROR(VLOOKUP($CH110,tblBD_PatronMasa[[Código Patrón]:[mN-(mpe–U95)]],13,FALSE),"")</f>
        <v/>
      </c>
      <c r="CL110" s="34" t="str">
        <f>IF(tblTrazabilidad[[#This Row],[Clase]]="F2",IFERROR(IF(VLOOKUP($CH110,tblBD_PatronMasa[[Código Patrón]:[mN-(mpe–U95)]],12,FALSE)=0,"",VLOOKUP($CH110,tblBD_PatronMasa[[Código Patrón]:[mN-(mpe–U95)]],12,FALSE)+731),""),IF(tblTrazabilidad[[#This Row],[Clase]]="F1",IFERROR(IF(VLOOKUP($CH110,tblBD_PatronMasa[[Código Patrón]:[mN-(mpe–U95)]],12,FALSE)=0,"",VLOOKUP($CH110,tblBD_PatronMasa[[Código Patrón]:[mN-(mpe–U95)]],12,FALSE)+731),""),IFERROR(IF(VLOOKUP($CH110,tblBD_PatronMasa[[Código Patrón]:[mN-(mpe–U95)]],12,FALSE)=0,"",VLOOKUP($CH110,tblBD_PatronMasa[[Código Patrón]:[mN-(mpe–U95)]],12,FALSE)+366),"")))</f>
        <v/>
      </c>
      <c r="CM110" s="33" t="str">
        <f>IFERROR(VLOOKUP($CH110,tblBD_PatronMasa[[Código Patrón]:[mN-(mpe–U95)]],3,FALSE),"")</f>
        <v/>
      </c>
      <c r="CS110" s="32"/>
      <c r="CU110"/>
      <c r="DC110" s="1">
        <v>4</v>
      </c>
      <c r="DD110" s="1"/>
      <c r="DF110"/>
      <c r="DG110"/>
    </row>
    <row r="111" spans="41:111" x14ac:dyDescent="0.3">
      <c r="AO111" s="39"/>
      <c r="AP111" s="39"/>
      <c r="CG111" s="38">
        <v>105</v>
      </c>
      <c r="CH111" s="35">
        <f t="shared" si="8"/>
        <v>0</v>
      </c>
      <c r="CI111" s="35" t="str">
        <f>IF(tblTrazabilidad[[#This Row],[Código]]=0,"",IFERROR(IF(SEARCH("JM",tblTrazabilidad[[#This Row],[Código]])&gt;0,"Juego de pesas",),"Pesa"))</f>
        <v/>
      </c>
      <c r="CJ111" s="35" t="str">
        <f>IFERROR(VLOOKUP($CH111,tblBD_PatronMasa[[Código Patrón]:[mN-(mpe–U95)]],2,FALSE),"")</f>
        <v/>
      </c>
      <c r="CK111" s="35" t="str">
        <f>IFERROR(VLOOKUP($CH111,tblBD_PatronMasa[[Código Patrón]:[mN-(mpe–U95)]],13,FALSE),"")</f>
        <v/>
      </c>
      <c r="CL111" s="34" t="str">
        <f>IF(tblTrazabilidad[[#This Row],[Clase]]="F2",IFERROR(IF(VLOOKUP($CH111,tblBD_PatronMasa[[Código Patrón]:[mN-(mpe–U95)]],12,FALSE)=0,"",VLOOKUP($CH111,tblBD_PatronMasa[[Código Patrón]:[mN-(mpe–U95)]],12,FALSE)+731),""),IF(tblTrazabilidad[[#This Row],[Clase]]="F1",IFERROR(IF(VLOOKUP($CH111,tblBD_PatronMasa[[Código Patrón]:[mN-(mpe–U95)]],12,FALSE)=0,"",VLOOKUP($CH111,tblBD_PatronMasa[[Código Patrón]:[mN-(mpe–U95)]],12,FALSE)+731),""),IFERROR(IF(VLOOKUP($CH111,tblBD_PatronMasa[[Código Patrón]:[mN-(mpe–U95)]],12,FALSE)=0,"",VLOOKUP($CH111,tblBD_PatronMasa[[Código Patrón]:[mN-(mpe–U95)]],12,FALSE)+366),"")))</f>
        <v/>
      </c>
      <c r="CM111" s="33" t="str">
        <f>IFERROR(VLOOKUP($CH111,tblBD_PatronMasa[[Código Patrón]:[mN-(mpe–U95)]],3,FALSE),"")</f>
        <v/>
      </c>
      <c r="CS111" s="32"/>
      <c r="CU111"/>
      <c r="DC111" s="1">
        <v>5</v>
      </c>
      <c r="DD111" s="1"/>
      <c r="DF111"/>
      <c r="DG111"/>
    </row>
    <row r="112" spans="41:111" x14ac:dyDescent="0.3">
      <c r="AO112" s="39"/>
      <c r="AP112" s="39"/>
      <c r="CG112" s="38">
        <v>106</v>
      </c>
      <c r="CH112" s="35">
        <f t="shared" si="8"/>
        <v>0</v>
      </c>
      <c r="CI112" s="35" t="str">
        <f>IF(tblTrazabilidad[[#This Row],[Código]]=0,"",IFERROR(IF(SEARCH("JM",tblTrazabilidad[[#This Row],[Código]])&gt;0,"Juego de pesas",),"Pesa"))</f>
        <v/>
      </c>
      <c r="CJ112" s="35" t="str">
        <f>IFERROR(VLOOKUP($CH112,tblBD_PatronMasa[[Código Patrón]:[mN-(mpe–U95)]],2,FALSE),"")</f>
        <v/>
      </c>
      <c r="CK112" s="35" t="str">
        <f>IFERROR(VLOOKUP($CH112,tblBD_PatronMasa[[Código Patrón]:[mN-(mpe–U95)]],13,FALSE),"")</f>
        <v/>
      </c>
      <c r="CL112" s="34" t="str">
        <f>IF(tblTrazabilidad[[#This Row],[Clase]]="F2",IFERROR(IF(VLOOKUP($CH112,tblBD_PatronMasa[[Código Patrón]:[mN-(mpe–U95)]],12,FALSE)=0,"",VLOOKUP($CH112,tblBD_PatronMasa[[Código Patrón]:[mN-(mpe–U95)]],12,FALSE)+731),""),IF(tblTrazabilidad[[#This Row],[Clase]]="F1",IFERROR(IF(VLOOKUP($CH112,tblBD_PatronMasa[[Código Patrón]:[mN-(mpe–U95)]],12,FALSE)=0,"",VLOOKUP($CH112,tblBD_PatronMasa[[Código Patrón]:[mN-(mpe–U95)]],12,FALSE)+731),""),IFERROR(IF(VLOOKUP($CH112,tblBD_PatronMasa[[Código Patrón]:[mN-(mpe–U95)]],12,FALSE)=0,"",VLOOKUP($CH112,tblBD_PatronMasa[[Código Patrón]:[mN-(mpe–U95)]],12,FALSE)+366),"")))</f>
        <v/>
      </c>
      <c r="CM112" s="33" t="str">
        <f>IFERROR(VLOOKUP($CH112,tblBD_PatronMasa[[Código Patrón]:[mN-(mpe–U95)]],3,FALSE),"")</f>
        <v/>
      </c>
      <c r="CS112" s="32"/>
      <c r="CU112"/>
      <c r="DC112" s="1">
        <v>6</v>
      </c>
      <c r="DD112" s="1"/>
      <c r="DF112"/>
      <c r="DG112"/>
    </row>
    <row r="113" spans="41:111" x14ac:dyDescent="0.3">
      <c r="AO113" s="39"/>
      <c r="AP113" s="39"/>
      <c r="CG113" s="38">
        <v>107</v>
      </c>
      <c r="CH113" s="35">
        <f t="shared" si="8"/>
        <v>0</v>
      </c>
      <c r="CI113" s="35" t="str">
        <f>IF(tblTrazabilidad[[#This Row],[Código]]=0,"",IFERROR(IF(SEARCH("JM",tblTrazabilidad[[#This Row],[Código]])&gt;0,"Juego de pesas",),"Pesa"))</f>
        <v/>
      </c>
      <c r="CJ113" s="35" t="str">
        <f>IFERROR(VLOOKUP($CH113,tblBD_PatronMasa[[Código Patrón]:[mN-(mpe–U95)]],2,FALSE),"")</f>
        <v/>
      </c>
      <c r="CK113" s="35" t="str">
        <f>IFERROR(VLOOKUP($CH113,tblBD_PatronMasa[[Código Patrón]:[mN-(mpe–U95)]],13,FALSE),"")</f>
        <v/>
      </c>
      <c r="CL113" s="34" t="str">
        <f>IF(tblTrazabilidad[[#This Row],[Clase]]="F2",IFERROR(IF(VLOOKUP($CH113,tblBD_PatronMasa[[Código Patrón]:[mN-(mpe–U95)]],12,FALSE)=0,"",VLOOKUP($CH113,tblBD_PatronMasa[[Código Patrón]:[mN-(mpe–U95)]],12,FALSE)+731),""),IF(tblTrazabilidad[[#This Row],[Clase]]="F1",IFERROR(IF(VLOOKUP($CH113,tblBD_PatronMasa[[Código Patrón]:[mN-(mpe–U95)]],12,FALSE)=0,"",VLOOKUP($CH113,tblBD_PatronMasa[[Código Patrón]:[mN-(mpe–U95)]],12,FALSE)+731),""),IFERROR(IF(VLOOKUP($CH113,tblBD_PatronMasa[[Código Patrón]:[mN-(mpe–U95)]],12,FALSE)=0,"",VLOOKUP($CH113,tblBD_PatronMasa[[Código Patrón]:[mN-(mpe–U95)]],12,FALSE)+366),"")))</f>
        <v/>
      </c>
      <c r="CM113" s="33" t="str">
        <f>IFERROR(VLOOKUP($CH113,tblBD_PatronMasa[[Código Patrón]:[mN-(mpe–U95)]],3,FALSE),"")</f>
        <v/>
      </c>
      <c r="CS113" s="32"/>
      <c r="CU113"/>
      <c r="DC113" s="1">
        <v>7</v>
      </c>
      <c r="DD113" s="1"/>
      <c r="DF113"/>
      <c r="DG113"/>
    </row>
    <row r="114" spans="41:111" x14ac:dyDescent="0.3">
      <c r="AO114" s="39"/>
      <c r="AP114" s="39"/>
      <c r="CG114" s="38">
        <v>108</v>
      </c>
      <c r="CH114" s="35">
        <f t="shared" si="8"/>
        <v>0</v>
      </c>
      <c r="CI114" s="35" t="str">
        <f>IF(tblTrazabilidad[[#This Row],[Código]]=0,"",IFERROR(IF(SEARCH("JM",tblTrazabilidad[[#This Row],[Código]])&gt;0,"Juego de pesas",),"Pesa"))</f>
        <v/>
      </c>
      <c r="CJ114" s="35" t="str">
        <f>IFERROR(VLOOKUP($CH114,tblBD_PatronMasa[[Código Patrón]:[mN-(mpe–U95)]],2,FALSE),"")</f>
        <v/>
      </c>
      <c r="CK114" s="35" t="str">
        <f>IFERROR(VLOOKUP($CH114,tblBD_PatronMasa[[Código Patrón]:[mN-(mpe–U95)]],13,FALSE),"")</f>
        <v/>
      </c>
      <c r="CL114" s="34" t="str">
        <f>IF(tblTrazabilidad[[#This Row],[Clase]]="F2",IFERROR(IF(VLOOKUP($CH114,tblBD_PatronMasa[[Código Patrón]:[mN-(mpe–U95)]],12,FALSE)=0,"",VLOOKUP($CH114,tblBD_PatronMasa[[Código Patrón]:[mN-(mpe–U95)]],12,FALSE)+731),""),IF(tblTrazabilidad[[#This Row],[Clase]]="F1",IFERROR(IF(VLOOKUP($CH114,tblBD_PatronMasa[[Código Patrón]:[mN-(mpe–U95)]],12,FALSE)=0,"",VLOOKUP($CH114,tblBD_PatronMasa[[Código Patrón]:[mN-(mpe–U95)]],12,FALSE)+731),""),IFERROR(IF(VLOOKUP($CH114,tblBD_PatronMasa[[Código Patrón]:[mN-(mpe–U95)]],12,FALSE)=0,"",VLOOKUP($CH114,tblBD_PatronMasa[[Código Patrón]:[mN-(mpe–U95)]],12,FALSE)+366),"")))</f>
        <v/>
      </c>
      <c r="CM114" s="33" t="str">
        <f>IFERROR(VLOOKUP($CH114,tblBD_PatronMasa[[Código Patrón]:[mN-(mpe–U95)]],3,FALSE),"")</f>
        <v/>
      </c>
      <c r="CS114" s="32"/>
      <c r="CU114"/>
      <c r="DC114" s="1">
        <v>8</v>
      </c>
      <c r="DD114" s="1"/>
      <c r="DF114"/>
      <c r="DG114"/>
    </row>
    <row r="115" spans="41:111" x14ac:dyDescent="0.3">
      <c r="AO115" s="39"/>
      <c r="AP115" s="39"/>
      <c r="CG115" s="38">
        <v>109</v>
      </c>
      <c r="CH115" s="35">
        <f t="shared" si="8"/>
        <v>0</v>
      </c>
      <c r="CI115" s="35" t="str">
        <f>IF(tblTrazabilidad[[#This Row],[Código]]=0,"",IFERROR(IF(SEARCH("JM",tblTrazabilidad[[#This Row],[Código]])&gt;0,"Juego de pesas",),"Pesa"))</f>
        <v/>
      </c>
      <c r="CJ115" s="35" t="str">
        <f>IFERROR(VLOOKUP($CH115,tblBD_PatronMasa[[Código Patrón]:[mN-(mpe–U95)]],2,FALSE),"")</f>
        <v/>
      </c>
      <c r="CK115" s="35" t="str">
        <f>IFERROR(VLOOKUP($CH115,tblBD_PatronMasa[[Código Patrón]:[mN-(mpe–U95)]],13,FALSE),"")</f>
        <v/>
      </c>
      <c r="CL115" s="34" t="str">
        <f>IF(tblTrazabilidad[[#This Row],[Clase]]="F2",IFERROR(IF(VLOOKUP($CH115,tblBD_PatronMasa[[Código Patrón]:[mN-(mpe–U95)]],12,FALSE)=0,"",VLOOKUP($CH115,tblBD_PatronMasa[[Código Patrón]:[mN-(mpe–U95)]],12,FALSE)+731),""),IF(tblTrazabilidad[[#This Row],[Clase]]="F1",IFERROR(IF(VLOOKUP($CH115,tblBD_PatronMasa[[Código Patrón]:[mN-(mpe–U95)]],12,FALSE)=0,"",VLOOKUP($CH115,tblBD_PatronMasa[[Código Patrón]:[mN-(mpe–U95)]],12,FALSE)+731),""),IFERROR(IF(VLOOKUP($CH115,tblBD_PatronMasa[[Código Patrón]:[mN-(mpe–U95)]],12,FALSE)=0,"",VLOOKUP($CH115,tblBD_PatronMasa[[Código Patrón]:[mN-(mpe–U95)]],12,FALSE)+366),"")))</f>
        <v/>
      </c>
      <c r="CM115" s="33" t="str">
        <f>IFERROR(VLOOKUP($CH115,tblBD_PatronMasa[[Código Patrón]:[mN-(mpe–U95)]],3,FALSE),"")</f>
        <v/>
      </c>
      <c r="CS115" s="32"/>
      <c r="CU115"/>
      <c r="DC115" s="1">
        <v>9</v>
      </c>
      <c r="DD115" s="1"/>
      <c r="DF115"/>
      <c r="DG115"/>
    </row>
    <row r="116" spans="41:111" x14ac:dyDescent="0.3">
      <c r="AO116" s="39"/>
      <c r="AP116" s="39"/>
      <c r="CG116" s="38">
        <v>110</v>
      </c>
      <c r="CH116" s="35">
        <f t="shared" si="8"/>
        <v>0</v>
      </c>
      <c r="CI116" s="35" t="str">
        <f>IF(tblTrazabilidad[[#This Row],[Código]]=0,"",IFERROR(IF(SEARCH("JM",tblTrazabilidad[[#This Row],[Código]])&gt;0,"Juego de pesas",),"Pesa"))</f>
        <v/>
      </c>
      <c r="CJ116" s="35" t="str">
        <f>IFERROR(VLOOKUP($CH116,tblBD_PatronMasa[[Código Patrón]:[mN-(mpe–U95)]],2,FALSE),"")</f>
        <v/>
      </c>
      <c r="CK116" s="35" t="str">
        <f>IFERROR(VLOOKUP($CH116,tblBD_PatronMasa[[Código Patrón]:[mN-(mpe–U95)]],13,FALSE),"")</f>
        <v/>
      </c>
      <c r="CL116" s="34" t="str">
        <f>IF(tblTrazabilidad[[#This Row],[Clase]]="F2",IFERROR(IF(VLOOKUP($CH116,tblBD_PatronMasa[[Código Patrón]:[mN-(mpe–U95)]],12,FALSE)=0,"",VLOOKUP($CH116,tblBD_PatronMasa[[Código Patrón]:[mN-(mpe–U95)]],12,FALSE)+731),""),IF(tblTrazabilidad[[#This Row],[Clase]]="F1",IFERROR(IF(VLOOKUP($CH116,tblBD_PatronMasa[[Código Patrón]:[mN-(mpe–U95)]],12,FALSE)=0,"",VLOOKUP($CH116,tblBD_PatronMasa[[Código Patrón]:[mN-(mpe–U95)]],12,FALSE)+731),""),IFERROR(IF(VLOOKUP($CH116,tblBD_PatronMasa[[Código Patrón]:[mN-(mpe–U95)]],12,FALSE)=0,"",VLOOKUP($CH116,tblBD_PatronMasa[[Código Patrón]:[mN-(mpe–U95)]],12,FALSE)+366),"")))</f>
        <v/>
      </c>
      <c r="CM116" s="33" t="str">
        <f>IFERROR(VLOOKUP($CH116,tblBD_PatronMasa[[Código Patrón]:[mN-(mpe–U95)]],3,FALSE),"")</f>
        <v/>
      </c>
      <c r="CS116" s="32"/>
      <c r="CU116"/>
      <c r="DC116" s="1">
        <v>10</v>
      </c>
      <c r="DD116" s="1"/>
      <c r="DF116"/>
      <c r="DG116"/>
    </row>
    <row r="117" spans="41:111" x14ac:dyDescent="0.3">
      <c r="AO117" s="39"/>
      <c r="AP117" s="39"/>
      <c r="CG117" s="38">
        <v>111</v>
      </c>
      <c r="CH117" s="35">
        <f t="shared" si="8"/>
        <v>0</v>
      </c>
      <c r="CI117" s="35" t="str">
        <f>IF(tblTrazabilidad[[#This Row],[Código]]=0,"",IFERROR(IF(SEARCH("JM",tblTrazabilidad[[#This Row],[Código]])&gt;0,"Juego de pesas",),"Pesa"))</f>
        <v/>
      </c>
      <c r="CJ117" s="35" t="str">
        <f>IFERROR(VLOOKUP($CH117,tblBD_PatronMasa[[Código Patrón]:[mN-(mpe–U95)]],2,FALSE),"")</f>
        <v/>
      </c>
      <c r="CK117" s="35" t="str">
        <f>IFERROR(VLOOKUP($CH117,tblBD_PatronMasa[[Código Patrón]:[mN-(mpe–U95)]],13,FALSE),"")</f>
        <v/>
      </c>
      <c r="CL117" s="34" t="str">
        <f>IF(tblTrazabilidad[[#This Row],[Clase]]="F2",IFERROR(IF(VLOOKUP($CH117,tblBD_PatronMasa[[Código Patrón]:[mN-(mpe–U95)]],12,FALSE)=0,"",VLOOKUP($CH117,tblBD_PatronMasa[[Código Patrón]:[mN-(mpe–U95)]],12,FALSE)+731),""),IF(tblTrazabilidad[[#This Row],[Clase]]="F1",IFERROR(IF(VLOOKUP($CH117,tblBD_PatronMasa[[Código Patrón]:[mN-(mpe–U95)]],12,FALSE)=0,"",VLOOKUP($CH117,tblBD_PatronMasa[[Código Patrón]:[mN-(mpe–U95)]],12,FALSE)+731),""),IFERROR(IF(VLOOKUP($CH117,tblBD_PatronMasa[[Código Patrón]:[mN-(mpe–U95)]],12,FALSE)=0,"",VLOOKUP($CH117,tblBD_PatronMasa[[Código Patrón]:[mN-(mpe–U95)]],12,FALSE)+366),"")))</f>
        <v/>
      </c>
      <c r="CM117" s="33" t="str">
        <f>IFERROR(VLOOKUP($CH117,tblBD_PatronMasa[[Código Patrón]:[mN-(mpe–U95)]],3,FALSE),"")</f>
        <v/>
      </c>
      <c r="CS117" s="32"/>
      <c r="CU117"/>
      <c r="DC117" s="1"/>
      <c r="DD117" s="1"/>
      <c r="DF117"/>
      <c r="DG117"/>
    </row>
    <row r="118" spans="41:111" x14ac:dyDescent="0.3">
      <c r="AO118" s="39"/>
      <c r="AP118" s="39"/>
      <c r="CG118" s="38">
        <v>112</v>
      </c>
      <c r="CH118" s="35">
        <f t="shared" si="8"/>
        <v>0</v>
      </c>
      <c r="CI118" s="35" t="str">
        <f>IF(tblTrazabilidad[[#This Row],[Código]]=0,"",IFERROR(IF(SEARCH("JM",tblTrazabilidad[[#This Row],[Código]])&gt;0,"Juego de pesas",),"Pesa"))</f>
        <v/>
      </c>
      <c r="CJ118" s="35" t="str">
        <f>IFERROR(VLOOKUP($CH118,tblBD_PatronMasa[[Código Patrón]:[mN-(mpe–U95)]],2,FALSE),"")</f>
        <v/>
      </c>
      <c r="CK118" s="35" t="str">
        <f>IFERROR(VLOOKUP($CH118,tblBD_PatronMasa[[Código Patrón]:[mN-(mpe–U95)]],13,FALSE),"")</f>
        <v/>
      </c>
      <c r="CL118" s="34" t="str">
        <f>IF(tblTrazabilidad[[#This Row],[Clase]]="F2",IFERROR(IF(VLOOKUP($CH118,tblBD_PatronMasa[[Código Patrón]:[mN-(mpe–U95)]],12,FALSE)=0,"",VLOOKUP($CH118,tblBD_PatronMasa[[Código Patrón]:[mN-(mpe–U95)]],12,FALSE)+731),""),IF(tblTrazabilidad[[#This Row],[Clase]]="F1",IFERROR(IF(VLOOKUP($CH118,tblBD_PatronMasa[[Código Patrón]:[mN-(mpe–U95)]],12,FALSE)=0,"",VLOOKUP($CH118,tblBD_PatronMasa[[Código Patrón]:[mN-(mpe–U95)]],12,FALSE)+731),""),IFERROR(IF(VLOOKUP($CH118,tblBD_PatronMasa[[Código Patrón]:[mN-(mpe–U95)]],12,FALSE)=0,"",VLOOKUP($CH118,tblBD_PatronMasa[[Código Patrón]:[mN-(mpe–U95)]],12,FALSE)+366),"")))</f>
        <v/>
      </c>
      <c r="CM118" s="33" t="str">
        <f>IFERROR(VLOOKUP($CH118,tblBD_PatronMasa[[Código Patrón]:[mN-(mpe–U95)]],3,FALSE),"")</f>
        <v/>
      </c>
      <c r="CS118" s="32"/>
      <c r="CU118"/>
      <c r="DC118" s="1" t="s">
        <v>112</v>
      </c>
      <c r="DD118" s="1"/>
      <c r="DF118"/>
      <c r="DG118"/>
    </row>
    <row r="119" spans="41:111" x14ac:dyDescent="0.3">
      <c r="AO119" s="39"/>
      <c r="AP119" s="39"/>
      <c r="CG119" s="38">
        <v>113</v>
      </c>
      <c r="CH119" s="35">
        <f t="shared" si="8"/>
        <v>0</v>
      </c>
      <c r="CI119" s="35" t="str">
        <f>IF(tblTrazabilidad[[#This Row],[Código]]=0,"",IFERROR(IF(SEARCH("JM",tblTrazabilidad[[#This Row],[Código]])&gt;0,"Juego de pesas",),"Pesa"))</f>
        <v/>
      </c>
      <c r="CJ119" s="35" t="str">
        <f>IFERROR(VLOOKUP($CH119,tblBD_PatronMasa[[Código Patrón]:[mN-(mpe–U95)]],2,FALSE),"")</f>
        <v/>
      </c>
      <c r="CK119" s="35" t="str">
        <f>IFERROR(VLOOKUP($CH119,tblBD_PatronMasa[[Código Patrón]:[mN-(mpe–U95)]],13,FALSE),"")</f>
        <v/>
      </c>
      <c r="CL119" s="34" t="str">
        <f>IF(tblTrazabilidad[[#This Row],[Clase]]="F2",IFERROR(IF(VLOOKUP($CH119,tblBD_PatronMasa[[Código Patrón]:[mN-(mpe–U95)]],12,FALSE)=0,"",VLOOKUP($CH119,tblBD_PatronMasa[[Código Patrón]:[mN-(mpe–U95)]],12,FALSE)+731),""),IF(tblTrazabilidad[[#This Row],[Clase]]="F1",IFERROR(IF(VLOOKUP($CH119,tblBD_PatronMasa[[Código Patrón]:[mN-(mpe–U95)]],12,FALSE)=0,"",VLOOKUP($CH119,tblBD_PatronMasa[[Código Patrón]:[mN-(mpe–U95)]],12,FALSE)+731),""),IFERROR(IF(VLOOKUP($CH119,tblBD_PatronMasa[[Código Patrón]:[mN-(mpe–U95)]],12,FALSE)=0,"",VLOOKUP($CH119,tblBD_PatronMasa[[Código Patrón]:[mN-(mpe–U95)]],12,FALSE)+366),"")))</f>
        <v/>
      </c>
      <c r="CM119" s="33" t="str">
        <f>IFERROR(VLOOKUP($CH119,tblBD_PatronMasa[[Código Patrón]:[mN-(mpe–U95)]],3,FALSE),"")</f>
        <v/>
      </c>
      <c r="CS119" s="32"/>
      <c r="CU119"/>
      <c r="DC119" s="1" t="s">
        <v>111</v>
      </c>
      <c r="DD119" s="1"/>
      <c r="DF119"/>
      <c r="DG119"/>
    </row>
    <row r="120" spans="41:111" x14ac:dyDescent="0.3">
      <c r="AO120" s="39"/>
      <c r="AP120" s="39"/>
      <c r="CG120" s="38">
        <v>114</v>
      </c>
      <c r="CH120" s="35">
        <f t="shared" si="8"/>
        <v>0</v>
      </c>
      <c r="CI120" s="35" t="str">
        <f>IF(tblTrazabilidad[[#This Row],[Código]]=0,"",IFERROR(IF(SEARCH("JM",tblTrazabilidad[[#This Row],[Código]])&gt;0,"Juego de pesas",),"Pesa"))</f>
        <v/>
      </c>
      <c r="CJ120" s="35" t="str">
        <f>IFERROR(VLOOKUP($CH120,tblBD_PatronMasa[[Código Patrón]:[mN-(mpe–U95)]],2,FALSE),"")</f>
        <v/>
      </c>
      <c r="CK120" s="35" t="str">
        <f>IFERROR(VLOOKUP($CH120,tblBD_PatronMasa[[Código Patrón]:[mN-(mpe–U95)]],13,FALSE),"")</f>
        <v/>
      </c>
      <c r="CL120" s="34" t="str">
        <f>IF(tblTrazabilidad[[#This Row],[Clase]]="F2",IFERROR(IF(VLOOKUP($CH120,tblBD_PatronMasa[[Código Patrón]:[mN-(mpe–U95)]],12,FALSE)=0,"",VLOOKUP($CH120,tblBD_PatronMasa[[Código Patrón]:[mN-(mpe–U95)]],12,FALSE)+731),""),IF(tblTrazabilidad[[#This Row],[Clase]]="F1",IFERROR(IF(VLOOKUP($CH120,tblBD_PatronMasa[[Código Patrón]:[mN-(mpe–U95)]],12,FALSE)=0,"",VLOOKUP($CH120,tblBD_PatronMasa[[Código Patrón]:[mN-(mpe–U95)]],12,FALSE)+731),""),IFERROR(IF(VLOOKUP($CH120,tblBD_PatronMasa[[Código Patrón]:[mN-(mpe–U95)]],12,FALSE)=0,"",VLOOKUP($CH120,tblBD_PatronMasa[[Código Patrón]:[mN-(mpe–U95)]],12,FALSE)+366),"")))</f>
        <v/>
      </c>
      <c r="CM120" s="33" t="str">
        <f>IFERROR(VLOOKUP($CH120,tblBD_PatronMasa[[Código Patrón]:[mN-(mpe–U95)]],3,FALSE),"")</f>
        <v/>
      </c>
      <c r="CS120" s="32"/>
      <c r="CU120"/>
      <c r="DC120" s="1" t="s">
        <v>110</v>
      </c>
      <c r="DD120" s="1"/>
      <c r="DF120"/>
      <c r="DG120"/>
    </row>
    <row r="121" spans="41:111" x14ac:dyDescent="0.3">
      <c r="AO121" s="39"/>
      <c r="AP121" s="39"/>
      <c r="CG121" s="38">
        <v>115</v>
      </c>
      <c r="CH121" s="35">
        <f t="shared" si="8"/>
        <v>0</v>
      </c>
      <c r="CI121" s="35" t="str">
        <f>IF(tblTrazabilidad[[#This Row],[Código]]=0,"",IFERROR(IF(SEARCH("JM",tblTrazabilidad[[#This Row],[Código]])&gt;0,"Juego de pesas",),"Pesa"))</f>
        <v/>
      </c>
      <c r="CJ121" s="35" t="str">
        <f>IFERROR(VLOOKUP($CH121,tblBD_PatronMasa[[Código Patrón]:[mN-(mpe–U95)]],2,FALSE),"")</f>
        <v/>
      </c>
      <c r="CK121" s="35" t="str">
        <f>IFERROR(VLOOKUP($CH121,tblBD_PatronMasa[[Código Patrón]:[mN-(mpe–U95)]],13,FALSE),"")</f>
        <v/>
      </c>
      <c r="CL121" s="34" t="str">
        <f>IF(tblTrazabilidad[[#This Row],[Clase]]="F2",IFERROR(IF(VLOOKUP($CH121,tblBD_PatronMasa[[Código Patrón]:[mN-(mpe–U95)]],12,FALSE)=0,"",VLOOKUP($CH121,tblBD_PatronMasa[[Código Patrón]:[mN-(mpe–U95)]],12,FALSE)+731),""),IF(tblTrazabilidad[[#This Row],[Clase]]="F1",IFERROR(IF(VLOOKUP($CH121,tblBD_PatronMasa[[Código Patrón]:[mN-(mpe–U95)]],12,FALSE)=0,"",VLOOKUP($CH121,tblBD_PatronMasa[[Código Patrón]:[mN-(mpe–U95)]],12,FALSE)+731),""),IFERROR(IF(VLOOKUP($CH121,tblBD_PatronMasa[[Código Patrón]:[mN-(mpe–U95)]],12,FALSE)=0,"",VLOOKUP($CH121,tblBD_PatronMasa[[Código Patrón]:[mN-(mpe–U95)]],12,FALSE)+366),"")))</f>
        <v/>
      </c>
      <c r="CM121" s="33" t="str">
        <f>IFERROR(VLOOKUP($CH121,tblBD_PatronMasa[[Código Patrón]:[mN-(mpe–U95)]],3,FALSE),"")</f>
        <v/>
      </c>
      <c r="CS121" s="32"/>
      <c r="CU121"/>
      <c r="DC121" s="1"/>
      <c r="DD121" s="1"/>
      <c r="DF121"/>
      <c r="DG121"/>
    </row>
    <row r="122" spans="41:111" x14ac:dyDescent="0.3">
      <c r="AO122" s="39"/>
      <c r="AP122" s="39"/>
      <c r="CG122" s="38">
        <v>116</v>
      </c>
      <c r="CH122" s="35">
        <f t="shared" si="8"/>
        <v>0</v>
      </c>
      <c r="CI122" s="35" t="str">
        <f>IF(tblTrazabilidad[[#This Row],[Código]]=0,"",IFERROR(IF(SEARCH("JM",tblTrazabilidad[[#This Row],[Código]])&gt;0,"Juego de pesas",),"Pesa"))</f>
        <v/>
      </c>
      <c r="CJ122" s="35" t="str">
        <f>IFERROR(VLOOKUP($CH122,tblBD_PatronMasa[[Código Patrón]:[mN-(mpe–U95)]],2,FALSE),"")</f>
        <v/>
      </c>
      <c r="CK122" s="35" t="str">
        <f>IFERROR(VLOOKUP($CH122,tblBD_PatronMasa[[Código Patrón]:[mN-(mpe–U95)]],13,FALSE),"")</f>
        <v/>
      </c>
      <c r="CL122" s="34" t="str">
        <f>IF(tblTrazabilidad[[#This Row],[Clase]]="F2",IFERROR(IF(VLOOKUP($CH122,tblBD_PatronMasa[[Código Patrón]:[mN-(mpe–U95)]],12,FALSE)=0,"",VLOOKUP($CH122,tblBD_PatronMasa[[Código Patrón]:[mN-(mpe–U95)]],12,FALSE)+731),""),IF(tblTrazabilidad[[#This Row],[Clase]]="F1",IFERROR(IF(VLOOKUP($CH122,tblBD_PatronMasa[[Código Patrón]:[mN-(mpe–U95)]],12,FALSE)=0,"",VLOOKUP($CH122,tblBD_PatronMasa[[Código Patrón]:[mN-(mpe–U95)]],12,FALSE)+731),""),IFERROR(IF(VLOOKUP($CH122,tblBD_PatronMasa[[Código Patrón]:[mN-(mpe–U95)]],12,FALSE)=0,"",VLOOKUP($CH122,tblBD_PatronMasa[[Código Patrón]:[mN-(mpe–U95)]],12,FALSE)+366),"")))</f>
        <v/>
      </c>
      <c r="CM122" s="33" t="str">
        <f>IFERROR(VLOOKUP($CH122,tblBD_PatronMasa[[Código Patrón]:[mN-(mpe–U95)]],3,FALSE),"")</f>
        <v/>
      </c>
      <c r="CS122" s="32"/>
      <c r="CU122"/>
      <c r="DC122" s="1" t="s">
        <v>109</v>
      </c>
      <c r="DD122" s="1"/>
      <c r="DF122"/>
      <c r="DG122"/>
    </row>
    <row r="123" spans="41:111" x14ac:dyDescent="0.3">
      <c r="AO123" s="39"/>
      <c r="AP123" s="39"/>
      <c r="CG123" s="38">
        <v>117</v>
      </c>
      <c r="CH123" s="35">
        <f t="shared" si="8"/>
        <v>0</v>
      </c>
      <c r="CI123" s="35" t="str">
        <f>IF(tblTrazabilidad[[#This Row],[Código]]=0,"",IFERROR(IF(SEARCH("JM",tblTrazabilidad[[#This Row],[Código]])&gt;0,"Juego de pesas",),"Pesa"))</f>
        <v/>
      </c>
      <c r="CJ123" s="35" t="str">
        <f>IFERROR(VLOOKUP($CH123,tblBD_PatronMasa[[Código Patrón]:[mN-(mpe–U95)]],2,FALSE),"")</f>
        <v/>
      </c>
      <c r="CK123" s="35" t="str">
        <f>IFERROR(VLOOKUP($CH123,tblBD_PatronMasa[[Código Patrón]:[mN-(mpe–U95)]],13,FALSE),"")</f>
        <v/>
      </c>
      <c r="CL123" s="34" t="str">
        <f>IF(tblTrazabilidad[[#This Row],[Clase]]="F2",IFERROR(IF(VLOOKUP($CH123,tblBD_PatronMasa[[Código Patrón]:[mN-(mpe–U95)]],12,FALSE)=0,"",VLOOKUP($CH123,tblBD_PatronMasa[[Código Patrón]:[mN-(mpe–U95)]],12,FALSE)+731),""),IF(tblTrazabilidad[[#This Row],[Clase]]="F1",IFERROR(IF(VLOOKUP($CH123,tblBD_PatronMasa[[Código Patrón]:[mN-(mpe–U95)]],12,FALSE)=0,"",VLOOKUP($CH123,tblBD_PatronMasa[[Código Patrón]:[mN-(mpe–U95)]],12,FALSE)+731),""),IFERROR(IF(VLOOKUP($CH123,tblBD_PatronMasa[[Código Patrón]:[mN-(mpe–U95)]],12,FALSE)=0,"",VLOOKUP($CH123,tblBD_PatronMasa[[Código Patrón]:[mN-(mpe–U95)]],12,FALSE)+366),"")))</f>
        <v/>
      </c>
      <c r="CM123" s="33" t="str">
        <f>IFERROR(VLOOKUP($CH123,tblBD_PatronMasa[[Código Patrón]:[mN-(mpe–U95)]],3,FALSE),"")</f>
        <v/>
      </c>
      <c r="CS123" s="32"/>
      <c r="CU123"/>
      <c r="DC123" s="1" t="s">
        <v>108</v>
      </c>
      <c r="DD123" s="1"/>
      <c r="DF123"/>
      <c r="DG123"/>
    </row>
    <row r="124" spans="41:111" x14ac:dyDescent="0.3">
      <c r="AO124" s="39"/>
      <c r="AP124" s="39"/>
      <c r="CG124" s="38">
        <v>118</v>
      </c>
      <c r="CH124" s="35">
        <f t="shared" si="8"/>
        <v>0</v>
      </c>
      <c r="CI124" s="35" t="str">
        <f>IF(tblTrazabilidad[[#This Row],[Código]]=0,"",IFERROR(IF(SEARCH("JM",tblTrazabilidad[[#This Row],[Código]])&gt;0,"Juego de pesas",),"Pesa"))</f>
        <v/>
      </c>
      <c r="CJ124" s="35" t="str">
        <f>IFERROR(VLOOKUP($CH124,tblBD_PatronMasa[[Código Patrón]:[mN-(mpe–U95)]],2,FALSE),"")</f>
        <v/>
      </c>
      <c r="CK124" s="35" t="str">
        <f>IFERROR(VLOOKUP($CH124,tblBD_PatronMasa[[Código Patrón]:[mN-(mpe–U95)]],13,FALSE),"")</f>
        <v/>
      </c>
      <c r="CL124" s="34" t="str">
        <f>IF(tblTrazabilidad[[#This Row],[Clase]]="F2",IFERROR(IF(VLOOKUP($CH124,tblBD_PatronMasa[[Código Patrón]:[mN-(mpe–U95)]],12,FALSE)=0,"",VLOOKUP($CH124,tblBD_PatronMasa[[Código Patrón]:[mN-(mpe–U95)]],12,FALSE)+731),""),IF(tblTrazabilidad[[#This Row],[Clase]]="F1",IFERROR(IF(VLOOKUP($CH124,tblBD_PatronMasa[[Código Patrón]:[mN-(mpe–U95)]],12,FALSE)=0,"",VLOOKUP($CH124,tblBD_PatronMasa[[Código Patrón]:[mN-(mpe–U95)]],12,FALSE)+731),""),IFERROR(IF(VLOOKUP($CH124,tblBD_PatronMasa[[Código Patrón]:[mN-(mpe–U95)]],12,FALSE)=0,"",VLOOKUP($CH124,tblBD_PatronMasa[[Código Patrón]:[mN-(mpe–U95)]],12,FALSE)+366),"")))</f>
        <v/>
      </c>
      <c r="CM124" s="33" t="str">
        <f>IFERROR(VLOOKUP($CH124,tblBD_PatronMasa[[Código Patrón]:[mN-(mpe–U95)]],3,FALSE),"")</f>
        <v/>
      </c>
      <c r="CS124" s="32"/>
      <c r="CU124"/>
      <c r="DC124" s="1"/>
      <c r="DD124" s="1"/>
      <c r="DF124"/>
      <c r="DG124"/>
    </row>
    <row r="125" spans="41:111" x14ac:dyDescent="0.3">
      <c r="CG125" s="38">
        <v>119</v>
      </c>
      <c r="CH125" s="35">
        <f t="shared" si="8"/>
        <v>0</v>
      </c>
      <c r="CI125" s="35" t="str">
        <f>IF(tblTrazabilidad[[#This Row],[Código]]=0,"",IFERROR(IF(SEARCH("JM",tblTrazabilidad[[#This Row],[Código]])&gt;0,"Juego de pesas",),"Pesa"))</f>
        <v/>
      </c>
      <c r="CJ125" s="35" t="str">
        <f>IFERROR(VLOOKUP($CH125,tblBD_PatronMasa[[Código Patrón]:[mN-(mpe–U95)]],2,FALSE),"")</f>
        <v/>
      </c>
      <c r="CK125" s="35" t="str">
        <f>IFERROR(VLOOKUP($CH125,tblBD_PatronMasa[[Código Patrón]:[mN-(mpe–U95)]],13,FALSE),"")</f>
        <v/>
      </c>
      <c r="CL125" s="34" t="str">
        <f>IF(tblTrazabilidad[[#This Row],[Clase]]="F2",IFERROR(IF(VLOOKUP($CH125,tblBD_PatronMasa[[Código Patrón]:[mN-(mpe–U95)]],12,FALSE)=0,"",VLOOKUP($CH125,tblBD_PatronMasa[[Código Patrón]:[mN-(mpe–U95)]],12,FALSE)+731),""),IF(tblTrazabilidad[[#This Row],[Clase]]="F1",IFERROR(IF(VLOOKUP($CH125,tblBD_PatronMasa[[Código Patrón]:[mN-(mpe–U95)]],12,FALSE)=0,"",VLOOKUP($CH125,tblBD_PatronMasa[[Código Patrón]:[mN-(mpe–U95)]],12,FALSE)+731),""),IFERROR(IF(VLOOKUP($CH125,tblBD_PatronMasa[[Código Patrón]:[mN-(mpe–U95)]],12,FALSE)=0,"",VLOOKUP($CH125,tblBD_PatronMasa[[Código Patrón]:[mN-(mpe–U95)]],12,FALSE)+366),"")))</f>
        <v/>
      </c>
      <c r="CM125" s="33" t="str">
        <f>IFERROR(VLOOKUP($CH125,tblBD_PatronMasa[[Código Patrón]:[mN-(mpe–U95)]],3,FALSE),"")</f>
        <v/>
      </c>
      <c r="CS125" s="32"/>
      <c r="CU125"/>
      <c r="DC125" s="1"/>
      <c r="DD125" s="1"/>
      <c r="DF125"/>
      <c r="DG125"/>
    </row>
    <row r="126" spans="41:111" x14ac:dyDescent="0.3">
      <c r="CG126" s="38">
        <v>120</v>
      </c>
      <c r="CH126" s="35">
        <f t="shared" si="8"/>
        <v>0</v>
      </c>
      <c r="CI126" s="35" t="str">
        <f>IF(tblTrazabilidad[[#This Row],[Código]]=0,"",IFERROR(IF(SEARCH("JM",tblTrazabilidad[[#This Row],[Código]])&gt;0,"Juego de pesas",),"Pesa"))</f>
        <v/>
      </c>
      <c r="CJ126" s="35" t="str">
        <f>IFERROR(VLOOKUP($CH126,tblBD_PatronMasa[[Código Patrón]:[mN-(mpe–U95)]],2,FALSE),"")</f>
        <v/>
      </c>
      <c r="CK126" s="35" t="str">
        <f>IFERROR(VLOOKUP($CH126,tblBD_PatronMasa[[Código Patrón]:[mN-(mpe–U95)]],13,FALSE),"")</f>
        <v/>
      </c>
      <c r="CL126" s="34" t="str">
        <f>IF(tblTrazabilidad[[#This Row],[Clase]]="F2",IFERROR(IF(VLOOKUP($CH126,tblBD_PatronMasa[[Código Patrón]:[mN-(mpe–U95)]],12,FALSE)=0,"",VLOOKUP($CH126,tblBD_PatronMasa[[Código Patrón]:[mN-(mpe–U95)]],12,FALSE)+731),""),IF(tblTrazabilidad[[#This Row],[Clase]]="F1",IFERROR(IF(VLOOKUP($CH126,tblBD_PatronMasa[[Código Patrón]:[mN-(mpe–U95)]],12,FALSE)=0,"",VLOOKUP($CH126,tblBD_PatronMasa[[Código Patrón]:[mN-(mpe–U95)]],12,FALSE)+731),""),IFERROR(IF(VLOOKUP($CH126,tblBD_PatronMasa[[Código Patrón]:[mN-(mpe–U95)]],12,FALSE)=0,"",VLOOKUP($CH126,tblBD_PatronMasa[[Código Patrón]:[mN-(mpe–U95)]],12,FALSE)+366),"")))</f>
        <v/>
      </c>
      <c r="CM126" s="33" t="str">
        <f>IFERROR(VLOOKUP($CH126,tblBD_PatronMasa[[Código Patrón]:[mN-(mpe–U95)]],3,FALSE),"")</f>
        <v/>
      </c>
      <c r="CS126" s="32"/>
      <c r="CU126"/>
      <c r="DC126" s="1"/>
      <c r="DD126" s="1"/>
      <c r="DF126"/>
      <c r="DG126"/>
    </row>
    <row r="127" spans="41:111" x14ac:dyDescent="0.3">
      <c r="CG127" s="38">
        <v>121</v>
      </c>
      <c r="CH127" s="35">
        <f t="shared" si="8"/>
        <v>0</v>
      </c>
      <c r="CI127" s="35" t="str">
        <f>IF(tblTrazabilidad[[#This Row],[Código]]=0,"",IFERROR(IF(SEARCH("JM",tblTrazabilidad[[#This Row],[Código]])&gt;0,"Juego de pesas",),"Pesa"))</f>
        <v/>
      </c>
      <c r="CJ127" s="35" t="str">
        <f>IFERROR(VLOOKUP($CH127,tblBD_PatronMasa[[Código Patrón]:[mN-(mpe–U95)]],2,FALSE),"")</f>
        <v/>
      </c>
      <c r="CK127" s="35" t="str">
        <f>IFERROR(VLOOKUP($CH127,tblBD_PatronMasa[[Código Patrón]:[mN-(mpe–U95)]],13,FALSE),"")</f>
        <v/>
      </c>
      <c r="CL127" s="34" t="str">
        <f>IF(tblTrazabilidad[[#This Row],[Clase]]="F2",IFERROR(IF(VLOOKUP($CH127,tblBD_PatronMasa[[Código Patrón]:[mN-(mpe–U95)]],12,FALSE)=0,"",VLOOKUP($CH127,tblBD_PatronMasa[[Código Patrón]:[mN-(mpe–U95)]],12,FALSE)+731),""),IF(tblTrazabilidad[[#This Row],[Clase]]="F1",IFERROR(IF(VLOOKUP($CH127,tblBD_PatronMasa[[Código Patrón]:[mN-(mpe–U95)]],12,FALSE)=0,"",VLOOKUP($CH127,tblBD_PatronMasa[[Código Patrón]:[mN-(mpe–U95)]],12,FALSE)+731),""),IFERROR(IF(VLOOKUP($CH127,tblBD_PatronMasa[[Código Patrón]:[mN-(mpe–U95)]],12,FALSE)=0,"",VLOOKUP($CH127,tblBD_PatronMasa[[Código Patrón]:[mN-(mpe–U95)]],12,FALSE)+366),"")))</f>
        <v/>
      </c>
      <c r="CM127" s="33" t="str">
        <f>IFERROR(VLOOKUP($CH127,tblBD_PatronMasa[[Código Patrón]:[mN-(mpe–U95)]],3,FALSE),"")</f>
        <v/>
      </c>
      <c r="CS127" s="32"/>
      <c r="CU127"/>
      <c r="DC127" s="1"/>
      <c r="DD127" s="1"/>
      <c r="DF127"/>
      <c r="DG127"/>
    </row>
    <row r="128" spans="41:111" x14ac:dyDescent="0.3">
      <c r="AV128" s="39"/>
      <c r="AW128" s="39"/>
      <c r="AX128" s="39"/>
      <c r="AY128" s="39"/>
      <c r="AZ128" s="39"/>
      <c r="BA128" s="39"/>
      <c r="BB128" s="39"/>
      <c r="BC128" s="39"/>
      <c r="BD128" s="39"/>
      <c r="BE128" s="39"/>
      <c r="BF128" s="39"/>
      <c r="BG128" s="39"/>
      <c r="BH128" s="39"/>
      <c r="BI128" s="39"/>
      <c r="BJ128" s="39"/>
      <c r="BK128" s="39"/>
      <c r="BL128" s="39"/>
      <c r="BM128" s="39"/>
      <c r="BN128" s="39"/>
      <c r="BO128" s="39"/>
      <c r="BP128" s="39"/>
      <c r="CG128" s="38">
        <v>122</v>
      </c>
      <c r="CH128" s="35">
        <f t="shared" si="8"/>
        <v>0</v>
      </c>
      <c r="CI128" s="35" t="str">
        <f>IF(tblTrazabilidad[[#This Row],[Código]]=0,"",IFERROR(IF(SEARCH("JM",tblTrazabilidad[[#This Row],[Código]])&gt;0,"Juego de pesas",),"Pesa"))</f>
        <v/>
      </c>
      <c r="CJ128" s="35" t="str">
        <f>IFERROR(VLOOKUP($CH128,tblBD_PatronMasa[[Código Patrón]:[mN-(mpe–U95)]],2,FALSE),"")</f>
        <v/>
      </c>
      <c r="CK128" s="35" t="str">
        <f>IFERROR(VLOOKUP($CH128,tblBD_PatronMasa[[Código Patrón]:[mN-(mpe–U95)]],13,FALSE),"")</f>
        <v/>
      </c>
      <c r="CL128" s="34" t="str">
        <f>IF(tblTrazabilidad[[#This Row],[Clase]]="F2",IFERROR(IF(VLOOKUP($CH128,tblBD_PatronMasa[[Código Patrón]:[mN-(mpe–U95)]],12,FALSE)=0,"",VLOOKUP($CH128,tblBD_PatronMasa[[Código Patrón]:[mN-(mpe–U95)]],12,FALSE)+731),""),IF(tblTrazabilidad[[#This Row],[Clase]]="F1",IFERROR(IF(VLOOKUP($CH128,tblBD_PatronMasa[[Código Patrón]:[mN-(mpe–U95)]],12,FALSE)=0,"",VLOOKUP($CH128,tblBD_PatronMasa[[Código Patrón]:[mN-(mpe–U95)]],12,FALSE)+731),""),IFERROR(IF(VLOOKUP($CH128,tblBD_PatronMasa[[Código Patrón]:[mN-(mpe–U95)]],12,FALSE)=0,"",VLOOKUP($CH128,tblBD_PatronMasa[[Código Patrón]:[mN-(mpe–U95)]],12,FALSE)+366),"")))</f>
        <v/>
      </c>
      <c r="CM128" s="33" t="str">
        <f>IFERROR(VLOOKUP($CH128,tblBD_PatronMasa[[Código Patrón]:[mN-(mpe–U95)]],3,FALSE),"")</f>
        <v/>
      </c>
      <c r="CS128" s="32"/>
      <c r="CU128"/>
      <c r="DC128" s="1"/>
      <c r="DD128" s="1"/>
      <c r="DF128"/>
      <c r="DG128"/>
    </row>
    <row r="129" spans="48:111" x14ac:dyDescent="0.3">
      <c r="AV129" s="39"/>
      <c r="AW129" s="39"/>
      <c r="AX129" s="39"/>
      <c r="AY129" s="39"/>
      <c r="AZ129" s="39"/>
      <c r="BA129" s="39"/>
      <c r="BB129" s="39"/>
      <c r="BC129" s="39"/>
      <c r="BD129" s="39"/>
      <c r="BE129" s="39"/>
      <c r="BF129" s="39"/>
      <c r="BG129" s="39"/>
      <c r="BH129" s="39"/>
      <c r="BI129" s="39"/>
      <c r="BJ129" s="39"/>
      <c r="BK129" s="39"/>
      <c r="BL129" s="39"/>
      <c r="BM129" s="39"/>
      <c r="BN129" s="39"/>
      <c r="BO129" s="39"/>
      <c r="BP129" s="39"/>
      <c r="CG129" s="38">
        <v>123</v>
      </c>
      <c r="CH129" s="35">
        <f t="shared" si="8"/>
        <v>0</v>
      </c>
      <c r="CI129" s="35" t="str">
        <f>IF(tblTrazabilidad[[#This Row],[Código]]=0,"",IFERROR(IF(SEARCH("JM",tblTrazabilidad[[#This Row],[Código]])&gt;0,"Juego de pesas",),"Pesa"))</f>
        <v/>
      </c>
      <c r="CJ129" s="35" t="str">
        <f>IFERROR(VLOOKUP($CH129,tblBD_PatronMasa[[Código Patrón]:[mN-(mpe–U95)]],2,FALSE),"")</f>
        <v/>
      </c>
      <c r="CK129" s="35" t="str">
        <f>IFERROR(VLOOKUP($CH129,tblBD_PatronMasa[[Código Patrón]:[mN-(mpe–U95)]],13,FALSE),"")</f>
        <v/>
      </c>
      <c r="CL129" s="34" t="str">
        <f>IF(tblTrazabilidad[[#This Row],[Clase]]="F2",IFERROR(IF(VLOOKUP($CH129,tblBD_PatronMasa[[Código Patrón]:[mN-(mpe–U95)]],12,FALSE)=0,"",VLOOKUP($CH129,tblBD_PatronMasa[[Código Patrón]:[mN-(mpe–U95)]],12,FALSE)+731),""),IF(tblTrazabilidad[[#This Row],[Clase]]="F1",IFERROR(IF(VLOOKUP($CH129,tblBD_PatronMasa[[Código Patrón]:[mN-(mpe–U95)]],12,FALSE)=0,"",VLOOKUP($CH129,tblBD_PatronMasa[[Código Patrón]:[mN-(mpe–U95)]],12,FALSE)+731),""),IFERROR(IF(VLOOKUP($CH129,tblBD_PatronMasa[[Código Patrón]:[mN-(mpe–U95)]],12,FALSE)=0,"",VLOOKUP($CH129,tblBD_PatronMasa[[Código Patrón]:[mN-(mpe–U95)]],12,FALSE)+366),"")))</f>
        <v/>
      </c>
      <c r="CM129" s="33" t="str">
        <f>IFERROR(VLOOKUP($CH129,tblBD_PatronMasa[[Código Patrón]:[mN-(mpe–U95)]],3,FALSE),"")</f>
        <v/>
      </c>
      <c r="CS129" s="32"/>
      <c r="CU129"/>
      <c r="DC129" s="1"/>
      <c r="DD129" s="1"/>
      <c r="DF129"/>
      <c r="DG129"/>
    </row>
    <row r="130" spans="48:111" x14ac:dyDescent="0.3">
      <c r="AV130" s="39"/>
      <c r="AW130" s="39"/>
      <c r="AX130" s="39"/>
      <c r="AY130" s="39"/>
      <c r="AZ130" s="39"/>
      <c r="BA130" s="39"/>
      <c r="BB130" s="39"/>
      <c r="BC130" s="39"/>
      <c r="BD130" s="39"/>
      <c r="BE130" s="39"/>
      <c r="BF130" s="39"/>
      <c r="BG130" s="39"/>
      <c r="BH130" s="39"/>
      <c r="BI130" s="39"/>
      <c r="BJ130" s="39"/>
      <c r="BK130" s="39"/>
      <c r="BL130" s="39"/>
      <c r="BM130" s="39"/>
      <c r="BN130" s="39"/>
      <c r="BO130" s="39"/>
      <c r="BP130" s="39"/>
      <c r="CG130" s="38">
        <v>124</v>
      </c>
      <c r="CH130" s="35">
        <f t="shared" si="8"/>
        <v>0</v>
      </c>
      <c r="CI130" s="35" t="str">
        <f>IF(tblTrazabilidad[[#This Row],[Código]]=0,"",IFERROR(IF(SEARCH("JM",tblTrazabilidad[[#This Row],[Código]])&gt;0,"Juego de pesas",),"Pesa"))</f>
        <v/>
      </c>
      <c r="CJ130" s="35" t="str">
        <f>IFERROR(VLOOKUP($CH130,tblBD_PatronMasa[[Código Patrón]:[mN-(mpe–U95)]],2,FALSE),"")</f>
        <v/>
      </c>
      <c r="CK130" s="35" t="str">
        <f>IFERROR(VLOOKUP($CH130,tblBD_PatronMasa[[Código Patrón]:[mN-(mpe–U95)]],13,FALSE),"")</f>
        <v/>
      </c>
      <c r="CL130" s="34" t="str">
        <f>IF(tblTrazabilidad[[#This Row],[Clase]]="F2",IFERROR(IF(VLOOKUP($CH130,tblBD_PatronMasa[[Código Patrón]:[mN-(mpe–U95)]],12,FALSE)=0,"",VLOOKUP($CH130,tblBD_PatronMasa[[Código Patrón]:[mN-(mpe–U95)]],12,FALSE)+731),""),IF(tblTrazabilidad[[#This Row],[Clase]]="F1",IFERROR(IF(VLOOKUP($CH130,tblBD_PatronMasa[[Código Patrón]:[mN-(mpe–U95)]],12,FALSE)=0,"",VLOOKUP($CH130,tblBD_PatronMasa[[Código Patrón]:[mN-(mpe–U95)]],12,FALSE)+731),""),IFERROR(IF(VLOOKUP($CH130,tblBD_PatronMasa[[Código Patrón]:[mN-(mpe–U95)]],12,FALSE)=0,"",VLOOKUP($CH130,tblBD_PatronMasa[[Código Patrón]:[mN-(mpe–U95)]],12,FALSE)+366),"")))</f>
        <v/>
      </c>
      <c r="CM130" s="33" t="str">
        <f>IFERROR(VLOOKUP($CH130,tblBD_PatronMasa[[Código Patrón]:[mN-(mpe–U95)]],3,FALSE),"")</f>
        <v/>
      </c>
      <c r="CS130" s="32"/>
      <c r="CU130"/>
      <c r="DC130" s="1"/>
      <c r="DD130" s="1"/>
      <c r="DF130"/>
      <c r="DG130"/>
    </row>
    <row r="131" spans="48:111" x14ac:dyDescent="0.3">
      <c r="AV131" s="39"/>
      <c r="AW131" s="39"/>
      <c r="AX131" s="39"/>
      <c r="AY131" s="39"/>
      <c r="AZ131" s="39"/>
      <c r="BA131" s="39"/>
      <c r="BB131" s="39"/>
      <c r="BC131" s="39"/>
      <c r="BD131" s="39"/>
      <c r="BE131" s="39"/>
      <c r="BF131" s="39"/>
      <c r="BG131" s="39"/>
      <c r="BH131" s="39"/>
      <c r="BI131" s="39"/>
      <c r="BJ131" s="39"/>
      <c r="BK131" s="39"/>
      <c r="BL131" s="39"/>
      <c r="BM131" s="39"/>
      <c r="BN131" s="39"/>
      <c r="BO131" s="39"/>
      <c r="BP131" s="39"/>
      <c r="CG131" s="38">
        <v>125</v>
      </c>
      <c r="CH131" s="35">
        <f t="shared" si="8"/>
        <v>0</v>
      </c>
      <c r="CI131" s="35" t="str">
        <f>IF(tblTrazabilidad[[#This Row],[Código]]=0,"",IFERROR(IF(SEARCH("JM",tblTrazabilidad[[#This Row],[Código]])&gt;0,"Juego de pesas",),"Pesa"))</f>
        <v/>
      </c>
      <c r="CJ131" s="35" t="str">
        <f>IFERROR(VLOOKUP($CH131,tblBD_PatronMasa[[Código Patrón]:[mN-(mpe–U95)]],2,FALSE),"")</f>
        <v/>
      </c>
      <c r="CK131" s="35" t="str">
        <f>IFERROR(VLOOKUP($CH131,tblBD_PatronMasa[[Código Patrón]:[mN-(mpe–U95)]],13,FALSE),"")</f>
        <v/>
      </c>
      <c r="CL131" s="34" t="str">
        <f>IF(tblTrazabilidad[[#This Row],[Clase]]="F2",IFERROR(IF(VLOOKUP($CH131,tblBD_PatronMasa[[Código Patrón]:[mN-(mpe–U95)]],12,FALSE)=0,"",VLOOKUP($CH131,tblBD_PatronMasa[[Código Patrón]:[mN-(mpe–U95)]],12,FALSE)+731),""),IF(tblTrazabilidad[[#This Row],[Clase]]="F1",IFERROR(IF(VLOOKUP($CH131,tblBD_PatronMasa[[Código Patrón]:[mN-(mpe–U95)]],12,FALSE)=0,"",VLOOKUP($CH131,tblBD_PatronMasa[[Código Patrón]:[mN-(mpe–U95)]],12,FALSE)+731),""),IFERROR(IF(VLOOKUP($CH131,tblBD_PatronMasa[[Código Patrón]:[mN-(mpe–U95)]],12,FALSE)=0,"",VLOOKUP($CH131,tblBD_PatronMasa[[Código Patrón]:[mN-(mpe–U95)]],12,FALSE)+366),"")))</f>
        <v/>
      </c>
      <c r="CM131" s="33" t="str">
        <f>IFERROR(VLOOKUP($CH131,tblBD_PatronMasa[[Código Patrón]:[mN-(mpe–U95)]],3,FALSE),"")</f>
        <v/>
      </c>
      <c r="CS131" s="32"/>
      <c r="CU131"/>
      <c r="DC131" s="1"/>
      <c r="DD131" s="1"/>
      <c r="DF131"/>
      <c r="DG131"/>
    </row>
    <row r="132" spans="48:111" x14ac:dyDescent="0.3">
      <c r="AV132" s="39"/>
      <c r="AW132" s="39"/>
      <c r="AX132" s="39"/>
      <c r="AY132" s="39"/>
      <c r="AZ132" s="39"/>
      <c r="BA132" s="39"/>
      <c r="BB132" s="39"/>
      <c r="BC132" s="39"/>
      <c r="BD132" s="39"/>
      <c r="BE132" s="39"/>
      <c r="BF132" s="39"/>
      <c r="BG132" s="39"/>
      <c r="BH132" s="39"/>
      <c r="BI132" s="39"/>
      <c r="BJ132" s="39"/>
      <c r="BK132" s="39"/>
      <c r="BL132" s="39"/>
      <c r="BM132" s="39"/>
      <c r="BN132" s="39"/>
      <c r="BO132" s="39"/>
      <c r="BP132" s="39"/>
      <c r="CG132" s="38">
        <v>126</v>
      </c>
      <c r="CH132" s="35">
        <f t="shared" si="8"/>
        <v>0</v>
      </c>
      <c r="CI132" s="35" t="str">
        <f>IF(tblTrazabilidad[[#This Row],[Código]]=0,"",IFERROR(IF(SEARCH("JM",tblTrazabilidad[[#This Row],[Código]])&gt;0,"Juego de pesas",),"Pesa"))</f>
        <v/>
      </c>
      <c r="CJ132" s="35" t="str">
        <f>IFERROR(VLOOKUP($CH132,tblBD_PatronMasa[[Código Patrón]:[mN-(mpe–U95)]],2,FALSE),"")</f>
        <v/>
      </c>
      <c r="CK132" s="35" t="str">
        <f>IFERROR(VLOOKUP($CH132,tblBD_PatronMasa[[Código Patrón]:[mN-(mpe–U95)]],13,FALSE),"")</f>
        <v/>
      </c>
      <c r="CL132" s="34" t="str">
        <f>IF(tblTrazabilidad[[#This Row],[Clase]]="F2",IFERROR(IF(VLOOKUP($CH132,tblBD_PatronMasa[[Código Patrón]:[mN-(mpe–U95)]],12,FALSE)=0,"",VLOOKUP($CH132,tblBD_PatronMasa[[Código Patrón]:[mN-(mpe–U95)]],12,FALSE)+731),""),IF(tblTrazabilidad[[#This Row],[Clase]]="F1",IFERROR(IF(VLOOKUP($CH132,tblBD_PatronMasa[[Código Patrón]:[mN-(mpe–U95)]],12,FALSE)=0,"",VLOOKUP($CH132,tblBD_PatronMasa[[Código Patrón]:[mN-(mpe–U95)]],12,FALSE)+731),""),IFERROR(IF(VLOOKUP($CH132,tblBD_PatronMasa[[Código Patrón]:[mN-(mpe–U95)]],12,FALSE)=0,"",VLOOKUP($CH132,tblBD_PatronMasa[[Código Patrón]:[mN-(mpe–U95)]],12,FALSE)+366),"")))</f>
        <v/>
      </c>
      <c r="CM132" s="33" t="str">
        <f>IFERROR(VLOOKUP($CH132,tblBD_PatronMasa[[Código Patrón]:[mN-(mpe–U95)]],3,FALSE),"")</f>
        <v/>
      </c>
      <c r="CS132" s="32"/>
      <c r="CU132"/>
      <c r="DC132" s="1"/>
      <c r="DD132" s="1"/>
      <c r="DF132"/>
      <c r="DG132"/>
    </row>
    <row r="133" spans="48:111" x14ac:dyDescent="0.3">
      <c r="AV133" s="39"/>
      <c r="AW133" s="39"/>
      <c r="AX133" s="39"/>
      <c r="AY133" s="39"/>
      <c r="AZ133" s="39"/>
      <c r="BA133" s="39"/>
      <c r="BB133" s="39"/>
      <c r="BC133" s="39"/>
      <c r="BD133" s="39"/>
      <c r="BE133" s="39"/>
      <c r="BF133" s="39"/>
      <c r="BG133" s="39"/>
      <c r="BH133" s="39"/>
      <c r="BI133" s="39"/>
      <c r="BJ133" s="39"/>
      <c r="BK133" s="39"/>
      <c r="BL133" s="39"/>
      <c r="BM133" s="39"/>
      <c r="BN133" s="39"/>
      <c r="BO133" s="39"/>
      <c r="BP133" s="39"/>
      <c r="CG133" s="38">
        <v>127</v>
      </c>
      <c r="CH133" s="35">
        <f t="shared" si="8"/>
        <v>0</v>
      </c>
      <c r="CI133" s="35" t="str">
        <f>IF(tblTrazabilidad[[#This Row],[Código]]=0,"",IFERROR(IF(SEARCH("JM",tblTrazabilidad[[#This Row],[Código]])&gt;0,"Juego de pesas",),"Pesa"))</f>
        <v/>
      </c>
      <c r="CJ133" s="35" t="str">
        <f>IFERROR(VLOOKUP($CH133,tblBD_PatronMasa[[Código Patrón]:[mN-(mpe–U95)]],2,FALSE),"")</f>
        <v/>
      </c>
      <c r="CK133" s="35" t="str">
        <f>IFERROR(VLOOKUP($CH133,tblBD_PatronMasa[[Código Patrón]:[mN-(mpe–U95)]],13,FALSE),"")</f>
        <v/>
      </c>
      <c r="CL133" s="34" t="str">
        <f>IF(tblTrazabilidad[[#This Row],[Clase]]="F2",IFERROR(IF(VLOOKUP($CH133,tblBD_PatronMasa[[Código Patrón]:[mN-(mpe–U95)]],12,FALSE)=0,"",VLOOKUP($CH133,tblBD_PatronMasa[[Código Patrón]:[mN-(mpe–U95)]],12,FALSE)+731),""),IF(tblTrazabilidad[[#This Row],[Clase]]="F1",IFERROR(IF(VLOOKUP($CH133,tblBD_PatronMasa[[Código Patrón]:[mN-(mpe–U95)]],12,FALSE)=0,"",VLOOKUP($CH133,tblBD_PatronMasa[[Código Patrón]:[mN-(mpe–U95)]],12,FALSE)+731),""),IFERROR(IF(VLOOKUP($CH133,tblBD_PatronMasa[[Código Patrón]:[mN-(mpe–U95)]],12,FALSE)=0,"",VLOOKUP($CH133,tblBD_PatronMasa[[Código Patrón]:[mN-(mpe–U95)]],12,FALSE)+366),"")))</f>
        <v/>
      </c>
      <c r="CM133" s="33" t="str">
        <f>IFERROR(VLOOKUP($CH133,tblBD_PatronMasa[[Código Patrón]:[mN-(mpe–U95)]],3,FALSE),"")</f>
        <v/>
      </c>
      <c r="CS133" s="32"/>
      <c r="CU133"/>
      <c r="DC133" s="1"/>
      <c r="DD133" s="1"/>
      <c r="DF133"/>
      <c r="DG133"/>
    </row>
    <row r="134" spans="48:111" x14ac:dyDescent="0.3">
      <c r="AV134" s="39"/>
      <c r="AW134" s="39"/>
      <c r="AX134" s="39"/>
      <c r="AY134" s="39"/>
      <c r="AZ134" s="39"/>
      <c r="BA134" s="39"/>
      <c r="BB134" s="39"/>
      <c r="BC134" s="39"/>
      <c r="BD134" s="39"/>
      <c r="BE134" s="39"/>
      <c r="BF134" s="39"/>
      <c r="BG134" s="39"/>
      <c r="BH134" s="39"/>
      <c r="BI134" s="39"/>
      <c r="BJ134" s="39"/>
      <c r="BK134" s="39"/>
      <c r="BL134" s="39"/>
      <c r="BM134" s="39"/>
      <c r="BN134" s="39"/>
      <c r="BO134" s="39"/>
      <c r="BP134" s="39"/>
      <c r="CG134" s="38">
        <v>128</v>
      </c>
      <c r="CH134" s="35">
        <f t="shared" si="8"/>
        <v>0</v>
      </c>
      <c r="CI134" s="35" t="str">
        <f>IF(tblTrazabilidad[[#This Row],[Código]]=0,"",IFERROR(IF(SEARCH("JM",tblTrazabilidad[[#This Row],[Código]])&gt;0,"Juego de pesas",),"Pesa"))</f>
        <v/>
      </c>
      <c r="CJ134" s="35" t="str">
        <f>IFERROR(VLOOKUP($CH134,tblBD_PatronMasa[[Código Patrón]:[mN-(mpe–U95)]],2,FALSE),"")</f>
        <v/>
      </c>
      <c r="CK134" s="35" t="str">
        <f>IFERROR(VLOOKUP($CH134,tblBD_PatronMasa[[Código Patrón]:[mN-(mpe–U95)]],13,FALSE),"")</f>
        <v/>
      </c>
      <c r="CL134" s="34" t="str">
        <f>IF(tblTrazabilidad[[#This Row],[Clase]]="F2",IFERROR(IF(VLOOKUP($CH134,tblBD_PatronMasa[[Código Patrón]:[mN-(mpe–U95)]],12,FALSE)=0,"",VLOOKUP($CH134,tblBD_PatronMasa[[Código Patrón]:[mN-(mpe–U95)]],12,FALSE)+731),""),IF(tblTrazabilidad[[#This Row],[Clase]]="F1",IFERROR(IF(VLOOKUP($CH134,tblBD_PatronMasa[[Código Patrón]:[mN-(mpe–U95)]],12,FALSE)=0,"",VLOOKUP($CH134,tblBD_PatronMasa[[Código Patrón]:[mN-(mpe–U95)]],12,FALSE)+731),""),IFERROR(IF(VLOOKUP($CH134,tblBD_PatronMasa[[Código Patrón]:[mN-(mpe–U95)]],12,FALSE)=0,"",VLOOKUP($CH134,tblBD_PatronMasa[[Código Patrón]:[mN-(mpe–U95)]],12,FALSE)+366),"")))</f>
        <v/>
      </c>
      <c r="CM134" s="33" t="str">
        <f>IFERROR(VLOOKUP($CH134,tblBD_PatronMasa[[Código Patrón]:[mN-(mpe–U95)]],3,FALSE),"")</f>
        <v/>
      </c>
      <c r="CS134" s="32"/>
      <c r="CU134"/>
      <c r="DC134" s="1"/>
      <c r="DD134" s="1"/>
      <c r="DF134"/>
      <c r="DG134"/>
    </row>
    <row r="135" spans="48:111" x14ac:dyDescent="0.3">
      <c r="AV135" s="39"/>
      <c r="AW135" s="39"/>
      <c r="AX135" s="39"/>
      <c r="AY135" s="39"/>
      <c r="AZ135" s="39"/>
      <c r="BA135" s="39"/>
      <c r="BB135" s="39"/>
      <c r="BC135" s="39"/>
      <c r="BD135" s="39"/>
      <c r="BE135" s="39"/>
      <c r="BF135" s="39"/>
      <c r="BG135" s="39"/>
      <c r="BH135" s="39"/>
      <c r="BI135" s="39"/>
      <c r="BJ135" s="39"/>
      <c r="BK135" s="39"/>
      <c r="BL135" s="39"/>
      <c r="BM135" s="39"/>
      <c r="BN135" s="39"/>
      <c r="BO135" s="39"/>
      <c r="BP135" s="39"/>
      <c r="CG135" s="38">
        <v>129</v>
      </c>
      <c r="CH135" s="35">
        <f t="shared" si="8"/>
        <v>0</v>
      </c>
      <c r="CI135" s="35" t="str">
        <f>IF(tblTrazabilidad[[#This Row],[Código]]=0,"",IFERROR(IF(SEARCH("JM",tblTrazabilidad[[#This Row],[Código]])&gt;0,"Juego de pesas",),"Pesa"))</f>
        <v/>
      </c>
      <c r="CJ135" s="35" t="str">
        <f>IFERROR(VLOOKUP($CH135,tblBD_PatronMasa[[Código Patrón]:[mN-(mpe–U95)]],2,FALSE),"")</f>
        <v/>
      </c>
      <c r="CK135" s="35" t="str">
        <f>IFERROR(VLOOKUP($CH135,tblBD_PatronMasa[[Código Patrón]:[mN-(mpe–U95)]],13,FALSE),"")</f>
        <v/>
      </c>
      <c r="CL135" s="34" t="str">
        <f>IF(tblTrazabilidad[[#This Row],[Clase]]="F2",IFERROR(IF(VLOOKUP($CH135,tblBD_PatronMasa[[Código Patrón]:[mN-(mpe–U95)]],12,FALSE)=0,"",VLOOKUP($CH135,tblBD_PatronMasa[[Código Patrón]:[mN-(mpe–U95)]],12,FALSE)+731),""),IF(tblTrazabilidad[[#This Row],[Clase]]="F1",IFERROR(IF(VLOOKUP($CH135,tblBD_PatronMasa[[Código Patrón]:[mN-(mpe–U95)]],12,FALSE)=0,"",VLOOKUP($CH135,tblBD_PatronMasa[[Código Patrón]:[mN-(mpe–U95)]],12,FALSE)+731),""),IFERROR(IF(VLOOKUP($CH135,tblBD_PatronMasa[[Código Patrón]:[mN-(mpe–U95)]],12,FALSE)=0,"",VLOOKUP($CH135,tblBD_PatronMasa[[Código Patrón]:[mN-(mpe–U95)]],12,FALSE)+366),"")))</f>
        <v/>
      </c>
      <c r="CM135" s="33" t="str">
        <f>IFERROR(VLOOKUP($CH135,tblBD_PatronMasa[[Código Patrón]:[mN-(mpe–U95)]],3,FALSE),"")</f>
        <v/>
      </c>
      <c r="CS135" s="32"/>
      <c r="CU135"/>
      <c r="DC135" s="1"/>
      <c r="DD135" s="1"/>
      <c r="DF135"/>
      <c r="DG135"/>
    </row>
    <row r="136" spans="48:111" x14ac:dyDescent="0.3">
      <c r="AV136" s="39"/>
      <c r="AW136" s="39"/>
      <c r="AX136" s="39"/>
      <c r="AY136" s="39"/>
      <c r="AZ136" s="39"/>
      <c r="BA136" s="39"/>
      <c r="BB136" s="39"/>
      <c r="BC136" s="39"/>
      <c r="BD136" s="39"/>
      <c r="BE136" s="39"/>
      <c r="BF136" s="39"/>
      <c r="BG136" s="39"/>
      <c r="BH136" s="39"/>
      <c r="BI136" s="39"/>
      <c r="BJ136" s="39"/>
      <c r="BK136" s="39"/>
      <c r="BL136" s="39"/>
      <c r="BM136" s="39"/>
      <c r="BN136" s="39"/>
      <c r="BO136" s="39"/>
      <c r="BP136" s="39"/>
      <c r="CG136" s="38">
        <v>130</v>
      </c>
      <c r="CH136" s="35">
        <f t="shared" si="8"/>
        <v>0</v>
      </c>
      <c r="CI136" s="35" t="str">
        <f>IF(tblTrazabilidad[[#This Row],[Código]]=0,"",IFERROR(IF(SEARCH("JM",tblTrazabilidad[[#This Row],[Código]])&gt;0,"Juego de pesas",),"Pesa"))</f>
        <v/>
      </c>
      <c r="CJ136" s="35" t="str">
        <f>IFERROR(VLOOKUP($CH136,tblBD_PatronMasa[[Código Patrón]:[mN-(mpe–U95)]],2,FALSE),"")</f>
        <v/>
      </c>
      <c r="CK136" s="35" t="str">
        <f>IFERROR(VLOOKUP($CH136,tblBD_PatronMasa[[Código Patrón]:[mN-(mpe–U95)]],13,FALSE),"")</f>
        <v/>
      </c>
      <c r="CL136" s="34" t="str">
        <f>IF(tblTrazabilidad[[#This Row],[Clase]]="F2",IFERROR(IF(VLOOKUP($CH136,tblBD_PatronMasa[[Código Patrón]:[mN-(mpe–U95)]],12,FALSE)=0,"",VLOOKUP($CH136,tblBD_PatronMasa[[Código Patrón]:[mN-(mpe–U95)]],12,FALSE)+731),""),IF(tblTrazabilidad[[#This Row],[Clase]]="F1",IFERROR(IF(VLOOKUP($CH136,tblBD_PatronMasa[[Código Patrón]:[mN-(mpe–U95)]],12,FALSE)=0,"",VLOOKUP($CH136,tblBD_PatronMasa[[Código Patrón]:[mN-(mpe–U95)]],12,FALSE)+731),""),IFERROR(IF(VLOOKUP($CH136,tblBD_PatronMasa[[Código Patrón]:[mN-(mpe–U95)]],12,FALSE)=0,"",VLOOKUP($CH136,tblBD_PatronMasa[[Código Patrón]:[mN-(mpe–U95)]],12,FALSE)+366),"")))</f>
        <v/>
      </c>
      <c r="CM136" s="33" t="str">
        <f>IFERROR(VLOOKUP($CH136,tblBD_PatronMasa[[Código Patrón]:[mN-(mpe–U95)]],3,FALSE),"")</f>
        <v/>
      </c>
      <c r="CS136" s="32"/>
      <c r="CU136"/>
      <c r="DC136" s="1"/>
      <c r="DD136" s="1"/>
      <c r="DF136"/>
      <c r="DG136"/>
    </row>
    <row r="137" spans="48:111" x14ac:dyDescent="0.3">
      <c r="AV137" s="39"/>
      <c r="AW137" s="39"/>
      <c r="AX137" s="39"/>
      <c r="AY137" s="39"/>
      <c r="AZ137" s="39"/>
      <c r="BA137" s="39"/>
      <c r="BB137" s="39"/>
      <c r="BC137" s="39"/>
      <c r="BD137" s="39"/>
      <c r="BE137" s="39"/>
      <c r="BF137" s="39"/>
      <c r="BG137" s="39"/>
      <c r="BH137" s="39"/>
      <c r="BI137" s="39"/>
      <c r="BJ137" s="39"/>
      <c r="BK137" s="39"/>
      <c r="BL137" s="39"/>
      <c r="BM137" s="39"/>
      <c r="BN137" s="39"/>
      <c r="BO137" s="39"/>
      <c r="BP137" s="39"/>
      <c r="CG137" s="38">
        <v>131</v>
      </c>
      <c r="CH137" s="35">
        <f t="shared" si="8"/>
        <v>0</v>
      </c>
      <c r="CI137" s="35" t="str">
        <f>IF(tblTrazabilidad[[#This Row],[Código]]=0,"",IFERROR(IF(SEARCH("JM",tblTrazabilidad[[#This Row],[Código]])&gt;0,"Juego de pesas",),"Pesa"))</f>
        <v/>
      </c>
      <c r="CJ137" s="35" t="str">
        <f>IFERROR(VLOOKUP($CH137,tblBD_PatronMasa[[Código Patrón]:[mN-(mpe–U95)]],2,FALSE),"")</f>
        <v/>
      </c>
      <c r="CK137" s="35" t="str">
        <f>IFERROR(VLOOKUP($CH137,tblBD_PatronMasa[[Código Patrón]:[mN-(mpe–U95)]],13,FALSE),"")</f>
        <v/>
      </c>
      <c r="CL137" s="34" t="str">
        <f>IF(tblTrazabilidad[[#This Row],[Clase]]="F2",IFERROR(IF(VLOOKUP($CH137,tblBD_PatronMasa[[Código Patrón]:[mN-(mpe–U95)]],12,FALSE)=0,"",VLOOKUP($CH137,tblBD_PatronMasa[[Código Patrón]:[mN-(mpe–U95)]],12,FALSE)+731),""),IF(tblTrazabilidad[[#This Row],[Clase]]="F1",IFERROR(IF(VLOOKUP($CH137,tblBD_PatronMasa[[Código Patrón]:[mN-(mpe–U95)]],12,FALSE)=0,"",VLOOKUP($CH137,tblBD_PatronMasa[[Código Patrón]:[mN-(mpe–U95)]],12,FALSE)+731),""),IFERROR(IF(VLOOKUP($CH137,tblBD_PatronMasa[[Código Patrón]:[mN-(mpe–U95)]],12,FALSE)=0,"",VLOOKUP($CH137,tblBD_PatronMasa[[Código Patrón]:[mN-(mpe–U95)]],12,FALSE)+366),"")))</f>
        <v/>
      </c>
      <c r="CM137" s="33" t="str">
        <f>IFERROR(VLOOKUP($CH137,tblBD_PatronMasa[[Código Patrón]:[mN-(mpe–U95)]],3,FALSE),"")</f>
        <v/>
      </c>
      <c r="CS137" s="32"/>
      <c r="CU137"/>
      <c r="DC137" s="1"/>
      <c r="DD137" s="1"/>
      <c r="DF137"/>
      <c r="DG137"/>
    </row>
    <row r="138" spans="48:111" x14ac:dyDescent="0.3">
      <c r="AV138" s="39"/>
      <c r="AW138" s="39"/>
      <c r="AX138" s="39"/>
      <c r="AY138" s="39"/>
      <c r="AZ138" s="39"/>
      <c r="BA138" s="39"/>
      <c r="BB138" s="39"/>
      <c r="BC138" s="39"/>
      <c r="BD138" s="39"/>
      <c r="BE138" s="39"/>
      <c r="BF138" s="39"/>
      <c r="BG138" s="39"/>
      <c r="BH138" s="39"/>
      <c r="BI138" s="39"/>
      <c r="BJ138" s="39"/>
      <c r="BK138" s="39"/>
      <c r="BL138" s="39"/>
      <c r="BM138" s="39"/>
      <c r="BN138" s="39"/>
      <c r="BO138" s="39"/>
      <c r="BP138" s="39"/>
      <c r="CG138" s="38">
        <v>132</v>
      </c>
      <c r="CH138" s="35">
        <f t="shared" si="8"/>
        <v>0</v>
      </c>
      <c r="CI138" s="35" t="str">
        <f>IF(tblTrazabilidad[[#This Row],[Código]]=0,"",IFERROR(IF(SEARCH("JM",tblTrazabilidad[[#This Row],[Código]])&gt;0,"Juego de pesas",),"Pesa"))</f>
        <v/>
      </c>
      <c r="CJ138" s="35" t="str">
        <f>IFERROR(VLOOKUP($CH138,tblBD_PatronMasa[[Código Patrón]:[mN-(mpe–U95)]],2,FALSE),"")</f>
        <v/>
      </c>
      <c r="CK138" s="35" t="str">
        <f>IFERROR(VLOOKUP($CH138,tblBD_PatronMasa[[Código Patrón]:[mN-(mpe–U95)]],13,FALSE),"")</f>
        <v/>
      </c>
      <c r="CL138" s="34" t="str">
        <f>IF(tblTrazabilidad[[#This Row],[Clase]]="F2",IFERROR(IF(VLOOKUP($CH138,tblBD_PatronMasa[[Código Patrón]:[mN-(mpe–U95)]],12,FALSE)=0,"",VLOOKUP($CH138,tblBD_PatronMasa[[Código Patrón]:[mN-(mpe–U95)]],12,FALSE)+731),""),IF(tblTrazabilidad[[#This Row],[Clase]]="F1",IFERROR(IF(VLOOKUP($CH138,tblBD_PatronMasa[[Código Patrón]:[mN-(mpe–U95)]],12,FALSE)=0,"",VLOOKUP($CH138,tblBD_PatronMasa[[Código Patrón]:[mN-(mpe–U95)]],12,FALSE)+731),""),IFERROR(IF(VLOOKUP($CH138,tblBD_PatronMasa[[Código Patrón]:[mN-(mpe–U95)]],12,FALSE)=0,"",VLOOKUP($CH138,tblBD_PatronMasa[[Código Patrón]:[mN-(mpe–U95)]],12,FALSE)+366),"")))</f>
        <v/>
      </c>
      <c r="CM138" s="33" t="str">
        <f>IFERROR(VLOOKUP($CH138,tblBD_PatronMasa[[Código Patrón]:[mN-(mpe–U95)]],3,FALSE),"")</f>
        <v/>
      </c>
      <c r="CS138" s="32"/>
      <c r="CU138"/>
      <c r="DC138" s="1"/>
      <c r="DD138" s="1"/>
      <c r="DF138"/>
      <c r="DG138"/>
    </row>
    <row r="139" spans="48:111" x14ac:dyDescent="0.3">
      <c r="CG139" s="38">
        <v>133</v>
      </c>
      <c r="CH139" s="35">
        <f t="shared" ref="CH139:CH156" si="9">AA37</f>
        <v>0</v>
      </c>
      <c r="CI139" s="35" t="str">
        <f>IF(tblTrazabilidad[[#This Row],[Código]]=0,"",IFERROR(IF(SEARCH("JM",tblTrazabilidad[[#This Row],[Código]])&gt;0,"Juego de pesas",),"Pesa"))</f>
        <v/>
      </c>
      <c r="CJ139" s="35" t="str">
        <f>IFERROR(VLOOKUP($CH139,tblBD_PatronMasa[[Código Patrón]:[mN-(mpe–U95)]],2,FALSE),"")</f>
        <v/>
      </c>
      <c r="CK139" s="35" t="str">
        <f>IFERROR(VLOOKUP($CH139,tblBD_PatronMasa[[Código Patrón]:[mN-(mpe–U95)]],13,FALSE),"")</f>
        <v/>
      </c>
      <c r="CL139" s="34" t="str">
        <f>IF(tblTrazabilidad[[#This Row],[Clase]]="F2",IFERROR(IF(VLOOKUP($CH139,tblBD_PatronMasa[[Código Patrón]:[mN-(mpe–U95)]],12,FALSE)=0,"",VLOOKUP($CH139,tblBD_PatronMasa[[Código Patrón]:[mN-(mpe–U95)]],12,FALSE)+731),""),IF(tblTrazabilidad[[#This Row],[Clase]]="F1",IFERROR(IF(VLOOKUP($CH139,tblBD_PatronMasa[[Código Patrón]:[mN-(mpe–U95)]],12,FALSE)=0,"",VLOOKUP($CH139,tblBD_PatronMasa[[Código Patrón]:[mN-(mpe–U95)]],12,FALSE)+731),""),IFERROR(IF(VLOOKUP($CH139,tblBD_PatronMasa[[Código Patrón]:[mN-(mpe–U95)]],12,FALSE)=0,"",VLOOKUP($CH139,tblBD_PatronMasa[[Código Patrón]:[mN-(mpe–U95)]],12,FALSE)+366),"")))</f>
        <v/>
      </c>
      <c r="CM139" s="33" t="str">
        <f>IFERROR(VLOOKUP($CH139,tblBD_PatronMasa[[Código Patrón]:[mN-(mpe–U95)]],3,FALSE),"")</f>
        <v/>
      </c>
      <c r="CS139" s="32"/>
      <c r="CU139"/>
      <c r="DC139" s="1"/>
      <c r="DD139" s="1"/>
      <c r="DF139"/>
      <c r="DG139"/>
    </row>
    <row r="140" spans="48:111" x14ac:dyDescent="0.3">
      <c r="CG140" s="38">
        <v>134</v>
      </c>
      <c r="CH140" s="35">
        <f t="shared" si="9"/>
        <v>0</v>
      </c>
      <c r="CI140" s="35" t="str">
        <f>IF(tblTrazabilidad[[#This Row],[Código]]=0,"",IFERROR(IF(SEARCH("JM",tblTrazabilidad[[#This Row],[Código]])&gt;0,"Juego de pesas",),"Pesa"))</f>
        <v/>
      </c>
      <c r="CJ140" s="35" t="str">
        <f>IFERROR(VLOOKUP($CH140,tblBD_PatronMasa[[Código Patrón]:[mN-(mpe–U95)]],2,FALSE),"")</f>
        <v/>
      </c>
      <c r="CK140" s="35" t="str">
        <f>IFERROR(VLOOKUP($CH140,tblBD_PatronMasa[[Código Patrón]:[mN-(mpe–U95)]],13,FALSE),"")</f>
        <v/>
      </c>
      <c r="CL140" s="34" t="str">
        <f>IF(tblTrazabilidad[[#This Row],[Clase]]="F2",IFERROR(IF(VLOOKUP($CH140,tblBD_PatronMasa[[Código Patrón]:[mN-(mpe–U95)]],12,FALSE)=0,"",VLOOKUP($CH140,tblBD_PatronMasa[[Código Patrón]:[mN-(mpe–U95)]],12,FALSE)+731),""),IF(tblTrazabilidad[[#This Row],[Clase]]="F1",IFERROR(IF(VLOOKUP($CH140,tblBD_PatronMasa[[Código Patrón]:[mN-(mpe–U95)]],12,FALSE)=0,"",VLOOKUP($CH140,tblBD_PatronMasa[[Código Patrón]:[mN-(mpe–U95)]],12,FALSE)+731),""),IFERROR(IF(VLOOKUP($CH140,tblBD_PatronMasa[[Código Patrón]:[mN-(mpe–U95)]],12,FALSE)=0,"",VLOOKUP($CH140,tblBD_PatronMasa[[Código Patrón]:[mN-(mpe–U95)]],12,FALSE)+366),"")))</f>
        <v/>
      </c>
      <c r="CM140" s="33" t="str">
        <f>IFERROR(VLOOKUP($CH140,tblBD_PatronMasa[[Código Patrón]:[mN-(mpe–U95)]],3,FALSE),"")</f>
        <v/>
      </c>
      <c r="CS140" s="32"/>
      <c r="CU140"/>
      <c r="DC140" s="1"/>
      <c r="DD140" s="1"/>
      <c r="DF140"/>
      <c r="DG140"/>
    </row>
    <row r="141" spans="48:111" x14ac:dyDescent="0.3">
      <c r="CG141" s="38">
        <v>135</v>
      </c>
      <c r="CH141" s="35">
        <f t="shared" si="9"/>
        <v>0</v>
      </c>
      <c r="CI141" s="35" t="str">
        <f>IF(tblTrazabilidad[[#This Row],[Código]]=0,"",IFERROR(IF(SEARCH("JM",tblTrazabilidad[[#This Row],[Código]])&gt;0,"Juego de pesas",),"Pesa"))</f>
        <v/>
      </c>
      <c r="CJ141" s="35" t="str">
        <f>IFERROR(VLOOKUP($CH141,tblBD_PatronMasa[[Código Patrón]:[mN-(mpe–U95)]],2,FALSE),"")</f>
        <v/>
      </c>
      <c r="CK141" s="35" t="str">
        <f>IFERROR(VLOOKUP($CH141,tblBD_PatronMasa[[Código Patrón]:[mN-(mpe–U95)]],13,FALSE),"")</f>
        <v/>
      </c>
      <c r="CL141" s="34" t="str">
        <f>IF(tblTrazabilidad[[#This Row],[Clase]]="F2",IFERROR(IF(VLOOKUP($CH141,tblBD_PatronMasa[[Código Patrón]:[mN-(mpe–U95)]],12,FALSE)=0,"",VLOOKUP($CH141,tblBD_PatronMasa[[Código Patrón]:[mN-(mpe–U95)]],12,FALSE)+731),""),IF(tblTrazabilidad[[#This Row],[Clase]]="F1",IFERROR(IF(VLOOKUP($CH141,tblBD_PatronMasa[[Código Patrón]:[mN-(mpe–U95)]],12,FALSE)=0,"",VLOOKUP($CH141,tblBD_PatronMasa[[Código Patrón]:[mN-(mpe–U95)]],12,FALSE)+731),""),IFERROR(IF(VLOOKUP($CH141,tblBD_PatronMasa[[Código Patrón]:[mN-(mpe–U95)]],12,FALSE)=0,"",VLOOKUP($CH141,tblBD_PatronMasa[[Código Patrón]:[mN-(mpe–U95)]],12,FALSE)+366),"")))</f>
        <v/>
      </c>
      <c r="CM141" s="33" t="str">
        <f>IFERROR(VLOOKUP($CH141,tblBD_PatronMasa[[Código Patrón]:[mN-(mpe–U95)]],3,FALSE),"")</f>
        <v/>
      </c>
      <c r="CS141" s="32"/>
      <c r="CU141"/>
      <c r="DC141" s="1"/>
      <c r="DD141" s="1"/>
      <c r="DF141"/>
      <c r="DG141"/>
    </row>
    <row r="142" spans="48:111" x14ac:dyDescent="0.3">
      <c r="CG142" s="38">
        <v>136</v>
      </c>
      <c r="CH142" s="35">
        <f t="shared" si="9"/>
        <v>0</v>
      </c>
      <c r="CI142" s="35" t="str">
        <f>IF(tblTrazabilidad[[#This Row],[Código]]=0,"",IFERROR(IF(SEARCH("JM",tblTrazabilidad[[#This Row],[Código]])&gt;0,"Juego de pesas",),"Pesa"))</f>
        <v/>
      </c>
      <c r="CJ142" s="35" t="str">
        <f>IFERROR(VLOOKUP($CH142,tblBD_PatronMasa[[Código Patrón]:[mN-(mpe–U95)]],2,FALSE),"")</f>
        <v/>
      </c>
      <c r="CK142" s="35" t="str">
        <f>IFERROR(VLOOKUP($CH142,tblBD_PatronMasa[[Código Patrón]:[mN-(mpe–U95)]],13,FALSE),"")</f>
        <v/>
      </c>
      <c r="CL142" s="34" t="str">
        <f>IF(tblTrazabilidad[[#This Row],[Clase]]="F2",IFERROR(IF(VLOOKUP($CH142,tblBD_PatronMasa[[Código Patrón]:[mN-(mpe–U95)]],12,FALSE)=0,"",VLOOKUP($CH142,tblBD_PatronMasa[[Código Patrón]:[mN-(mpe–U95)]],12,FALSE)+731),""),IF(tblTrazabilidad[[#This Row],[Clase]]="F1",IFERROR(IF(VLOOKUP($CH142,tblBD_PatronMasa[[Código Patrón]:[mN-(mpe–U95)]],12,FALSE)=0,"",VLOOKUP($CH142,tblBD_PatronMasa[[Código Patrón]:[mN-(mpe–U95)]],12,FALSE)+731),""),IFERROR(IF(VLOOKUP($CH142,tblBD_PatronMasa[[Código Patrón]:[mN-(mpe–U95)]],12,FALSE)=0,"",VLOOKUP($CH142,tblBD_PatronMasa[[Código Patrón]:[mN-(mpe–U95)]],12,FALSE)+366),"")))</f>
        <v/>
      </c>
      <c r="CM142" s="33" t="str">
        <f>IFERROR(VLOOKUP($CH142,tblBD_PatronMasa[[Código Patrón]:[mN-(mpe–U95)]],3,FALSE),"")</f>
        <v/>
      </c>
      <c r="CS142" s="32"/>
      <c r="CU142"/>
      <c r="DC142" s="1"/>
      <c r="DD142" s="1"/>
      <c r="DF142"/>
      <c r="DG142"/>
    </row>
    <row r="143" spans="48:111" x14ac:dyDescent="0.3">
      <c r="CG143" s="38">
        <v>137</v>
      </c>
      <c r="CH143" s="35">
        <f t="shared" si="9"/>
        <v>0</v>
      </c>
      <c r="CI143" s="35" t="str">
        <f>IF(tblTrazabilidad[[#This Row],[Código]]=0,"",IFERROR(IF(SEARCH("JM",tblTrazabilidad[[#This Row],[Código]])&gt;0,"Juego de pesas",),"Pesa"))</f>
        <v/>
      </c>
      <c r="CJ143" s="35" t="str">
        <f>IFERROR(VLOOKUP($CH143,tblBD_PatronMasa[[Código Patrón]:[mN-(mpe–U95)]],2,FALSE),"")</f>
        <v/>
      </c>
      <c r="CK143" s="35" t="str">
        <f>IFERROR(VLOOKUP($CH143,tblBD_PatronMasa[[Código Patrón]:[mN-(mpe–U95)]],13,FALSE),"")</f>
        <v/>
      </c>
      <c r="CL143" s="34" t="str">
        <f>IF(tblTrazabilidad[[#This Row],[Clase]]="F2",IFERROR(IF(VLOOKUP($CH143,tblBD_PatronMasa[[Código Patrón]:[mN-(mpe–U95)]],12,FALSE)=0,"",VLOOKUP($CH143,tblBD_PatronMasa[[Código Patrón]:[mN-(mpe–U95)]],12,FALSE)+731),""),IF(tblTrazabilidad[[#This Row],[Clase]]="F1",IFERROR(IF(VLOOKUP($CH143,tblBD_PatronMasa[[Código Patrón]:[mN-(mpe–U95)]],12,FALSE)=0,"",VLOOKUP($CH143,tblBD_PatronMasa[[Código Patrón]:[mN-(mpe–U95)]],12,FALSE)+731),""),IFERROR(IF(VLOOKUP($CH143,tblBD_PatronMasa[[Código Patrón]:[mN-(mpe–U95)]],12,FALSE)=0,"",VLOOKUP($CH143,tblBD_PatronMasa[[Código Patrón]:[mN-(mpe–U95)]],12,FALSE)+366),"")))</f>
        <v/>
      </c>
      <c r="CM143" s="33" t="str">
        <f>IFERROR(VLOOKUP($CH143,tblBD_PatronMasa[[Código Patrón]:[mN-(mpe–U95)]],3,FALSE),"")</f>
        <v/>
      </c>
      <c r="CS143" s="32"/>
      <c r="CU143"/>
      <c r="DC143" s="1"/>
      <c r="DD143" s="1"/>
      <c r="DF143"/>
      <c r="DG143"/>
    </row>
    <row r="144" spans="48:111" x14ac:dyDescent="0.3">
      <c r="CG144" s="38">
        <v>138</v>
      </c>
      <c r="CH144" s="35">
        <f t="shared" si="9"/>
        <v>0</v>
      </c>
      <c r="CI144" s="35" t="str">
        <f>IF(tblTrazabilidad[[#This Row],[Código]]=0,"",IFERROR(IF(SEARCH("JM",tblTrazabilidad[[#This Row],[Código]])&gt;0,"Juego de pesas",),"Pesa"))</f>
        <v/>
      </c>
      <c r="CJ144" s="35" t="str">
        <f>IFERROR(VLOOKUP($CH144,tblBD_PatronMasa[[Código Patrón]:[mN-(mpe–U95)]],2,FALSE),"")</f>
        <v/>
      </c>
      <c r="CK144" s="35" t="str">
        <f>IFERROR(VLOOKUP($CH144,tblBD_PatronMasa[[Código Patrón]:[mN-(mpe–U95)]],13,FALSE),"")</f>
        <v/>
      </c>
      <c r="CL144" s="34" t="str">
        <f>IF(tblTrazabilidad[[#This Row],[Clase]]="F2",IFERROR(IF(VLOOKUP($CH144,tblBD_PatronMasa[[Código Patrón]:[mN-(mpe–U95)]],12,FALSE)=0,"",VLOOKUP($CH144,tblBD_PatronMasa[[Código Patrón]:[mN-(mpe–U95)]],12,FALSE)+731),""),IF(tblTrazabilidad[[#This Row],[Clase]]="F1",IFERROR(IF(VLOOKUP($CH144,tblBD_PatronMasa[[Código Patrón]:[mN-(mpe–U95)]],12,FALSE)=0,"",VLOOKUP($CH144,tblBD_PatronMasa[[Código Patrón]:[mN-(mpe–U95)]],12,FALSE)+731),""),IFERROR(IF(VLOOKUP($CH144,tblBD_PatronMasa[[Código Patrón]:[mN-(mpe–U95)]],12,FALSE)=0,"",VLOOKUP($CH144,tblBD_PatronMasa[[Código Patrón]:[mN-(mpe–U95)]],12,FALSE)+366),"")))</f>
        <v/>
      </c>
      <c r="CM144" s="33" t="str">
        <f>IFERROR(VLOOKUP($CH144,tblBD_PatronMasa[[Código Patrón]:[mN-(mpe–U95)]],3,FALSE),"")</f>
        <v/>
      </c>
      <c r="CS144" s="32"/>
      <c r="CU144"/>
      <c r="DC144" s="1"/>
      <c r="DD144" s="1"/>
      <c r="DF144"/>
      <c r="DG144"/>
    </row>
    <row r="145" spans="85:111" x14ac:dyDescent="0.3">
      <c r="CG145" s="38">
        <v>139</v>
      </c>
      <c r="CH145" s="35">
        <f t="shared" si="9"/>
        <v>0</v>
      </c>
      <c r="CI145" s="35" t="str">
        <f>IF(tblTrazabilidad[[#This Row],[Código]]=0,"",IFERROR(IF(SEARCH("JM",tblTrazabilidad[[#This Row],[Código]])&gt;0,"Juego de pesas",),"Pesa"))</f>
        <v/>
      </c>
      <c r="CJ145" s="35" t="str">
        <f>IFERROR(VLOOKUP($CH145,tblBD_PatronMasa[[Código Patrón]:[mN-(mpe–U95)]],2,FALSE),"")</f>
        <v/>
      </c>
      <c r="CK145" s="35" t="str">
        <f>IFERROR(VLOOKUP($CH145,tblBD_PatronMasa[[Código Patrón]:[mN-(mpe–U95)]],13,FALSE),"")</f>
        <v/>
      </c>
      <c r="CL145" s="34" t="str">
        <f>IF(tblTrazabilidad[[#This Row],[Clase]]="F2",IFERROR(IF(VLOOKUP($CH145,tblBD_PatronMasa[[Código Patrón]:[mN-(mpe–U95)]],12,FALSE)=0,"",VLOOKUP($CH145,tblBD_PatronMasa[[Código Patrón]:[mN-(mpe–U95)]],12,FALSE)+731),""),IF(tblTrazabilidad[[#This Row],[Clase]]="F1",IFERROR(IF(VLOOKUP($CH145,tblBD_PatronMasa[[Código Patrón]:[mN-(mpe–U95)]],12,FALSE)=0,"",VLOOKUP($CH145,tblBD_PatronMasa[[Código Patrón]:[mN-(mpe–U95)]],12,FALSE)+731),""),IFERROR(IF(VLOOKUP($CH145,tblBD_PatronMasa[[Código Patrón]:[mN-(mpe–U95)]],12,FALSE)=0,"",VLOOKUP($CH145,tblBD_PatronMasa[[Código Patrón]:[mN-(mpe–U95)]],12,FALSE)+366),"")))</f>
        <v/>
      </c>
      <c r="CM145" s="33" t="str">
        <f>IFERROR(VLOOKUP($CH145,tblBD_PatronMasa[[Código Patrón]:[mN-(mpe–U95)]],3,FALSE),"")</f>
        <v/>
      </c>
      <c r="CS145" s="32"/>
      <c r="CU145"/>
      <c r="DC145" s="1"/>
      <c r="DD145" s="1"/>
      <c r="DF145"/>
      <c r="DG145"/>
    </row>
    <row r="146" spans="85:111" x14ac:dyDescent="0.3">
      <c r="CG146" s="38">
        <v>140</v>
      </c>
      <c r="CH146" s="35">
        <f t="shared" si="9"/>
        <v>0</v>
      </c>
      <c r="CI146" s="35" t="str">
        <f>IF(tblTrazabilidad[[#This Row],[Código]]=0,"",IFERROR(IF(SEARCH("JM",tblTrazabilidad[[#This Row],[Código]])&gt;0,"Juego de pesas",),"Pesa"))</f>
        <v/>
      </c>
      <c r="CJ146" s="35" t="str">
        <f>IFERROR(VLOOKUP($CH146,tblBD_PatronMasa[[Código Patrón]:[mN-(mpe–U95)]],2,FALSE),"")</f>
        <v/>
      </c>
      <c r="CK146" s="35" t="str">
        <f>IFERROR(VLOOKUP($CH146,tblBD_PatronMasa[[Código Patrón]:[mN-(mpe–U95)]],13,FALSE),"")</f>
        <v/>
      </c>
      <c r="CL146" s="34" t="str">
        <f>IF(tblTrazabilidad[[#This Row],[Clase]]="F2",IFERROR(IF(VLOOKUP($CH146,tblBD_PatronMasa[[Código Patrón]:[mN-(mpe–U95)]],12,FALSE)=0,"",VLOOKUP($CH146,tblBD_PatronMasa[[Código Patrón]:[mN-(mpe–U95)]],12,FALSE)+731),""),IF(tblTrazabilidad[[#This Row],[Clase]]="F1",IFERROR(IF(VLOOKUP($CH146,tblBD_PatronMasa[[Código Patrón]:[mN-(mpe–U95)]],12,FALSE)=0,"",VLOOKUP($CH146,tblBD_PatronMasa[[Código Patrón]:[mN-(mpe–U95)]],12,FALSE)+731),""),IFERROR(IF(VLOOKUP($CH146,tblBD_PatronMasa[[Código Patrón]:[mN-(mpe–U95)]],12,FALSE)=0,"",VLOOKUP($CH146,tblBD_PatronMasa[[Código Patrón]:[mN-(mpe–U95)]],12,FALSE)+366),"")))</f>
        <v/>
      </c>
      <c r="CM146" s="33" t="str">
        <f>IFERROR(VLOOKUP($CH146,tblBD_PatronMasa[[Código Patrón]:[mN-(mpe–U95)]],3,FALSE),"")</f>
        <v/>
      </c>
      <c r="CS146" s="32"/>
      <c r="CU146"/>
      <c r="DC146" s="1"/>
      <c r="DD146" s="1"/>
      <c r="DF146"/>
      <c r="DG146"/>
    </row>
    <row r="147" spans="85:111" x14ac:dyDescent="0.3">
      <c r="CG147" s="38">
        <v>141</v>
      </c>
      <c r="CH147" s="35">
        <f t="shared" si="9"/>
        <v>0</v>
      </c>
      <c r="CI147" s="35" t="str">
        <f>IF(tblTrazabilidad[[#This Row],[Código]]=0,"",IFERROR(IF(SEARCH("JM",tblTrazabilidad[[#This Row],[Código]])&gt;0,"Juego de pesas",),"Pesa"))</f>
        <v/>
      </c>
      <c r="CJ147" s="35" t="str">
        <f>IFERROR(VLOOKUP($CH147,tblBD_PatronMasa[[Código Patrón]:[mN-(mpe–U95)]],2,FALSE),"")</f>
        <v/>
      </c>
      <c r="CK147" s="35" t="str">
        <f>IFERROR(VLOOKUP($CH147,tblBD_PatronMasa[[Código Patrón]:[mN-(mpe–U95)]],13,FALSE),"")</f>
        <v/>
      </c>
      <c r="CL147" s="34" t="str">
        <f>IF(tblTrazabilidad[[#This Row],[Clase]]="F2",IFERROR(IF(VLOOKUP($CH147,tblBD_PatronMasa[[Código Patrón]:[mN-(mpe–U95)]],12,FALSE)=0,"",VLOOKUP($CH147,tblBD_PatronMasa[[Código Patrón]:[mN-(mpe–U95)]],12,FALSE)+731),""),IF(tblTrazabilidad[[#This Row],[Clase]]="F1",IFERROR(IF(VLOOKUP($CH147,tblBD_PatronMasa[[Código Patrón]:[mN-(mpe–U95)]],12,FALSE)=0,"",VLOOKUP($CH147,tblBD_PatronMasa[[Código Patrón]:[mN-(mpe–U95)]],12,FALSE)+731),""),IFERROR(IF(VLOOKUP($CH147,tblBD_PatronMasa[[Código Patrón]:[mN-(mpe–U95)]],12,FALSE)=0,"",VLOOKUP($CH147,tblBD_PatronMasa[[Código Patrón]:[mN-(mpe–U95)]],12,FALSE)+366),"")))</f>
        <v/>
      </c>
      <c r="CM147" s="33" t="str">
        <f>IFERROR(VLOOKUP($CH147,tblBD_PatronMasa[[Código Patrón]:[mN-(mpe–U95)]],3,FALSE),"")</f>
        <v/>
      </c>
      <c r="CS147" s="32"/>
      <c r="CU147"/>
      <c r="DC147" s="1"/>
      <c r="DD147" s="1"/>
      <c r="DF147"/>
      <c r="DG147"/>
    </row>
    <row r="148" spans="85:111" x14ac:dyDescent="0.3">
      <c r="CG148" s="38">
        <v>142</v>
      </c>
      <c r="CH148" s="35">
        <f t="shared" si="9"/>
        <v>0</v>
      </c>
      <c r="CI148" s="35" t="str">
        <f>IF(tblTrazabilidad[[#This Row],[Código]]=0,"",IFERROR(IF(SEARCH("JM",tblTrazabilidad[[#This Row],[Código]])&gt;0,"Juego de pesas",),"Pesa"))</f>
        <v/>
      </c>
      <c r="CJ148" s="35" t="str">
        <f>IFERROR(VLOOKUP($CH148,tblBD_PatronMasa[[Código Patrón]:[mN-(mpe–U95)]],2,FALSE),"")</f>
        <v/>
      </c>
      <c r="CK148" s="35" t="str">
        <f>IFERROR(VLOOKUP($CH148,tblBD_PatronMasa[[Código Patrón]:[mN-(mpe–U95)]],13,FALSE),"")</f>
        <v/>
      </c>
      <c r="CL148" s="34" t="str">
        <f>IF(tblTrazabilidad[[#This Row],[Clase]]="F2",IFERROR(IF(VLOOKUP($CH148,tblBD_PatronMasa[[Código Patrón]:[mN-(mpe–U95)]],12,FALSE)=0,"",VLOOKUP($CH148,tblBD_PatronMasa[[Código Patrón]:[mN-(mpe–U95)]],12,FALSE)+731),""),IF(tblTrazabilidad[[#This Row],[Clase]]="F1",IFERROR(IF(VLOOKUP($CH148,tblBD_PatronMasa[[Código Patrón]:[mN-(mpe–U95)]],12,FALSE)=0,"",VLOOKUP($CH148,tblBD_PatronMasa[[Código Patrón]:[mN-(mpe–U95)]],12,FALSE)+731),""),IFERROR(IF(VLOOKUP($CH148,tblBD_PatronMasa[[Código Patrón]:[mN-(mpe–U95)]],12,FALSE)=0,"",VLOOKUP($CH148,tblBD_PatronMasa[[Código Patrón]:[mN-(mpe–U95)]],12,FALSE)+366),"")))</f>
        <v/>
      </c>
      <c r="CM148" s="33" t="str">
        <f>IFERROR(VLOOKUP($CH148,tblBD_PatronMasa[[Código Patrón]:[mN-(mpe–U95)]],3,FALSE),"")</f>
        <v/>
      </c>
      <c r="CS148" s="32"/>
      <c r="CU148"/>
      <c r="DC148" s="1"/>
      <c r="DD148" s="1"/>
      <c r="DF148"/>
      <c r="DG148"/>
    </row>
    <row r="149" spans="85:111" x14ac:dyDescent="0.3">
      <c r="CG149" s="38">
        <v>143</v>
      </c>
      <c r="CH149" s="35">
        <f t="shared" si="9"/>
        <v>0</v>
      </c>
      <c r="CI149" s="35" t="str">
        <f>IF(tblTrazabilidad[[#This Row],[Código]]=0,"",IFERROR(IF(SEARCH("JM",tblTrazabilidad[[#This Row],[Código]])&gt;0,"Juego de pesas",),"Pesa"))</f>
        <v/>
      </c>
      <c r="CJ149" s="35" t="str">
        <f>IFERROR(VLOOKUP($CH149,tblBD_PatronMasa[[Código Patrón]:[mN-(mpe–U95)]],2,FALSE),"")</f>
        <v/>
      </c>
      <c r="CK149" s="35" t="str">
        <f>IFERROR(VLOOKUP($CH149,tblBD_PatronMasa[[Código Patrón]:[mN-(mpe–U95)]],13,FALSE),"")</f>
        <v/>
      </c>
      <c r="CL149" s="34" t="str">
        <f>IF(tblTrazabilidad[[#This Row],[Clase]]="F2",IFERROR(IF(VLOOKUP($CH149,tblBD_PatronMasa[[Código Patrón]:[mN-(mpe–U95)]],12,FALSE)=0,"",VLOOKUP($CH149,tblBD_PatronMasa[[Código Patrón]:[mN-(mpe–U95)]],12,FALSE)+731),""),IF(tblTrazabilidad[[#This Row],[Clase]]="F1",IFERROR(IF(VLOOKUP($CH149,tblBD_PatronMasa[[Código Patrón]:[mN-(mpe–U95)]],12,FALSE)=0,"",VLOOKUP($CH149,tblBD_PatronMasa[[Código Patrón]:[mN-(mpe–U95)]],12,FALSE)+731),""),IFERROR(IF(VLOOKUP($CH149,tblBD_PatronMasa[[Código Patrón]:[mN-(mpe–U95)]],12,FALSE)=0,"",VLOOKUP($CH149,tblBD_PatronMasa[[Código Patrón]:[mN-(mpe–U95)]],12,FALSE)+366),"")))</f>
        <v/>
      </c>
      <c r="CM149" s="33" t="str">
        <f>IFERROR(VLOOKUP($CH149,tblBD_PatronMasa[[Código Patrón]:[mN-(mpe–U95)]],3,FALSE),"")</f>
        <v/>
      </c>
      <c r="CS149" s="32"/>
      <c r="CU149"/>
      <c r="DC149" s="1"/>
      <c r="DD149" s="1"/>
      <c r="DF149"/>
      <c r="DG149"/>
    </row>
    <row r="150" spans="85:111" x14ac:dyDescent="0.3">
      <c r="CG150" s="38">
        <v>144</v>
      </c>
      <c r="CH150" s="35">
        <f t="shared" si="9"/>
        <v>0</v>
      </c>
      <c r="CI150" s="35" t="str">
        <f>IF(tblTrazabilidad[[#This Row],[Código]]=0,"",IFERROR(IF(SEARCH("JM",tblTrazabilidad[[#This Row],[Código]])&gt;0,"Juego de pesas",),"Pesa"))</f>
        <v/>
      </c>
      <c r="CJ150" s="35" t="str">
        <f>IFERROR(VLOOKUP($CH150,tblBD_PatronMasa[[Código Patrón]:[mN-(mpe–U95)]],2,FALSE),"")</f>
        <v/>
      </c>
      <c r="CK150" s="35" t="str">
        <f>IFERROR(VLOOKUP($CH150,tblBD_PatronMasa[[Código Patrón]:[mN-(mpe–U95)]],13,FALSE),"")</f>
        <v/>
      </c>
      <c r="CL150" s="34" t="str">
        <f>IF(tblTrazabilidad[[#This Row],[Clase]]="F2",IFERROR(IF(VLOOKUP($CH150,tblBD_PatronMasa[[Código Patrón]:[mN-(mpe–U95)]],12,FALSE)=0,"",VLOOKUP($CH150,tblBD_PatronMasa[[Código Patrón]:[mN-(mpe–U95)]],12,FALSE)+731),""),IF(tblTrazabilidad[[#This Row],[Clase]]="F1",IFERROR(IF(VLOOKUP($CH150,tblBD_PatronMasa[[Código Patrón]:[mN-(mpe–U95)]],12,FALSE)=0,"",VLOOKUP($CH150,tblBD_PatronMasa[[Código Patrón]:[mN-(mpe–U95)]],12,FALSE)+731),""),IFERROR(IF(VLOOKUP($CH150,tblBD_PatronMasa[[Código Patrón]:[mN-(mpe–U95)]],12,FALSE)=0,"",VLOOKUP($CH150,tblBD_PatronMasa[[Código Patrón]:[mN-(mpe–U95)]],12,FALSE)+366),"")))</f>
        <v/>
      </c>
      <c r="CM150" s="33" t="str">
        <f>IFERROR(VLOOKUP($CH150,tblBD_PatronMasa[[Código Patrón]:[mN-(mpe–U95)]],3,FALSE),"")</f>
        <v/>
      </c>
      <c r="CS150" s="32"/>
      <c r="CU150"/>
      <c r="DC150" s="1"/>
      <c r="DD150" s="1"/>
      <c r="DF150"/>
      <c r="DG150"/>
    </row>
    <row r="151" spans="85:111" x14ac:dyDescent="0.3">
      <c r="CG151" s="38">
        <v>145</v>
      </c>
      <c r="CH151" s="35">
        <f t="shared" si="9"/>
        <v>0</v>
      </c>
      <c r="CI151" s="35" t="str">
        <f>IF(tblTrazabilidad[[#This Row],[Código]]=0,"",IFERROR(IF(SEARCH("JM",tblTrazabilidad[[#This Row],[Código]])&gt;0,"Juego de pesas",),"Pesa"))</f>
        <v/>
      </c>
      <c r="CJ151" s="35" t="str">
        <f>IFERROR(VLOOKUP($CH151,tblBD_PatronMasa[[Código Patrón]:[mN-(mpe–U95)]],2,FALSE),"")</f>
        <v/>
      </c>
      <c r="CK151" s="35" t="str">
        <f>IFERROR(VLOOKUP($CH151,tblBD_PatronMasa[[Código Patrón]:[mN-(mpe–U95)]],13,FALSE),"")</f>
        <v/>
      </c>
      <c r="CL151" s="34" t="str">
        <f>IF(tblTrazabilidad[[#This Row],[Clase]]="F2",IFERROR(IF(VLOOKUP($CH151,tblBD_PatronMasa[[Código Patrón]:[mN-(mpe–U95)]],12,FALSE)=0,"",VLOOKUP($CH151,tblBD_PatronMasa[[Código Patrón]:[mN-(mpe–U95)]],12,FALSE)+731),""),IF(tblTrazabilidad[[#This Row],[Clase]]="F1",IFERROR(IF(VLOOKUP($CH151,tblBD_PatronMasa[[Código Patrón]:[mN-(mpe–U95)]],12,FALSE)=0,"",VLOOKUP($CH151,tblBD_PatronMasa[[Código Patrón]:[mN-(mpe–U95)]],12,FALSE)+731),""),IFERROR(IF(VLOOKUP($CH151,tblBD_PatronMasa[[Código Patrón]:[mN-(mpe–U95)]],12,FALSE)=0,"",VLOOKUP($CH151,tblBD_PatronMasa[[Código Patrón]:[mN-(mpe–U95)]],12,FALSE)+366),"")))</f>
        <v/>
      </c>
      <c r="CM151" s="33" t="str">
        <f>IFERROR(VLOOKUP($CH151,tblBD_PatronMasa[[Código Patrón]:[mN-(mpe–U95)]],3,FALSE),"")</f>
        <v/>
      </c>
      <c r="CS151" s="32"/>
      <c r="CU151"/>
      <c r="DC151" s="1"/>
      <c r="DD151" s="1"/>
      <c r="DF151"/>
      <c r="DG151"/>
    </row>
    <row r="152" spans="85:111" x14ac:dyDescent="0.3">
      <c r="CG152" s="38">
        <v>146</v>
      </c>
      <c r="CH152" s="35">
        <f t="shared" si="9"/>
        <v>0</v>
      </c>
      <c r="CI152" s="35" t="str">
        <f>IF(tblTrazabilidad[[#This Row],[Código]]=0,"",IFERROR(IF(SEARCH("JM",tblTrazabilidad[[#This Row],[Código]])&gt;0,"Juego de pesas",),"Pesa"))</f>
        <v/>
      </c>
      <c r="CJ152" s="35" t="str">
        <f>IFERROR(VLOOKUP($CH152,tblBD_PatronMasa[[Código Patrón]:[mN-(mpe–U95)]],2,FALSE),"")</f>
        <v/>
      </c>
      <c r="CK152" s="35" t="str">
        <f>IFERROR(VLOOKUP($CH152,tblBD_PatronMasa[[Código Patrón]:[mN-(mpe–U95)]],13,FALSE),"")</f>
        <v/>
      </c>
      <c r="CL152" s="34" t="str">
        <f>IF(tblTrazabilidad[[#This Row],[Clase]]="F2",IFERROR(IF(VLOOKUP($CH152,tblBD_PatronMasa[[Código Patrón]:[mN-(mpe–U95)]],12,FALSE)=0,"",VLOOKUP($CH152,tblBD_PatronMasa[[Código Patrón]:[mN-(mpe–U95)]],12,FALSE)+731),""),IF(tblTrazabilidad[[#This Row],[Clase]]="F1",IFERROR(IF(VLOOKUP($CH152,tblBD_PatronMasa[[Código Patrón]:[mN-(mpe–U95)]],12,FALSE)=0,"",VLOOKUP($CH152,tblBD_PatronMasa[[Código Patrón]:[mN-(mpe–U95)]],12,FALSE)+731),""),IFERROR(IF(VLOOKUP($CH152,tblBD_PatronMasa[[Código Patrón]:[mN-(mpe–U95)]],12,FALSE)=0,"",VLOOKUP($CH152,tblBD_PatronMasa[[Código Patrón]:[mN-(mpe–U95)]],12,FALSE)+366),"")))</f>
        <v/>
      </c>
      <c r="CM152" s="33" t="str">
        <f>IFERROR(VLOOKUP($CH152,tblBD_PatronMasa[[Código Patrón]:[mN-(mpe–U95)]],3,FALSE),"")</f>
        <v/>
      </c>
      <c r="CS152" s="32"/>
      <c r="CU152"/>
      <c r="DC152" s="1"/>
      <c r="DD152" s="1"/>
      <c r="DF152"/>
      <c r="DG152"/>
    </row>
    <row r="153" spans="85:111" x14ac:dyDescent="0.3">
      <c r="CG153" s="38">
        <v>147</v>
      </c>
      <c r="CH153" s="35">
        <f t="shared" si="9"/>
        <v>0</v>
      </c>
      <c r="CI153" s="35" t="str">
        <f>IF(tblTrazabilidad[[#This Row],[Código]]=0,"",IFERROR(IF(SEARCH("JM",tblTrazabilidad[[#This Row],[Código]])&gt;0,"Juego de pesas",),"Pesa"))</f>
        <v/>
      </c>
      <c r="CJ153" s="35" t="str">
        <f>IFERROR(VLOOKUP($CH153,tblBD_PatronMasa[[Código Patrón]:[mN-(mpe–U95)]],2,FALSE),"")</f>
        <v/>
      </c>
      <c r="CK153" s="35" t="str">
        <f>IFERROR(VLOOKUP($CH153,tblBD_PatronMasa[[Código Patrón]:[mN-(mpe–U95)]],13,FALSE),"")</f>
        <v/>
      </c>
      <c r="CL153" s="34" t="str">
        <f>IF(tblTrazabilidad[[#This Row],[Clase]]="F2",IFERROR(IF(VLOOKUP($CH153,tblBD_PatronMasa[[Código Patrón]:[mN-(mpe–U95)]],12,FALSE)=0,"",VLOOKUP($CH153,tblBD_PatronMasa[[Código Patrón]:[mN-(mpe–U95)]],12,FALSE)+731),""),IF(tblTrazabilidad[[#This Row],[Clase]]="F1",IFERROR(IF(VLOOKUP($CH153,tblBD_PatronMasa[[Código Patrón]:[mN-(mpe–U95)]],12,FALSE)=0,"",VLOOKUP($CH153,tblBD_PatronMasa[[Código Patrón]:[mN-(mpe–U95)]],12,FALSE)+731),""),IFERROR(IF(VLOOKUP($CH153,tblBD_PatronMasa[[Código Patrón]:[mN-(mpe–U95)]],12,FALSE)=0,"",VLOOKUP($CH153,tblBD_PatronMasa[[Código Patrón]:[mN-(mpe–U95)]],12,FALSE)+366),"")))</f>
        <v/>
      </c>
      <c r="CM153" s="33" t="str">
        <f>IFERROR(VLOOKUP($CH153,tblBD_PatronMasa[[Código Patrón]:[mN-(mpe–U95)]],3,FALSE),"")</f>
        <v/>
      </c>
      <c r="CS153" s="32"/>
      <c r="CU153"/>
      <c r="DC153" s="1"/>
      <c r="DD153" s="1"/>
      <c r="DF153"/>
      <c r="DG153"/>
    </row>
    <row r="154" spans="85:111" x14ac:dyDescent="0.3">
      <c r="CG154" s="38">
        <v>148</v>
      </c>
      <c r="CH154" s="35">
        <f t="shared" si="9"/>
        <v>0</v>
      </c>
      <c r="CI154" s="35" t="str">
        <f>IF(tblTrazabilidad[[#This Row],[Código]]=0,"",IFERROR(IF(SEARCH("JM",tblTrazabilidad[[#This Row],[Código]])&gt;0,"Juego de pesas",),"Pesa"))</f>
        <v/>
      </c>
      <c r="CJ154" s="35" t="str">
        <f>IFERROR(VLOOKUP($CH154,tblBD_PatronMasa[[Código Patrón]:[mN-(mpe–U95)]],2,FALSE),"")</f>
        <v/>
      </c>
      <c r="CK154" s="35" t="str">
        <f>IFERROR(VLOOKUP($CH154,tblBD_PatronMasa[[Código Patrón]:[mN-(mpe–U95)]],13,FALSE),"")</f>
        <v/>
      </c>
      <c r="CL154" s="34" t="str">
        <f>IF(tblTrazabilidad[[#This Row],[Clase]]="F2",IFERROR(IF(VLOOKUP($CH154,tblBD_PatronMasa[[Código Patrón]:[mN-(mpe–U95)]],12,FALSE)=0,"",VLOOKUP($CH154,tblBD_PatronMasa[[Código Patrón]:[mN-(mpe–U95)]],12,FALSE)+731),""),IF(tblTrazabilidad[[#This Row],[Clase]]="F1",IFERROR(IF(VLOOKUP($CH154,tblBD_PatronMasa[[Código Patrón]:[mN-(mpe–U95)]],12,FALSE)=0,"",VLOOKUP($CH154,tblBD_PatronMasa[[Código Patrón]:[mN-(mpe–U95)]],12,FALSE)+731),""),IFERROR(IF(VLOOKUP($CH154,tblBD_PatronMasa[[Código Patrón]:[mN-(mpe–U95)]],12,FALSE)=0,"",VLOOKUP($CH154,tblBD_PatronMasa[[Código Patrón]:[mN-(mpe–U95)]],12,FALSE)+366),"")))</f>
        <v/>
      </c>
      <c r="CM154" s="33" t="str">
        <f>IFERROR(VLOOKUP($CH154,tblBD_PatronMasa[[Código Patrón]:[mN-(mpe–U95)]],3,FALSE),"")</f>
        <v/>
      </c>
      <c r="CS154" s="32"/>
      <c r="CU154"/>
      <c r="DC154" s="1"/>
      <c r="DD154" s="1"/>
      <c r="DF154"/>
      <c r="DG154"/>
    </row>
    <row r="155" spans="85:111" x14ac:dyDescent="0.3">
      <c r="CG155" s="38">
        <v>149</v>
      </c>
      <c r="CH155" s="35">
        <f t="shared" si="9"/>
        <v>0</v>
      </c>
      <c r="CI155" s="35" t="str">
        <f>IF(tblTrazabilidad[[#This Row],[Código]]=0,"",IFERROR(IF(SEARCH("JM",tblTrazabilidad[[#This Row],[Código]])&gt;0,"Juego de pesas",),"Pesa"))</f>
        <v/>
      </c>
      <c r="CJ155" s="35" t="str">
        <f>IFERROR(VLOOKUP($CH155,tblBD_PatronMasa[[Código Patrón]:[mN-(mpe–U95)]],2,FALSE),"")</f>
        <v/>
      </c>
      <c r="CK155" s="35" t="str">
        <f>IFERROR(VLOOKUP($CH155,tblBD_PatronMasa[[Código Patrón]:[mN-(mpe–U95)]],13,FALSE),"")</f>
        <v/>
      </c>
      <c r="CL155" s="34" t="str">
        <f>IF(tblTrazabilidad[[#This Row],[Clase]]="F2",IFERROR(IF(VLOOKUP($CH155,tblBD_PatronMasa[[Código Patrón]:[mN-(mpe–U95)]],12,FALSE)=0,"",VLOOKUP($CH155,tblBD_PatronMasa[[Código Patrón]:[mN-(mpe–U95)]],12,FALSE)+731),""),IF(tblTrazabilidad[[#This Row],[Clase]]="F1",IFERROR(IF(VLOOKUP($CH155,tblBD_PatronMasa[[Código Patrón]:[mN-(mpe–U95)]],12,FALSE)=0,"",VLOOKUP($CH155,tblBD_PatronMasa[[Código Patrón]:[mN-(mpe–U95)]],12,FALSE)+731),""),IFERROR(IF(VLOOKUP($CH155,tblBD_PatronMasa[[Código Patrón]:[mN-(mpe–U95)]],12,FALSE)=0,"",VLOOKUP($CH155,tblBD_PatronMasa[[Código Patrón]:[mN-(mpe–U95)]],12,FALSE)+366),"")))</f>
        <v/>
      </c>
      <c r="CM155" s="33" t="str">
        <f>IFERROR(VLOOKUP($CH155,tblBD_PatronMasa[[Código Patrón]:[mN-(mpe–U95)]],3,FALSE),"")</f>
        <v/>
      </c>
      <c r="CS155" s="32"/>
      <c r="CU155"/>
      <c r="DC155" s="1"/>
      <c r="DD155" s="1"/>
      <c r="DF155"/>
      <c r="DG155"/>
    </row>
    <row r="156" spans="85:111" x14ac:dyDescent="0.3">
      <c r="CG156" s="38">
        <v>150</v>
      </c>
      <c r="CH156" s="35">
        <f t="shared" si="9"/>
        <v>0</v>
      </c>
      <c r="CI156" s="35" t="str">
        <f>IF(tblTrazabilidad[[#This Row],[Código]]=0,"",IFERROR(IF(SEARCH("JM",tblTrazabilidad[[#This Row],[Código]])&gt;0,"Juego de pesas",),"Pesa"))</f>
        <v/>
      </c>
      <c r="CJ156" s="35" t="str">
        <f>IFERROR(VLOOKUP($CH156,tblBD_PatronMasa[[Código Patrón]:[mN-(mpe–U95)]],2,FALSE),"")</f>
        <v/>
      </c>
      <c r="CK156" s="35" t="str">
        <f>IFERROR(VLOOKUP($CH156,tblBD_PatronMasa[[Código Patrón]:[mN-(mpe–U95)]],13,FALSE),"")</f>
        <v/>
      </c>
      <c r="CL156" s="34" t="str">
        <f>IF(tblTrazabilidad[[#This Row],[Clase]]="F2",IFERROR(IF(VLOOKUP($CH156,tblBD_PatronMasa[[Código Patrón]:[mN-(mpe–U95)]],12,FALSE)=0,"",VLOOKUP($CH156,tblBD_PatronMasa[[Código Patrón]:[mN-(mpe–U95)]],12,FALSE)+731),""),IF(tblTrazabilidad[[#This Row],[Clase]]="F1",IFERROR(IF(VLOOKUP($CH156,tblBD_PatronMasa[[Código Patrón]:[mN-(mpe–U95)]],12,FALSE)=0,"",VLOOKUP($CH156,tblBD_PatronMasa[[Código Patrón]:[mN-(mpe–U95)]],12,FALSE)+731),""),IFERROR(IF(VLOOKUP($CH156,tblBD_PatronMasa[[Código Patrón]:[mN-(mpe–U95)]],12,FALSE)=0,"",VLOOKUP($CH156,tblBD_PatronMasa[[Código Patrón]:[mN-(mpe–U95)]],12,FALSE)+366),"")))</f>
        <v/>
      </c>
      <c r="CM156" s="33" t="str">
        <f>IFERROR(VLOOKUP($CH156,tblBD_PatronMasa[[Código Patrón]:[mN-(mpe–U95)]],3,FALSE),"")</f>
        <v/>
      </c>
      <c r="CS156" s="32"/>
      <c r="CU156"/>
      <c r="DC156" s="1"/>
      <c r="DD156" s="1"/>
      <c r="DF156"/>
      <c r="DG156"/>
    </row>
    <row r="157" spans="85:111" x14ac:dyDescent="0.3">
      <c r="CG157" s="38">
        <v>151</v>
      </c>
      <c r="CH157" s="35">
        <f t="shared" ref="CH157:CH188" si="10">AH5</f>
        <v>0</v>
      </c>
      <c r="CI157" s="35" t="str">
        <f>IF(tblTrazabilidad[[#This Row],[Código]]=0,"",IFERROR(IF(SEARCH("JM",tblTrazabilidad[[#This Row],[Código]])&gt;0,"Juego de pesas",),"Pesa"))</f>
        <v/>
      </c>
      <c r="CJ157" s="35" t="str">
        <f>IFERROR(VLOOKUP($CH157,tblBD_PatronMasa[[Código Patrón]:[mN-(mpe–U95)]],2,FALSE),"")</f>
        <v/>
      </c>
      <c r="CK157" s="35" t="str">
        <f>IFERROR(VLOOKUP($CH157,tblBD_PatronMasa[[Código Patrón]:[mN-(mpe–U95)]],13,FALSE),"")</f>
        <v/>
      </c>
      <c r="CL157" s="34" t="str">
        <f>IF(tblTrazabilidad[[#This Row],[Clase]]="F2",IFERROR(IF(VLOOKUP($CH157,tblBD_PatronMasa[[Código Patrón]:[mN-(mpe–U95)]],12,FALSE)=0,"",VLOOKUP($CH157,tblBD_PatronMasa[[Código Patrón]:[mN-(mpe–U95)]],12,FALSE)+731),""),IF(tblTrazabilidad[[#This Row],[Clase]]="F1",IFERROR(IF(VLOOKUP($CH157,tblBD_PatronMasa[[Código Patrón]:[mN-(mpe–U95)]],12,FALSE)=0,"",VLOOKUP($CH157,tblBD_PatronMasa[[Código Patrón]:[mN-(mpe–U95)]],12,FALSE)+731),""),IFERROR(IF(VLOOKUP($CH157,tblBD_PatronMasa[[Código Patrón]:[mN-(mpe–U95)]],12,FALSE)=0,"",VLOOKUP($CH157,tblBD_PatronMasa[[Código Patrón]:[mN-(mpe–U95)]],12,FALSE)+366),"")))</f>
        <v/>
      </c>
      <c r="CM157" s="33" t="str">
        <f>IFERROR(VLOOKUP($CH157,tblBD_PatronMasa[[Código Patrón]:[mN-(mpe–U95)]],3,FALSE),"")</f>
        <v/>
      </c>
      <c r="CS157" s="32"/>
      <c r="CU157"/>
      <c r="DC157" s="1"/>
      <c r="DD157" s="1"/>
      <c r="DF157"/>
      <c r="DG157"/>
    </row>
    <row r="158" spans="85:111" x14ac:dyDescent="0.3">
      <c r="CG158" s="38">
        <v>152</v>
      </c>
      <c r="CH158" s="35">
        <f t="shared" si="10"/>
        <v>0</v>
      </c>
      <c r="CI158" s="35" t="str">
        <f>IF(tblTrazabilidad[[#This Row],[Código]]=0,"",IFERROR(IF(SEARCH("JM",tblTrazabilidad[[#This Row],[Código]])&gt;0,"Juego de pesas",),"Pesa"))</f>
        <v/>
      </c>
      <c r="CJ158" s="35" t="str">
        <f>IFERROR(VLOOKUP($CH158,tblBD_PatronMasa[[Código Patrón]:[mN-(mpe–U95)]],2,FALSE),"")</f>
        <v/>
      </c>
      <c r="CK158" s="35" t="str">
        <f>IFERROR(VLOOKUP($CH158,tblBD_PatronMasa[[Código Patrón]:[mN-(mpe–U95)]],13,FALSE),"")</f>
        <v/>
      </c>
      <c r="CL158" s="34" t="str">
        <f>IF(tblTrazabilidad[[#This Row],[Clase]]="F2",IFERROR(IF(VLOOKUP($CH158,tblBD_PatronMasa[[Código Patrón]:[mN-(mpe–U95)]],12,FALSE)=0,"",VLOOKUP($CH158,tblBD_PatronMasa[[Código Patrón]:[mN-(mpe–U95)]],12,FALSE)+731),""),IF(tblTrazabilidad[[#This Row],[Clase]]="F1",IFERROR(IF(VLOOKUP($CH158,tblBD_PatronMasa[[Código Patrón]:[mN-(mpe–U95)]],12,FALSE)=0,"",VLOOKUP($CH158,tblBD_PatronMasa[[Código Patrón]:[mN-(mpe–U95)]],12,FALSE)+731),""),IFERROR(IF(VLOOKUP($CH158,tblBD_PatronMasa[[Código Patrón]:[mN-(mpe–U95)]],12,FALSE)=0,"",VLOOKUP($CH158,tblBD_PatronMasa[[Código Patrón]:[mN-(mpe–U95)]],12,FALSE)+366),"")))</f>
        <v/>
      </c>
      <c r="CM158" s="33" t="str">
        <f>IFERROR(VLOOKUP($CH158,tblBD_PatronMasa[[Código Patrón]:[mN-(mpe–U95)]],3,FALSE),"")</f>
        <v/>
      </c>
      <c r="CS158" s="32"/>
      <c r="CU158"/>
      <c r="DC158" s="1"/>
      <c r="DD158" s="1"/>
      <c r="DF158"/>
      <c r="DG158"/>
    </row>
    <row r="159" spans="85:111" x14ac:dyDescent="0.3">
      <c r="CG159" s="38">
        <v>153</v>
      </c>
      <c r="CH159" s="35">
        <f t="shared" si="10"/>
        <v>0</v>
      </c>
      <c r="CI159" s="35" t="str">
        <f>IF(tblTrazabilidad[[#This Row],[Código]]=0,"",IFERROR(IF(SEARCH("JM",tblTrazabilidad[[#This Row],[Código]])&gt;0,"Juego de pesas",),"Pesa"))</f>
        <v/>
      </c>
      <c r="CJ159" s="35" t="str">
        <f>IFERROR(VLOOKUP($CH159,tblBD_PatronMasa[[Código Patrón]:[mN-(mpe–U95)]],2,FALSE),"")</f>
        <v/>
      </c>
      <c r="CK159" s="35" t="str">
        <f>IFERROR(VLOOKUP($CH159,tblBD_PatronMasa[[Código Patrón]:[mN-(mpe–U95)]],13,FALSE),"")</f>
        <v/>
      </c>
      <c r="CL159" s="34" t="str">
        <f>IF(tblTrazabilidad[[#This Row],[Clase]]="F2",IFERROR(IF(VLOOKUP($CH159,tblBD_PatronMasa[[Código Patrón]:[mN-(mpe–U95)]],12,FALSE)=0,"",VLOOKUP($CH159,tblBD_PatronMasa[[Código Patrón]:[mN-(mpe–U95)]],12,FALSE)+731),""),IF(tblTrazabilidad[[#This Row],[Clase]]="F1",IFERROR(IF(VLOOKUP($CH159,tblBD_PatronMasa[[Código Patrón]:[mN-(mpe–U95)]],12,FALSE)=0,"",VLOOKUP($CH159,tblBD_PatronMasa[[Código Patrón]:[mN-(mpe–U95)]],12,FALSE)+731),""),IFERROR(IF(VLOOKUP($CH159,tblBD_PatronMasa[[Código Patrón]:[mN-(mpe–U95)]],12,FALSE)=0,"",VLOOKUP($CH159,tblBD_PatronMasa[[Código Patrón]:[mN-(mpe–U95)]],12,FALSE)+366),"")))</f>
        <v/>
      </c>
      <c r="CM159" s="33" t="str">
        <f>IFERROR(VLOOKUP($CH159,tblBD_PatronMasa[[Código Patrón]:[mN-(mpe–U95)]],3,FALSE),"")</f>
        <v/>
      </c>
      <c r="CS159" s="32"/>
      <c r="CU159"/>
      <c r="DC159" s="1"/>
      <c r="DD159" s="1"/>
      <c r="DF159"/>
      <c r="DG159"/>
    </row>
    <row r="160" spans="85:111" x14ac:dyDescent="0.3">
      <c r="CG160" s="38">
        <v>154</v>
      </c>
      <c r="CH160" s="35">
        <f t="shared" si="10"/>
        <v>0</v>
      </c>
      <c r="CI160" s="35" t="str">
        <f>IF(tblTrazabilidad[[#This Row],[Código]]=0,"",IFERROR(IF(SEARCH("JM",tblTrazabilidad[[#This Row],[Código]])&gt;0,"Juego de pesas",),"Pesa"))</f>
        <v/>
      </c>
      <c r="CJ160" s="35" t="str">
        <f>IFERROR(VLOOKUP($CH160,tblBD_PatronMasa[[Código Patrón]:[mN-(mpe–U95)]],2,FALSE),"")</f>
        <v/>
      </c>
      <c r="CK160" s="35" t="str">
        <f>IFERROR(VLOOKUP($CH160,tblBD_PatronMasa[[Código Patrón]:[mN-(mpe–U95)]],13,FALSE),"")</f>
        <v/>
      </c>
      <c r="CL160" s="34" t="str">
        <f>IF(tblTrazabilidad[[#This Row],[Clase]]="F2",IFERROR(IF(VLOOKUP($CH160,tblBD_PatronMasa[[Código Patrón]:[mN-(mpe–U95)]],12,FALSE)=0,"",VLOOKUP($CH160,tblBD_PatronMasa[[Código Patrón]:[mN-(mpe–U95)]],12,FALSE)+731),""),IF(tblTrazabilidad[[#This Row],[Clase]]="F1",IFERROR(IF(VLOOKUP($CH160,tblBD_PatronMasa[[Código Patrón]:[mN-(mpe–U95)]],12,FALSE)=0,"",VLOOKUP($CH160,tblBD_PatronMasa[[Código Patrón]:[mN-(mpe–U95)]],12,FALSE)+731),""),IFERROR(IF(VLOOKUP($CH160,tblBD_PatronMasa[[Código Patrón]:[mN-(mpe–U95)]],12,FALSE)=0,"",VLOOKUP($CH160,tblBD_PatronMasa[[Código Patrón]:[mN-(mpe–U95)]],12,FALSE)+366),"")))</f>
        <v/>
      </c>
      <c r="CM160" s="33" t="str">
        <f>IFERROR(VLOOKUP($CH160,tblBD_PatronMasa[[Código Patrón]:[mN-(mpe–U95)]],3,FALSE),"")</f>
        <v/>
      </c>
      <c r="CS160" s="32"/>
      <c r="CU160"/>
      <c r="DC160" s="1"/>
      <c r="DD160" s="1"/>
      <c r="DF160"/>
      <c r="DG160"/>
    </row>
    <row r="161" spans="85:111" x14ac:dyDescent="0.3">
      <c r="CG161" s="38">
        <v>155</v>
      </c>
      <c r="CH161" s="35">
        <f t="shared" si="10"/>
        <v>0</v>
      </c>
      <c r="CI161" s="35" t="str">
        <f>IF(tblTrazabilidad[[#This Row],[Código]]=0,"",IFERROR(IF(SEARCH("JM",tblTrazabilidad[[#This Row],[Código]])&gt;0,"Juego de pesas",),"Pesa"))</f>
        <v/>
      </c>
      <c r="CJ161" s="35" t="str">
        <f>IFERROR(VLOOKUP($CH161,tblBD_PatronMasa[[Código Patrón]:[mN-(mpe–U95)]],2,FALSE),"")</f>
        <v/>
      </c>
      <c r="CK161" s="35" t="str">
        <f>IFERROR(VLOOKUP($CH161,tblBD_PatronMasa[[Código Patrón]:[mN-(mpe–U95)]],13,FALSE),"")</f>
        <v/>
      </c>
      <c r="CL161" s="34" t="str">
        <f>IF(tblTrazabilidad[[#This Row],[Clase]]="F2",IFERROR(IF(VLOOKUP($CH161,tblBD_PatronMasa[[Código Patrón]:[mN-(mpe–U95)]],12,FALSE)=0,"",VLOOKUP($CH161,tblBD_PatronMasa[[Código Patrón]:[mN-(mpe–U95)]],12,FALSE)+731),""),IF(tblTrazabilidad[[#This Row],[Clase]]="F1",IFERROR(IF(VLOOKUP($CH161,tblBD_PatronMasa[[Código Patrón]:[mN-(mpe–U95)]],12,FALSE)=0,"",VLOOKUP($CH161,tblBD_PatronMasa[[Código Patrón]:[mN-(mpe–U95)]],12,FALSE)+731),""),IFERROR(IF(VLOOKUP($CH161,tblBD_PatronMasa[[Código Patrón]:[mN-(mpe–U95)]],12,FALSE)=0,"",VLOOKUP($CH161,tblBD_PatronMasa[[Código Patrón]:[mN-(mpe–U95)]],12,FALSE)+366),"")))</f>
        <v/>
      </c>
      <c r="CM161" s="33" t="str">
        <f>IFERROR(VLOOKUP($CH161,tblBD_PatronMasa[[Código Patrón]:[mN-(mpe–U95)]],3,FALSE),"")</f>
        <v/>
      </c>
      <c r="CS161" s="32"/>
      <c r="CU161"/>
      <c r="DC161" s="1"/>
      <c r="DD161" s="1"/>
      <c r="DF161"/>
      <c r="DG161"/>
    </row>
    <row r="162" spans="85:111" x14ac:dyDescent="0.3">
      <c r="CG162" s="38">
        <v>156</v>
      </c>
      <c r="CH162" s="35">
        <f t="shared" si="10"/>
        <v>0</v>
      </c>
      <c r="CI162" s="35" t="str">
        <f>IF(tblTrazabilidad[[#This Row],[Código]]=0,"",IFERROR(IF(SEARCH("JM",tblTrazabilidad[[#This Row],[Código]])&gt;0,"Juego de pesas",),"Pesa"))</f>
        <v/>
      </c>
      <c r="CJ162" s="35" t="str">
        <f>IFERROR(VLOOKUP($CH162,tblBD_PatronMasa[[Código Patrón]:[mN-(mpe–U95)]],2,FALSE),"")</f>
        <v/>
      </c>
      <c r="CK162" s="35" t="str">
        <f>IFERROR(VLOOKUP($CH162,tblBD_PatronMasa[[Código Patrón]:[mN-(mpe–U95)]],13,FALSE),"")</f>
        <v/>
      </c>
      <c r="CL162" s="34" t="str">
        <f>IF(tblTrazabilidad[[#This Row],[Clase]]="F2",IFERROR(IF(VLOOKUP($CH162,tblBD_PatronMasa[[Código Patrón]:[mN-(mpe–U95)]],12,FALSE)=0,"",VLOOKUP($CH162,tblBD_PatronMasa[[Código Patrón]:[mN-(mpe–U95)]],12,FALSE)+731),""),IF(tblTrazabilidad[[#This Row],[Clase]]="F1",IFERROR(IF(VLOOKUP($CH162,tblBD_PatronMasa[[Código Patrón]:[mN-(mpe–U95)]],12,FALSE)=0,"",VLOOKUP($CH162,tblBD_PatronMasa[[Código Patrón]:[mN-(mpe–U95)]],12,FALSE)+731),""),IFERROR(IF(VLOOKUP($CH162,tblBD_PatronMasa[[Código Patrón]:[mN-(mpe–U95)]],12,FALSE)=0,"",VLOOKUP($CH162,tblBD_PatronMasa[[Código Patrón]:[mN-(mpe–U95)]],12,FALSE)+366),"")))</f>
        <v/>
      </c>
      <c r="CM162" s="33" t="str">
        <f>IFERROR(VLOOKUP($CH162,tblBD_PatronMasa[[Código Patrón]:[mN-(mpe–U95)]],3,FALSE),"")</f>
        <v/>
      </c>
      <c r="CS162" s="32"/>
      <c r="CU162"/>
      <c r="DC162" s="1"/>
      <c r="DD162" s="1"/>
      <c r="DF162"/>
      <c r="DG162"/>
    </row>
    <row r="163" spans="85:111" x14ac:dyDescent="0.3">
      <c r="CG163" s="38">
        <v>157</v>
      </c>
      <c r="CH163" s="35">
        <f t="shared" si="10"/>
        <v>0</v>
      </c>
      <c r="CI163" s="35" t="str">
        <f>IF(tblTrazabilidad[[#This Row],[Código]]=0,"",IFERROR(IF(SEARCH("JM",tblTrazabilidad[[#This Row],[Código]])&gt;0,"Juego de pesas",),"Pesa"))</f>
        <v/>
      </c>
      <c r="CJ163" s="35" t="str">
        <f>IFERROR(VLOOKUP($CH163,tblBD_PatronMasa[[Código Patrón]:[mN-(mpe–U95)]],2,FALSE),"")</f>
        <v/>
      </c>
      <c r="CK163" s="35" t="str">
        <f>IFERROR(VLOOKUP($CH163,tblBD_PatronMasa[[Código Patrón]:[mN-(mpe–U95)]],13,FALSE),"")</f>
        <v/>
      </c>
      <c r="CL163" s="34" t="str">
        <f>IF(tblTrazabilidad[[#This Row],[Clase]]="F2",IFERROR(IF(VLOOKUP($CH163,tblBD_PatronMasa[[Código Patrón]:[mN-(mpe–U95)]],12,FALSE)=0,"",VLOOKUP($CH163,tblBD_PatronMasa[[Código Patrón]:[mN-(mpe–U95)]],12,FALSE)+731),""),IF(tblTrazabilidad[[#This Row],[Clase]]="F1",IFERROR(IF(VLOOKUP($CH163,tblBD_PatronMasa[[Código Patrón]:[mN-(mpe–U95)]],12,FALSE)=0,"",VLOOKUP($CH163,tblBD_PatronMasa[[Código Patrón]:[mN-(mpe–U95)]],12,FALSE)+731),""),IFERROR(IF(VLOOKUP($CH163,tblBD_PatronMasa[[Código Patrón]:[mN-(mpe–U95)]],12,FALSE)=0,"",VLOOKUP($CH163,tblBD_PatronMasa[[Código Patrón]:[mN-(mpe–U95)]],12,FALSE)+366),"")))</f>
        <v/>
      </c>
      <c r="CM163" s="33" t="str">
        <f>IFERROR(VLOOKUP($CH163,tblBD_PatronMasa[[Código Patrón]:[mN-(mpe–U95)]],3,FALSE),"")</f>
        <v/>
      </c>
      <c r="CS163" s="32"/>
      <c r="CU163"/>
      <c r="DC163" s="1"/>
      <c r="DD163" s="1"/>
      <c r="DF163"/>
      <c r="DG163"/>
    </row>
    <row r="164" spans="85:111" x14ac:dyDescent="0.3">
      <c r="CG164" s="38">
        <v>158</v>
      </c>
      <c r="CH164" s="35">
        <f t="shared" si="10"/>
        <v>0</v>
      </c>
      <c r="CI164" s="35" t="str">
        <f>IF(tblTrazabilidad[[#This Row],[Código]]=0,"",IFERROR(IF(SEARCH("JM",tblTrazabilidad[[#This Row],[Código]])&gt;0,"Juego de pesas",),"Pesa"))</f>
        <v/>
      </c>
      <c r="CJ164" s="35" t="str">
        <f>IFERROR(VLOOKUP($CH164,tblBD_PatronMasa[[Código Patrón]:[mN-(mpe–U95)]],2,FALSE),"")</f>
        <v/>
      </c>
      <c r="CK164" s="35" t="str">
        <f>IFERROR(VLOOKUP($CH164,tblBD_PatronMasa[[Código Patrón]:[mN-(mpe–U95)]],13,FALSE),"")</f>
        <v/>
      </c>
      <c r="CL164" s="34" t="str">
        <f>IF(tblTrazabilidad[[#This Row],[Clase]]="F2",IFERROR(IF(VLOOKUP($CH164,tblBD_PatronMasa[[Código Patrón]:[mN-(mpe–U95)]],12,FALSE)=0,"",VLOOKUP($CH164,tblBD_PatronMasa[[Código Patrón]:[mN-(mpe–U95)]],12,FALSE)+731),""),IF(tblTrazabilidad[[#This Row],[Clase]]="F1",IFERROR(IF(VLOOKUP($CH164,tblBD_PatronMasa[[Código Patrón]:[mN-(mpe–U95)]],12,FALSE)=0,"",VLOOKUP($CH164,tblBD_PatronMasa[[Código Patrón]:[mN-(mpe–U95)]],12,FALSE)+731),""),IFERROR(IF(VLOOKUP($CH164,tblBD_PatronMasa[[Código Patrón]:[mN-(mpe–U95)]],12,FALSE)=0,"",VLOOKUP($CH164,tblBD_PatronMasa[[Código Patrón]:[mN-(mpe–U95)]],12,FALSE)+366),"")))</f>
        <v/>
      </c>
      <c r="CM164" s="33" t="str">
        <f>IFERROR(VLOOKUP($CH164,tblBD_PatronMasa[[Código Patrón]:[mN-(mpe–U95)]],3,FALSE),"")</f>
        <v/>
      </c>
      <c r="CS164" s="32"/>
      <c r="CU164"/>
      <c r="DC164" s="1"/>
      <c r="DD164" s="1"/>
      <c r="DF164"/>
      <c r="DG164"/>
    </row>
    <row r="165" spans="85:111" x14ac:dyDescent="0.3">
      <c r="CG165" s="38">
        <v>159</v>
      </c>
      <c r="CH165" s="35">
        <f t="shared" si="10"/>
        <v>0</v>
      </c>
      <c r="CI165" s="35" t="str">
        <f>IF(tblTrazabilidad[[#This Row],[Código]]=0,"",IFERROR(IF(SEARCH("JM",tblTrazabilidad[[#This Row],[Código]])&gt;0,"Juego de pesas",),"Pesa"))</f>
        <v/>
      </c>
      <c r="CJ165" s="35" t="str">
        <f>IFERROR(VLOOKUP($CH165,tblBD_PatronMasa[[Código Patrón]:[mN-(mpe–U95)]],2,FALSE),"")</f>
        <v/>
      </c>
      <c r="CK165" s="35" t="str">
        <f>IFERROR(VLOOKUP($CH165,tblBD_PatronMasa[[Código Patrón]:[mN-(mpe–U95)]],13,FALSE),"")</f>
        <v/>
      </c>
      <c r="CL165" s="34" t="str">
        <f>IF(tblTrazabilidad[[#This Row],[Clase]]="F2",IFERROR(IF(VLOOKUP($CH165,tblBD_PatronMasa[[Código Patrón]:[mN-(mpe–U95)]],12,FALSE)=0,"",VLOOKUP($CH165,tblBD_PatronMasa[[Código Patrón]:[mN-(mpe–U95)]],12,FALSE)+731),""),IF(tblTrazabilidad[[#This Row],[Clase]]="F1",IFERROR(IF(VLOOKUP($CH165,tblBD_PatronMasa[[Código Patrón]:[mN-(mpe–U95)]],12,FALSE)=0,"",VLOOKUP($CH165,tblBD_PatronMasa[[Código Patrón]:[mN-(mpe–U95)]],12,FALSE)+731),""),IFERROR(IF(VLOOKUP($CH165,tblBD_PatronMasa[[Código Patrón]:[mN-(mpe–U95)]],12,FALSE)=0,"",VLOOKUP($CH165,tblBD_PatronMasa[[Código Patrón]:[mN-(mpe–U95)]],12,FALSE)+366),"")))</f>
        <v/>
      </c>
      <c r="CM165" s="33" t="str">
        <f>IFERROR(VLOOKUP($CH165,tblBD_PatronMasa[[Código Patrón]:[mN-(mpe–U95)]],3,FALSE),"")</f>
        <v/>
      </c>
      <c r="CS165" s="32"/>
      <c r="CU165"/>
      <c r="DC165" s="1"/>
      <c r="DD165" s="1"/>
      <c r="DF165"/>
      <c r="DG165"/>
    </row>
    <row r="166" spans="85:111" x14ac:dyDescent="0.3">
      <c r="CG166" s="38">
        <v>160</v>
      </c>
      <c r="CH166" s="35">
        <f t="shared" si="10"/>
        <v>0</v>
      </c>
      <c r="CI166" s="35" t="str">
        <f>IF(tblTrazabilidad[[#This Row],[Código]]=0,"",IFERROR(IF(SEARCH("JM",tblTrazabilidad[[#This Row],[Código]])&gt;0,"Juego de pesas",),"Pesa"))</f>
        <v/>
      </c>
      <c r="CJ166" s="35" t="str">
        <f>IFERROR(VLOOKUP($CH166,tblBD_PatronMasa[[Código Patrón]:[mN-(mpe–U95)]],2,FALSE),"")</f>
        <v/>
      </c>
      <c r="CK166" s="35" t="str">
        <f>IFERROR(VLOOKUP($CH166,tblBD_PatronMasa[[Código Patrón]:[mN-(mpe–U95)]],13,FALSE),"")</f>
        <v/>
      </c>
      <c r="CL166" s="34" t="str">
        <f>IF(tblTrazabilidad[[#This Row],[Clase]]="F2",IFERROR(IF(VLOOKUP($CH166,tblBD_PatronMasa[[Código Patrón]:[mN-(mpe–U95)]],12,FALSE)=0,"",VLOOKUP($CH166,tblBD_PatronMasa[[Código Patrón]:[mN-(mpe–U95)]],12,FALSE)+731),""),IF(tblTrazabilidad[[#This Row],[Clase]]="F1",IFERROR(IF(VLOOKUP($CH166,tblBD_PatronMasa[[Código Patrón]:[mN-(mpe–U95)]],12,FALSE)=0,"",VLOOKUP($CH166,tblBD_PatronMasa[[Código Patrón]:[mN-(mpe–U95)]],12,FALSE)+731),""),IFERROR(IF(VLOOKUP($CH166,tblBD_PatronMasa[[Código Patrón]:[mN-(mpe–U95)]],12,FALSE)=0,"",VLOOKUP($CH166,tblBD_PatronMasa[[Código Patrón]:[mN-(mpe–U95)]],12,FALSE)+366),"")))</f>
        <v/>
      </c>
      <c r="CM166" s="33" t="str">
        <f>IFERROR(VLOOKUP($CH166,tblBD_PatronMasa[[Código Patrón]:[mN-(mpe–U95)]],3,FALSE),"")</f>
        <v/>
      </c>
      <c r="CS166" s="32"/>
      <c r="CU166"/>
      <c r="DC166" s="1"/>
      <c r="DD166" s="1"/>
      <c r="DF166"/>
      <c r="DG166"/>
    </row>
    <row r="167" spans="85:111" x14ac:dyDescent="0.3">
      <c r="CG167" s="38">
        <v>161</v>
      </c>
      <c r="CH167" s="35">
        <f t="shared" si="10"/>
        <v>0</v>
      </c>
      <c r="CI167" s="35" t="str">
        <f>IF(tblTrazabilidad[[#This Row],[Código]]=0,"",IFERROR(IF(SEARCH("JM",tblTrazabilidad[[#This Row],[Código]])&gt;0,"Juego de pesas",),"Pesa"))</f>
        <v/>
      </c>
      <c r="CJ167" s="35" t="str">
        <f>IFERROR(VLOOKUP($CH167,tblBD_PatronMasa[[Código Patrón]:[mN-(mpe–U95)]],2,FALSE),"")</f>
        <v/>
      </c>
      <c r="CK167" s="35" t="str">
        <f>IFERROR(VLOOKUP($CH167,tblBD_PatronMasa[[Código Patrón]:[mN-(mpe–U95)]],13,FALSE),"")</f>
        <v/>
      </c>
      <c r="CL167" s="34" t="str">
        <f>IF(tblTrazabilidad[[#This Row],[Clase]]="F2",IFERROR(IF(VLOOKUP($CH167,tblBD_PatronMasa[[Código Patrón]:[mN-(mpe–U95)]],12,FALSE)=0,"",VLOOKUP($CH167,tblBD_PatronMasa[[Código Patrón]:[mN-(mpe–U95)]],12,FALSE)+731),""),IF(tblTrazabilidad[[#This Row],[Clase]]="F1",IFERROR(IF(VLOOKUP($CH167,tblBD_PatronMasa[[Código Patrón]:[mN-(mpe–U95)]],12,FALSE)=0,"",VLOOKUP($CH167,tblBD_PatronMasa[[Código Patrón]:[mN-(mpe–U95)]],12,FALSE)+731),""),IFERROR(IF(VLOOKUP($CH167,tblBD_PatronMasa[[Código Patrón]:[mN-(mpe–U95)]],12,FALSE)=0,"",VLOOKUP($CH167,tblBD_PatronMasa[[Código Patrón]:[mN-(mpe–U95)]],12,FALSE)+366),"")))</f>
        <v/>
      </c>
      <c r="CM167" s="33" t="str">
        <f>IFERROR(VLOOKUP($CH167,tblBD_PatronMasa[[Código Patrón]:[mN-(mpe–U95)]],3,FALSE),"")</f>
        <v/>
      </c>
      <c r="CS167" s="32"/>
      <c r="CU167"/>
      <c r="DC167" s="1"/>
      <c r="DD167" s="1"/>
      <c r="DF167"/>
      <c r="DG167"/>
    </row>
    <row r="168" spans="85:111" x14ac:dyDescent="0.3">
      <c r="CG168" s="38">
        <v>162</v>
      </c>
      <c r="CH168" s="35">
        <f t="shared" si="10"/>
        <v>0</v>
      </c>
      <c r="CI168" s="35" t="str">
        <f>IF(tblTrazabilidad[[#This Row],[Código]]=0,"",IFERROR(IF(SEARCH("JM",tblTrazabilidad[[#This Row],[Código]])&gt;0,"Juego de pesas",),"Pesa"))</f>
        <v/>
      </c>
      <c r="CJ168" s="35" t="str">
        <f>IFERROR(VLOOKUP($CH168,tblBD_PatronMasa[[Código Patrón]:[mN-(mpe–U95)]],2,FALSE),"")</f>
        <v/>
      </c>
      <c r="CK168" s="35" t="str">
        <f>IFERROR(VLOOKUP($CH168,tblBD_PatronMasa[[Código Patrón]:[mN-(mpe–U95)]],13,FALSE),"")</f>
        <v/>
      </c>
      <c r="CL168" s="34" t="str">
        <f>IF(tblTrazabilidad[[#This Row],[Clase]]="F2",IFERROR(IF(VLOOKUP($CH168,tblBD_PatronMasa[[Código Patrón]:[mN-(mpe–U95)]],12,FALSE)=0,"",VLOOKUP($CH168,tblBD_PatronMasa[[Código Patrón]:[mN-(mpe–U95)]],12,FALSE)+731),""),IF(tblTrazabilidad[[#This Row],[Clase]]="F1",IFERROR(IF(VLOOKUP($CH168,tblBD_PatronMasa[[Código Patrón]:[mN-(mpe–U95)]],12,FALSE)=0,"",VLOOKUP($CH168,tblBD_PatronMasa[[Código Patrón]:[mN-(mpe–U95)]],12,FALSE)+731),""),IFERROR(IF(VLOOKUP($CH168,tblBD_PatronMasa[[Código Patrón]:[mN-(mpe–U95)]],12,FALSE)=0,"",VLOOKUP($CH168,tblBD_PatronMasa[[Código Patrón]:[mN-(mpe–U95)]],12,FALSE)+366),"")))</f>
        <v/>
      </c>
      <c r="CM168" s="33" t="str">
        <f>IFERROR(VLOOKUP($CH168,tblBD_PatronMasa[[Código Patrón]:[mN-(mpe–U95)]],3,FALSE),"")</f>
        <v/>
      </c>
      <c r="CS168" s="32"/>
      <c r="CU168"/>
      <c r="DC168" s="1"/>
      <c r="DD168" s="1"/>
      <c r="DF168"/>
      <c r="DG168"/>
    </row>
    <row r="169" spans="85:111" x14ac:dyDescent="0.3">
      <c r="CG169" s="38">
        <v>163</v>
      </c>
      <c r="CH169" s="35">
        <f t="shared" si="10"/>
        <v>0</v>
      </c>
      <c r="CI169" s="35" t="str">
        <f>IF(tblTrazabilidad[[#This Row],[Código]]=0,"",IFERROR(IF(SEARCH("JM",tblTrazabilidad[[#This Row],[Código]])&gt;0,"Juego de pesas",),"Pesa"))</f>
        <v/>
      </c>
      <c r="CJ169" s="35" t="str">
        <f>IFERROR(VLOOKUP($CH169,tblBD_PatronMasa[[Código Patrón]:[mN-(mpe–U95)]],2,FALSE),"")</f>
        <v/>
      </c>
      <c r="CK169" s="35" t="str">
        <f>IFERROR(VLOOKUP($CH169,tblBD_PatronMasa[[Código Patrón]:[mN-(mpe–U95)]],13,FALSE),"")</f>
        <v/>
      </c>
      <c r="CL169" s="34" t="str">
        <f>IF(tblTrazabilidad[[#This Row],[Clase]]="F2",IFERROR(IF(VLOOKUP($CH169,tblBD_PatronMasa[[Código Patrón]:[mN-(mpe–U95)]],12,FALSE)=0,"",VLOOKUP($CH169,tblBD_PatronMasa[[Código Patrón]:[mN-(mpe–U95)]],12,FALSE)+731),""),IF(tblTrazabilidad[[#This Row],[Clase]]="F1",IFERROR(IF(VLOOKUP($CH169,tblBD_PatronMasa[[Código Patrón]:[mN-(mpe–U95)]],12,FALSE)=0,"",VLOOKUP($CH169,tblBD_PatronMasa[[Código Patrón]:[mN-(mpe–U95)]],12,FALSE)+731),""),IFERROR(IF(VLOOKUP($CH169,tblBD_PatronMasa[[Código Patrón]:[mN-(mpe–U95)]],12,FALSE)=0,"",VLOOKUP($CH169,tblBD_PatronMasa[[Código Patrón]:[mN-(mpe–U95)]],12,FALSE)+366),"")))</f>
        <v/>
      </c>
      <c r="CM169" s="33" t="str">
        <f>IFERROR(VLOOKUP($CH169,tblBD_PatronMasa[[Código Patrón]:[mN-(mpe–U95)]],3,FALSE),"")</f>
        <v/>
      </c>
      <c r="CS169" s="32"/>
      <c r="CU169"/>
      <c r="DC169" s="1"/>
      <c r="DD169" s="1"/>
      <c r="DF169"/>
      <c r="DG169"/>
    </row>
    <row r="170" spans="85:111" x14ac:dyDescent="0.3">
      <c r="CG170" s="38">
        <v>164</v>
      </c>
      <c r="CH170" s="35">
        <f t="shared" si="10"/>
        <v>0</v>
      </c>
      <c r="CI170" s="35" t="str">
        <f>IF(tblTrazabilidad[[#This Row],[Código]]=0,"",IFERROR(IF(SEARCH("JM",tblTrazabilidad[[#This Row],[Código]])&gt;0,"Juego de pesas",),"Pesa"))</f>
        <v/>
      </c>
      <c r="CJ170" s="35" t="str">
        <f>IFERROR(VLOOKUP($CH170,tblBD_PatronMasa[[Código Patrón]:[mN-(mpe–U95)]],2,FALSE),"")</f>
        <v/>
      </c>
      <c r="CK170" s="35" t="str">
        <f>IFERROR(VLOOKUP($CH170,tblBD_PatronMasa[[Código Patrón]:[mN-(mpe–U95)]],13,FALSE),"")</f>
        <v/>
      </c>
      <c r="CL170" s="34" t="str">
        <f>IF(tblTrazabilidad[[#This Row],[Clase]]="F2",IFERROR(IF(VLOOKUP($CH170,tblBD_PatronMasa[[Código Patrón]:[mN-(mpe–U95)]],12,FALSE)=0,"",VLOOKUP($CH170,tblBD_PatronMasa[[Código Patrón]:[mN-(mpe–U95)]],12,FALSE)+731),""),IF(tblTrazabilidad[[#This Row],[Clase]]="F1",IFERROR(IF(VLOOKUP($CH170,tblBD_PatronMasa[[Código Patrón]:[mN-(mpe–U95)]],12,FALSE)=0,"",VLOOKUP($CH170,tblBD_PatronMasa[[Código Patrón]:[mN-(mpe–U95)]],12,FALSE)+731),""),IFERROR(IF(VLOOKUP($CH170,tblBD_PatronMasa[[Código Patrón]:[mN-(mpe–U95)]],12,FALSE)=0,"",VLOOKUP($CH170,tblBD_PatronMasa[[Código Patrón]:[mN-(mpe–U95)]],12,FALSE)+366),"")))</f>
        <v/>
      </c>
      <c r="CM170" s="33" t="str">
        <f>IFERROR(VLOOKUP($CH170,tblBD_PatronMasa[[Código Patrón]:[mN-(mpe–U95)]],3,FALSE),"")</f>
        <v/>
      </c>
      <c r="CS170" s="32"/>
      <c r="CU170"/>
      <c r="DC170" s="1"/>
      <c r="DD170" s="1"/>
      <c r="DF170"/>
      <c r="DG170"/>
    </row>
    <row r="171" spans="85:111" x14ac:dyDescent="0.3">
      <c r="CG171" s="38">
        <v>165</v>
      </c>
      <c r="CH171" s="35">
        <f t="shared" si="10"/>
        <v>0</v>
      </c>
      <c r="CI171" s="35" t="str">
        <f>IF(tblTrazabilidad[[#This Row],[Código]]=0,"",IFERROR(IF(SEARCH("JM",tblTrazabilidad[[#This Row],[Código]])&gt;0,"Juego de pesas",),"Pesa"))</f>
        <v/>
      </c>
      <c r="CJ171" s="35" t="str">
        <f>IFERROR(VLOOKUP($CH171,tblBD_PatronMasa[[Código Patrón]:[mN-(mpe–U95)]],2,FALSE),"")</f>
        <v/>
      </c>
      <c r="CK171" s="35" t="str">
        <f>IFERROR(VLOOKUP($CH171,tblBD_PatronMasa[[Código Patrón]:[mN-(mpe–U95)]],13,FALSE),"")</f>
        <v/>
      </c>
      <c r="CL171" s="34" t="str">
        <f>IF(tblTrazabilidad[[#This Row],[Clase]]="F2",IFERROR(IF(VLOOKUP($CH171,tblBD_PatronMasa[[Código Patrón]:[mN-(mpe–U95)]],12,FALSE)=0,"",VLOOKUP($CH171,tblBD_PatronMasa[[Código Patrón]:[mN-(mpe–U95)]],12,FALSE)+731),""),IF(tblTrazabilidad[[#This Row],[Clase]]="F1",IFERROR(IF(VLOOKUP($CH171,tblBD_PatronMasa[[Código Patrón]:[mN-(mpe–U95)]],12,FALSE)=0,"",VLOOKUP($CH171,tblBD_PatronMasa[[Código Patrón]:[mN-(mpe–U95)]],12,FALSE)+731),""),IFERROR(IF(VLOOKUP($CH171,tblBD_PatronMasa[[Código Patrón]:[mN-(mpe–U95)]],12,FALSE)=0,"",VLOOKUP($CH171,tblBD_PatronMasa[[Código Patrón]:[mN-(mpe–U95)]],12,FALSE)+366),"")))</f>
        <v/>
      </c>
      <c r="CM171" s="33" t="str">
        <f>IFERROR(VLOOKUP($CH171,tblBD_PatronMasa[[Código Patrón]:[mN-(mpe–U95)]],3,FALSE),"")</f>
        <v/>
      </c>
      <c r="CS171" s="32"/>
      <c r="CU171"/>
      <c r="DC171" s="1"/>
      <c r="DD171" s="1"/>
      <c r="DF171"/>
      <c r="DG171"/>
    </row>
    <row r="172" spans="85:111" x14ac:dyDescent="0.3">
      <c r="CG172" s="38">
        <v>166</v>
      </c>
      <c r="CH172" s="35">
        <f t="shared" si="10"/>
        <v>0</v>
      </c>
      <c r="CI172" s="35" t="str">
        <f>IF(tblTrazabilidad[[#This Row],[Código]]=0,"",IFERROR(IF(SEARCH("JM",tblTrazabilidad[[#This Row],[Código]])&gt;0,"Juego de pesas",),"Pesa"))</f>
        <v/>
      </c>
      <c r="CJ172" s="35" t="str">
        <f>IFERROR(VLOOKUP($CH172,tblBD_PatronMasa[[Código Patrón]:[mN-(mpe–U95)]],2,FALSE),"")</f>
        <v/>
      </c>
      <c r="CK172" s="35" t="str">
        <f>IFERROR(VLOOKUP($CH172,tblBD_PatronMasa[[Código Patrón]:[mN-(mpe–U95)]],13,FALSE),"")</f>
        <v/>
      </c>
      <c r="CL172" s="34" t="str">
        <f>IF(tblTrazabilidad[[#This Row],[Clase]]="F2",IFERROR(IF(VLOOKUP($CH172,tblBD_PatronMasa[[Código Patrón]:[mN-(mpe–U95)]],12,FALSE)=0,"",VLOOKUP($CH172,tblBD_PatronMasa[[Código Patrón]:[mN-(mpe–U95)]],12,FALSE)+731),""),IF(tblTrazabilidad[[#This Row],[Clase]]="F1",IFERROR(IF(VLOOKUP($CH172,tblBD_PatronMasa[[Código Patrón]:[mN-(mpe–U95)]],12,FALSE)=0,"",VLOOKUP($CH172,tblBD_PatronMasa[[Código Patrón]:[mN-(mpe–U95)]],12,FALSE)+731),""),IFERROR(IF(VLOOKUP($CH172,tblBD_PatronMasa[[Código Patrón]:[mN-(mpe–U95)]],12,FALSE)=0,"",VLOOKUP($CH172,tblBD_PatronMasa[[Código Patrón]:[mN-(mpe–U95)]],12,FALSE)+366),"")))</f>
        <v/>
      </c>
      <c r="CM172" s="33" t="str">
        <f>IFERROR(VLOOKUP($CH172,tblBD_PatronMasa[[Código Patrón]:[mN-(mpe–U95)]],3,FALSE),"")</f>
        <v/>
      </c>
      <c r="CS172" s="32"/>
      <c r="CU172"/>
      <c r="DC172" s="1"/>
      <c r="DD172" s="1"/>
      <c r="DF172"/>
      <c r="DG172"/>
    </row>
    <row r="173" spans="85:111" x14ac:dyDescent="0.3">
      <c r="CG173" s="38">
        <v>167</v>
      </c>
      <c r="CH173" s="35">
        <f t="shared" si="10"/>
        <v>0</v>
      </c>
      <c r="CI173" s="35" t="str">
        <f>IF(tblTrazabilidad[[#This Row],[Código]]=0,"",IFERROR(IF(SEARCH("JM",tblTrazabilidad[[#This Row],[Código]])&gt;0,"Juego de pesas",),"Pesa"))</f>
        <v/>
      </c>
      <c r="CJ173" s="35" t="str">
        <f>IFERROR(VLOOKUP($CH173,tblBD_PatronMasa[[Código Patrón]:[mN-(mpe–U95)]],2,FALSE),"")</f>
        <v/>
      </c>
      <c r="CK173" s="35" t="str">
        <f>IFERROR(VLOOKUP($CH173,tblBD_PatronMasa[[Código Patrón]:[mN-(mpe–U95)]],13,FALSE),"")</f>
        <v/>
      </c>
      <c r="CL173" s="34" t="str">
        <f>IF(tblTrazabilidad[[#This Row],[Clase]]="F2",IFERROR(IF(VLOOKUP($CH173,tblBD_PatronMasa[[Código Patrón]:[mN-(mpe–U95)]],12,FALSE)=0,"",VLOOKUP($CH173,tblBD_PatronMasa[[Código Patrón]:[mN-(mpe–U95)]],12,FALSE)+731),""),IF(tblTrazabilidad[[#This Row],[Clase]]="F1",IFERROR(IF(VLOOKUP($CH173,tblBD_PatronMasa[[Código Patrón]:[mN-(mpe–U95)]],12,FALSE)=0,"",VLOOKUP($CH173,tblBD_PatronMasa[[Código Patrón]:[mN-(mpe–U95)]],12,FALSE)+731),""),IFERROR(IF(VLOOKUP($CH173,tblBD_PatronMasa[[Código Patrón]:[mN-(mpe–U95)]],12,FALSE)=0,"",VLOOKUP($CH173,tblBD_PatronMasa[[Código Patrón]:[mN-(mpe–U95)]],12,FALSE)+366),"")))</f>
        <v/>
      </c>
      <c r="CM173" s="33" t="str">
        <f>IFERROR(VLOOKUP($CH173,tblBD_PatronMasa[[Código Patrón]:[mN-(mpe–U95)]],3,FALSE),"")</f>
        <v/>
      </c>
      <c r="CS173" s="32"/>
      <c r="CU173"/>
      <c r="DC173" s="1"/>
      <c r="DD173" s="1"/>
      <c r="DF173"/>
      <c r="DG173"/>
    </row>
    <row r="174" spans="85:111" x14ac:dyDescent="0.3">
      <c r="CG174" s="38">
        <v>168</v>
      </c>
      <c r="CH174" s="35">
        <f t="shared" si="10"/>
        <v>0</v>
      </c>
      <c r="CI174" s="35" t="str">
        <f>IF(tblTrazabilidad[[#This Row],[Código]]=0,"",IFERROR(IF(SEARCH("JM",tblTrazabilidad[[#This Row],[Código]])&gt;0,"Juego de pesas",),"Pesa"))</f>
        <v/>
      </c>
      <c r="CJ174" s="35" t="str">
        <f>IFERROR(VLOOKUP($CH174,tblBD_PatronMasa[[Código Patrón]:[mN-(mpe–U95)]],2,FALSE),"")</f>
        <v/>
      </c>
      <c r="CK174" s="35" t="str">
        <f>IFERROR(VLOOKUP($CH174,tblBD_PatronMasa[[Código Patrón]:[mN-(mpe–U95)]],13,FALSE),"")</f>
        <v/>
      </c>
      <c r="CL174" s="34" t="str">
        <f>IF(tblTrazabilidad[[#This Row],[Clase]]="F2",IFERROR(IF(VLOOKUP($CH174,tblBD_PatronMasa[[Código Patrón]:[mN-(mpe–U95)]],12,FALSE)=0,"",VLOOKUP($CH174,tblBD_PatronMasa[[Código Patrón]:[mN-(mpe–U95)]],12,FALSE)+731),""),IF(tblTrazabilidad[[#This Row],[Clase]]="F1",IFERROR(IF(VLOOKUP($CH174,tblBD_PatronMasa[[Código Patrón]:[mN-(mpe–U95)]],12,FALSE)=0,"",VLOOKUP($CH174,tblBD_PatronMasa[[Código Patrón]:[mN-(mpe–U95)]],12,FALSE)+731),""),IFERROR(IF(VLOOKUP($CH174,tblBD_PatronMasa[[Código Patrón]:[mN-(mpe–U95)]],12,FALSE)=0,"",VLOOKUP($CH174,tblBD_PatronMasa[[Código Patrón]:[mN-(mpe–U95)]],12,FALSE)+366),"")))</f>
        <v/>
      </c>
      <c r="CM174" s="33" t="str">
        <f>IFERROR(VLOOKUP($CH174,tblBD_PatronMasa[[Código Patrón]:[mN-(mpe–U95)]],3,FALSE),"")</f>
        <v/>
      </c>
      <c r="CS174" s="32"/>
      <c r="CU174"/>
      <c r="DC174" s="1"/>
      <c r="DD174" s="1"/>
      <c r="DF174"/>
      <c r="DG174"/>
    </row>
    <row r="175" spans="85:111" x14ac:dyDescent="0.3">
      <c r="CG175" s="38">
        <v>169</v>
      </c>
      <c r="CH175" s="35">
        <f t="shared" si="10"/>
        <v>0</v>
      </c>
      <c r="CI175" s="35" t="str">
        <f>IF(tblTrazabilidad[[#This Row],[Código]]=0,"",IFERROR(IF(SEARCH("JM",tblTrazabilidad[[#This Row],[Código]])&gt;0,"Juego de pesas",),"Pesa"))</f>
        <v/>
      </c>
      <c r="CJ175" s="35" t="str">
        <f>IFERROR(VLOOKUP($CH175,tblBD_PatronMasa[[Código Patrón]:[mN-(mpe–U95)]],2,FALSE),"")</f>
        <v/>
      </c>
      <c r="CK175" s="35" t="str">
        <f>IFERROR(VLOOKUP($CH175,tblBD_PatronMasa[[Código Patrón]:[mN-(mpe–U95)]],13,FALSE),"")</f>
        <v/>
      </c>
      <c r="CL175" s="34" t="str">
        <f>IF(tblTrazabilidad[[#This Row],[Clase]]="F2",IFERROR(IF(VLOOKUP($CH175,tblBD_PatronMasa[[Código Patrón]:[mN-(mpe–U95)]],12,FALSE)=0,"",VLOOKUP($CH175,tblBD_PatronMasa[[Código Patrón]:[mN-(mpe–U95)]],12,FALSE)+731),""),IF(tblTrazabilidad[[#This Row],[Clase]]="F1",IFERROR(IF(VLOOKUP($CH175,tblBD_PatronMasa[[Código Patrón]:[mN-(mpe–U95)]],12,FALSE)=0,"",VLOOKUP($CH175,tblBD_PatronMasa[[Código Patrón]:[mN-(mpe–U95)]],12,FALSE)+731),""),IFERROR(IF(VLOOKUP($CH175,tblBD_PatronMasa[[Código Patrón]:[mN-(mpe–U95)]],12,FALSE)=0,"",VLOOKUP($CH175,tblBD_PatronMasa[[Código Patrón]:[mN-(mpe–U95)]],12,FALSE)+366),"")))</f>
        <v/>
      </c>
      <c r="CM175" s="33" t="str">
        <f>IFERROR(VLOOKUP($CH175,tblBD_PatronMasa[[Código Patrón]:[mN-(mpe–U95)]],3,FALSE),"")</f>
        <v/>
      </c>
      <c r="CS175" s="32"/>
      <c r="CU175"/>
      <c r="DC175" s="1"/>
      <c r="DD175" s="1"/>
      <c r="DF175"/>
      <c r="DG175"/>
    </row>
    <row r="176" spans="85:111" x14ac:dyDescent="0.3">
      <c r="CG176" s="38">
        <v>170</v>
      </c>
      <c r="CH176" s="35">
        <f t="shared" si="10"/>
        <v>0</v>
      </c>
      <c r="CI176" s="35" t="str">
        <f>IF(tblTrazabilidad[[#This Row],[Código]]=0,"",IFERROR(IF(SEARCH("JM",tblTrazabilidad[[#This Row],[Código]])&gt;0,"Juego de pesas",),"Pesa"))</f>
        <v/>
      </c>
      <c r="CJ176" s="35" t="str">
        <f>IFERROR(VLOOKUP($CH176,tblBD_PatronMasa[[Código Patrón]:[mN-(mpe–U95)]],2,FALSE),"")</f>
        <v/>
      </c>
      <c r="CK176" s="35" t="str">
        <f>IFERROR(VLOOKUP($CH176,tblBD_PatronMasa[[Código Patrón]:[mN-(mpe–U95)]],13,FALSE),"")</f>
        <v/>
      </c>
      <c r="CL176" s="34" t="str">
        <f>IF(tblTrazabilidad[[#This Row],[Clase]]="F2",IFERROR(IF(VLOOKUP($CH176,tblBD_PatronMasa[[Código Patrón]:[mN-(mpe–U95)]],12,FALSE)=0,"",VLOOKUP($CH176,tblBD_PatronMasa[[Código Patrón]:[mN-(mpe–U95)]],12,FALSE)+731),""),IF(tblTrazabilidad[[#This Row],[Clase]]="F1",IFERROR(IF(VLOOKUP($CH176,tblBD_PatronMasa[[Código Patrón]:[mN-(mpe–U95)]],12,FALSE)=0,"",VLOOKUP($CH176,tblBD_PatronMasa[[Código Patrón]:[mN-(mpe–U95)]],12,FALSE)+731),""),IFERROR(IF(VLOOKUP($CH176,tblBD_PatronMasa[[Código Patrón]:[mN-(mpe–U95)]],12,FALSE)=0,"",VLOOKUP($CH176,tblBD_PatronMasa[[Código Patrón]:[mN-(mpe–U95)]],12,FALSE)+366),"")))</f>
        <v/>
      </c>
      <c r="CM176" s="33" t="str">
        <f>IFERROR(VLOOKUP($CH176,tblBD_PatronMasa[[Código Patrón]:[mN-(mpe–U95)]],3,FALSE),"")</f>
        <v/>
      </c>
      <c r="CS176" s="32"/>
      <c r="CU176"/>
      <c r="DC176" s="1"/>
      <c r="DD176" s="1"/>
      <c r="DF176"/>
      <c r="DG176"/>
    </row>
    <row r="177" spans="85:111" x14ac:dyDescent="0.3">
      <c r="CG177" s="38">
        <v>171</v>
      </c>
      <c r="CH177" s="35">
        <f t="shared" si="10"/>
        <v>0</v>
      </c>
      <c r="CI177" s="35" t="str">
        <f>IF(tblTrazabilidad[[#This Row],[Código]]=0,"",IFERROR(IF(SEARCH("JM",tblTrazabilidad[[#This Row],[Código]])&gt;0,"Juego de pesas",),"Pesa"))</f>
        <v/>
      </c>
      <c r="CJ177" s="35" t="str">
        <f>IFERROR(VLOOKUP($CH177,tblBD_PatronMasa[[Código Patrón]:[mN-(mpe–U95)]],2,FALSE),"")</f>
        <v/>
      </c>
      <c r="CK177" s="35" t="str">
        <f>IFERROR(VLOOKUP($CH177,tblBD_PatronMasa[[Código Patrón]:[mN-(mpe–U95)]],13,FALSE),"")</f>
        <v/>
      </c>
      <c r="CL177" s="34" t="str">
        <f>IF(tblTrazabilidad[[#This Row],[Clase]]="F2",IFERROR(IF(VLOOKUP($CH177,tblBD_PatronMasa[[Código Patrón]:[mN-(mpe–U95)]],12,FALSE)=0,"",VLOOKUP($CH177,tblBD_PatronMasa[[Código Patrón]:[mN-(mpe–U95)]],12,FALSE)+731),""),IF(tblTrazabilidad[[#This Row],[Clase]]="F1",IFERROR(IF(VLOOKUP($CH177,tblBD_PatronMasa[[Código Patrón]:[mN-(mpe–U95)]],12,FALSE)=0,"",VLOOKUP($CH177,tblBD_PatronMasa[[Código Patrón]:[mN-(mpe–U95)]],12,FALSE)+731),""),IFERROR(IF(VLOOKUP($CH177,tblBD_PatronMasa[[Código Patrón]:[mN-(mpe–U95)]],12,FALSE)=0,"",VLOOKUP($CH177,tblBD_PatronMasa[[Código Patrón]:[mN-(mpe–U95)]],12,FALSE)+366),"")))</f>
        <v/>
      </c>
      <c r="CM177" s="33" t="str">
        <f>IFERROR(VLOOKUP($CH177,tblBD_PatronMasa[[Código Patrón]:[mN-(mpe–U95)]],3,FALSE),"")</f>
        <v/>
      </c>
      <c r="CS177" s="32"/>
      <c r="CU177"/>
      <c r="DC177" s="1"/>
      <c r="DD177" s="1"/>
      <c r="DF177"/>
      <c r="DG177"/>
    </row>
    <row r="178" spans="85:111" x14ac:dyDescent="0.3">
      <c r="CG178" s="38">
        <v>172</v>
      </c>
      <c r="CH178" s="35">
        <f t="shared" si="10"/>
        <v>0</v>
      </c>
      <c r="CI178" s="35" t="str">
        <f>IF(tblTrazabilidad[[#This Row],[Código]]=0,"",IFERROR(IF(SEARCH("JM",tblTrazabilidad[[#This Row],[Código]])&gt;0,"Juego de pesas",),"Pesa"))</f>
        <v/>
      </c>
      <c r="CJ178" s="35" t="str">
        <f>IFERROR(VLOOKUP($CH178,tblBD_PatronMasa[[Código Patrón]:[mN-(mpe–U95)]],2,FALSE),"")</f>
        <v/>
      </c>
      <c r="CK178" s="35" t="str">
        <f>IFERROR(VLOOKUP($CH178,tblBD_PatronMasa[[Código Patrón]:[mN-(mpe–U95)]],13,FALSE),"")</f>
        <v/>
      </c>
      <c r="CL178" s="34" t="str">
        <f>IF(tblTrazabilidad[[#This Row],[Clase]]="F2",IFERROR(IF(VLOOKUP($CH178,tblBD_PatronMasa[[Código Patrón]:[mN-(mpe–U95)]],12,FALSE)=0,"",VLOOKUP($CH178,tblBD_PatronMasa[[Código Patrón]:[mN-(mpe–U95)]],12,FALSE)+731),""),IF(tblTrazabilidad[[#This Row],[Clase]]="F1",IFERROR(IF(VLOOKUP($CH178,tblBD_PatronMasa[[Código Patrón]:[mN-(mpe–U95)]],12,FALSE)=0,"",VLOOKUP($CH178,tblBD_PatronMasa[[Código Patrón]:[mN-(mpe–U95)]],12,FALSE)+731),""),IFERROR(IF(VLOOKUP($CH178,tblBD_PatronMasa[[Código Patrón]:[mN-(mpe–U95)]],12,FALSE)=0,"",VLOOKUP($CH178,tblBD_PatronMasa[[Código Patrón]:[mN-(mpe–U95)]],12,FALSE)+366),"")))</f>
        <v/>
      </c>
      <c r="CM178" s="33" t="str">
        <f>IFERROR(VLOOKUP($CH178,tblBD_PatronMasa[[Código Patrón]:[mN-(mpe–U95)]],3,FALSE),"")</f>
        <v/>
      </c>
      <c r="CS178" s="32"/>
      <c r="CU178"/>
      <c r="DC178" s="1"/>
      <c r="DD178" s="1"/>
      <c r="DF178"/>
      <c r="DG178"/>
    </row>
    <row r="179" spans="85:111" x14ac:dyDescent="0.3">
      <c r="CG179" s="38">
        <v>173</v>
      </c>
      <c r="CH179" s="35">
        <f t="shared" si="10"/>
        <v>0</v>
      </c>
      <c r="CI179" s="35" t="str">
        <f>IF(tblTrazabilidad[[#This Row],[Código]]=0,"",IFERROR(IF(SEARCH("JM",tblTrazabilidad[[#This Row],[Código]])&gt;0,"Juego de pesas",),"Pesa"))</f>
        <v/>
      </c>
      <c r="CJ179" s="35" t="str">
        <f>IFERROR(VLOOKUP($CH179,tblBD_PatronMasa[[Código Patrón]:[mN-(mpe–U95)]],2,FALSE),"")</f>
        <v/>
      </c>
      <c r="CK179" s="35" t="str">
        <f>IFERROR(VLOOKUP($CH179,tblBD_PatronMasa[[Código Patrón]:[mN-(mpe–U95)]],13,FALSE),"")</f>
        <v/>
      </c>
      <c r="CL179" s="34" t="str">
        <f>IF(tblTrazabilidad[[#This Row],[Clase]]="F2",IFERROR(IF(VLOOKUP($CH179,tblBD_PatronMasa[[Código Patrón]:[mN-(mpe–U95)]],12,FALSE)=0,"",VLOOKUP($CH179,tblBD_PatronMasa[[Código Patrón]:[mN-(mpe–U95)]],12,FALSE)+731),""),IF(tblTrazabilidad[[#This Row],[Clase]]="F1",IFERROR(IF(VLOOKUP($CH179,tblBD_PatronMasa[[Código Patrón]:[mN-(mpe–U95)]],12,FALSE)=0,"",VLOOKUP($CH179,tblBD_PatronMasa[[Código Patrón]:[mN-(mpe–U95)]],12,FALSE)+731),""),IFERROR(IF(VLOOKUP($CH179,tblBD_PatronMasa[[Código Patrón]:[mN-(mpe–U95)]],12,FALSE)=0,"",VLOOKUP($CH179,tblBD_PatronMasa[[Código Patrón]:[mN-(mpe–U95)]],12,FALSE)+366),"")))</f>
        <v/>
      </c>
      <c r="CM179" s="33" t="str">
        <f>IFERROR(VLOOKUP($CH179,tblBD_PatronMasa[[Código Patrón]:[mN-(mpe–U95)]],3,FALSE),"")</f>
        <v/>
      </c>
      <c r="CS179" s="32"/>
      <c r="CU179"/>
      <c r="DC179" s="1"/>
      <c r="DD179" s="1"/>
      <c r="DF179"/>
      <c r="DG179"/>
    </row>
    <row r="180" spans="85:111" x14ac:dyDescent="0.3">
      <c r="CG180" s="38">
        <v>174</v>
      </c>
      <c r="CH180" s="35">
        <f t="shared" si="10"/>
        <v>0</v>
      </c>
      <c r="CI180" s="35" t="str">
        <f>IF(tblTrazabilidad[[#This Row],[Código]]=0,"",IFERROR(IF(SEARCH("JM",tblTrazabilidad[[#This Row],[Código]])&gt;0,"Juego de pesas",),"Pesa"))</f>
        <v/>
      </c>
      <c r="CJ180" s="35" t="str">
        <f>IFERROR(VLOOKUP($CH180,tblBD_PatronMasa[[Código Patrón]:[mN-(mpe–U95)]],2,FALSE),"")</f>
        <v/>
      </c>
      <c r="CK180" s="35" t="str">
        <f>IFERROR(VLOOKUP($CH180,tblBD_PatronMasa[[Código Patrón]:[mN-(mpe–U95)]],13,FALSE),"")</f>
        <v/>
      </c>
      <c r="CL180" s="34" t="str">
        <f>IF(tblTrazabilidad[[#This Row],[Clase]]="F2",IFERROR(IF(VLOOKUP($CH180,tblBD_PatronMasa[[Código Patrón]:[mN-(mpe–U95)]],12,FALSE)=0,"",VLOOKUP($CH180,tblBD_PatronMasa[[Código Patrón]:[mN-(mpe–U95)]],12,FALSE)+731),""),IF(tblTrazabilidad[[#This Row],[Clase]]="F1",IFERROR(IF(VLOOKUP($CH180,tblBD_PatronMasa[[Código Patrón]:[mN-(mpe–U95)]],12,FALSE)=0,"",VLOOKUP($CH180,tblBD_PatronMasa[[Código Patrón]:[mN-(mpe–U95)]],12,FALSE)+731),""),IFERROR(IF(VLOOKUP($CH180,tblBD_PatronMasa[[Código Patrón]:[mN-(mpe–U95)]],12,FALSE)=0,"",VLOOKUP($CH180,tblBD_PatronMasa[[Código Patrón]:[mN-(mpe–U95)]],12,FALSE)+366),"")))</f>
        <v/>
      </c>
      <c r="CM180" s="33" t="str">
        <f>IFERROR(VLOOKUP($CH180,tblBD_PatronMasa[[Código Patrón]:[mN-(mpe–U95)]],3,FALSE),"")</f>
        <v/>
      </c>
      <c r="CS180" s="32"/>
      <c r="CU180"/>
      <c r="DC180" s="1"/>
      <c r="DD180" s="1"/>
      <c r="DF180"/>
      <c r="DG180"/>
    </row>
    <row r="181" spans="85:111" x14ac:dyDescent="0.3">
      <c r="CG181" s="38">
        <v>175</v>
      </c>
      <c r="CH181" s="35">
        <f t="shared" si="10"/>
        <v>0</v>
      </c>
      <c r="CI181" s="35" t="str">
        <f>IF(tblTrazabilidad[[#This Row],[Código]]=0,"",IFERROR(IF(SEARCH("JM",tblTrazabilidad[[#This Row],[Código]])&gt;0,"Juego de pesas",),"Pesa"))</f>
        <v/>
      </c>
      <c r="CJ181" s="35" t="str">
        <f>IFERROR(VLOOKUP($CH181,tblBD_PatronMasa[[Código Patrón]:[mN-(mpe–U95)]],2,FALSE),"")</f>
        <v/>
      </c>
      <c r="CK181" s="35" t="str">
        <f>IFERROR(VLOOKUP($CH181,tblBD_PatronMasa[[Código Patrón]:[mN-(mpe–U95)]],13,FALSE),"")</f>
        <v/>
      </c>
      <c r="CL181" s="34" t="str">
        <f>IF(tblTrazabilidad[[#This Row],[Clase]]="F2",IFERROR(IF(VLOOKUP($CH181,tblBD_PatronMasa[[Código Patrón]:[mN-(mpe–U95)]],12,FALSE)=0,"",VLOOKUP($CH181,tblBD_PatronMasa[[Código Patrón]:[mN-(mpe–U95)]],12,FALSE)+731),""),IF(tblTrazabilidad[[#This Row],[Clase]]="F1",IFERROR(IF(VLOOKUP($CH181,tblBD_PatronMasa[[Código Patrón]:[mN-(mpe–U95)]],12,FALSE)=0,"",VLOOKUP($CH181,tblBD_PatronMasa[[Código Patrón]:[mN-(mpe–U95)]],12,FALSE)+731),""),IFERROR(IF(VLOOKUP($CH181,tblBD_PatronMasa[[Código Patrón]:[mN-(mpe–U95)]],12,FALSE)=0,"",VLOOKUP($CH181,tblBD_PatronMasa[[Código Patrón]:[mN-(mpe–U95)]],12,FALSE)+366),"")))</f>
        <v/>
      </c>
      <c r="CM181" s="33" t="str">
        <f>IFERROR(VLOOKUP($CH181,tblBD_PatronMasa[[Código Patrón]:[mN-(mpe–U95)]],3,FALSE),"")</f>
        <v/>
      </c>
      <c r="CS181" s="32"/>
      <c r="CU181"/>
      <c r="DC181" s="1"/>
      <c r="DD181" s="1"/>
      <c r="DF181"/>
      <c r="DG181"/>
    </row>
    <row r="182" spans="85:111" x14ac:dyDescent="0.3">
      <c r="CG182" s="38">
        <v>176</v>
      </c>
      <c r="CH182" s="35">
        <f t="shared" si="10"/>
        <v>0</v>
      </c>
      <c r="CI182" s="35" t="str">
        <f>IF(tblTrazabilidad[[#This Row],[Código]]=0,"",IFERROR(IF(SEARCH("JM",tblTrazabilidad[[#This Row],[Código]])&gt;0,"Juego de pesas",),"Pesa"))</f>
        <v/>
      </c>
      <c r="CJ182" s="35" t="str">
        <f>IFERROR(VLOOKUP($CH182,tblBD_PatronMasa[[Código Patrón]:[mN-(mpe–U95)]],2,FALSE),"")</f>
        <v/>
      </c>
      <c r="CK182" s="35" t="str">
        <f>IFERROR(VLOOKUP($CH182,tblBD_PatronMasa[[Código Patrón]:[mN-(mpe–U95)]],13,FALSE),"")</f>
        <v/>
      </c>
      <c r="CL182" s="34" t="str">
        <f>IF(tblTrazabilidad[[#This Row],[Clase]]="F2",IFERROR(IF(VLOOKUP($CH182,tblBD_PatronMasa[[Código Patrón]:[mN-(mpe–U95)]],12,FALSE)=0,"",VLOOKUP($CH182,tblBD_PatronMasa[[Código Patrón]:[mN-(mpe–U95)]],12,FALSE)+731),""),IF(tblTrazabilidad[[#This Row],[Clase]]="F1",IFERROR(IF(VLOOKUP($CH182,tblBD_PatronMasa[[Código Patrón]:[mN-(mpe–U95)]],12,FALSE)=0,"",VLOOKUP($CH182,tblBD_PatronMasa[[Código Patrón]:[mN-(mpe–U95)]],12,FALSE)+731),""),IFERROR(IF(VLOOKUP($CH182,tblBD_PatronMasa[[Código Patrón]:[mN-(mpe–U95)]],12,FALSE)=0,"",VLOOKUP($CH182,tblBD_PatronMasa[[Código Patrón]:[mN-(mpe–U95)]],12,FALSE)+366),"")))</f>
        <v/>
      </c>
      <c r="CM182" s="33" t="str">
        <f>IFERROR(VLOOKUP($CH182,tblBD_PatronMasa[[Código Patrón]:[mN-(mpe–U95)]],3,FALSE),"")</f>
        <v/>
      </c>
      <c r="CS182" s="32"/>
      <c r="CU182"/>
      <c r="DC182" s="1"/>
      <c r="DD182" s="1"/>
      <c r="DF182"/>
      <c r="DG182"/>
    </row>
    <row r="183" spans="85:111" x14ac:dyDescent="0.3">
      <c r="CG183" s="38">
        <v>177</v>
      </c>
      <c r="CH183" s="35">
        <f t="shared" si="10"/>
        <v>0</v>
      </c>
      <c r="CI183" s="35" t="str">
        <f>IF(tblTrazabilidad[[#This Row],[Código]]=0,"",IFERROR(IF(SEARCH("JM",tblTrazabilidad[[#This Row],[Código]])&gt;0,"Juego de pesas",),"Pesa"))</f>
        <v/>
      </c>
      <c r="CJ183" s="35" t="str">
        <f>IFERROR(VLOOKUP($CH183,tblBD_PatronMasa[[Código Patrón]:[mN-(mpe–U95)]],2,FALSE),"")</f>
        <v/>
      </c>
      <c r="CK183" s="35" t="str">
        <f>IFERROR(VLOOKUP($CH183,tblBD_PatronMasa[[Código Patrón]:[mN-(mpe–U95)]],13,FALSE),"")</f>
        <v/>
      </c>
      <c r="CL183" s="34" t="str">
        <f>IF(tblTrazabilidad[[#This Row],[Clase]]="F2",IFERROR(IF(VLOOKUP($CH183,tblBD_PatronMasa[[Código Patrón]:[mN-(mpe–U95)]],12,FALSE)=0,"",VLOOKUP($CH183,tblBD_PatronMasa[[Código Patrón]:[mN-(mpe–U95)]],12,FALSE)+731),""),IF(tblTrazabilidad[[#This Row],[Clase]]="F1",IFERROR(IF(VLOOKUP($CH183,tblBD_PatronMasa[[Código Patrón]:[mN-(mpe–U95)]],12,FALSE)=0,"",VLOOKUP($CH183,tblBD_PatronMasa[[Código Patrón]:[mN-(mpe–U95)]],12,FALSE)+731),""),IFERROR(IF(VLOOKUP($CH183,tblBD_PatronMasa[[Código Patrón]:[mN-(mpe–U95)]],12,FALSE)=0,"",VLOOKUP($CH183,tblBD_PatronMasa[[Código Patrón]:[mN-(mpe–U95)]],12,FALSE)+366),"")))</f>
        <v/>
      </c>
      <c r="CM183" s="33" t="str">
        <f>IFERROR(VLOOKUP($CH183,tblBD_PatronMasa[[Código Patrón]:[mN-(mpe–U95)]],3,FALSE),"")</f>
        <v/>
      </c>
      <c r="CS183" s="32"/>
      <c r="CU183"/>
      <c r="DC183" s="1"/>
      <c r="DD183" s="1"/>
      <c r="DF183"/>
      <c r="DG183"/>
    </row>
    <row r="184" spans="85:111" x14ac:dyDescent="0.3">
      <c r="CG184" s="38">
        <v>178</v>
      </c>
      <c r="CH184" s="35">
        <f t="shared" si="10"/>
        <v>0</v>
      </c>
      <c r="CI184" s="35" t="str">
        <f>IF(tblTrazabilidad[[#This Row],[Código]]=0,"",IFERROR(IF(SEARCH("JM",tblTrazabilidad[[#This Row],[Código]])&gt;0,"Juego de pesas",),"Pesa"))</f>
        <v/>
      </c>
      <c r="CJ184" s="35" t="str">
        <f>IFERROR(VLOOKUP($CH184,tblBD_PatronMasa[[Código Patrón]:[mN-(mpe–U95)]],2,FALSE),"")</f>
        <v/>
      </c>
      <c r="CK184" s="35" t="str">
        <f>IFERROR(VLOOKUP($CH184,tblBD_PatronMasa[[Código Patrón]:[mN-(mpe–U95)]],13,FALSE),"")</f>
        <v/>
      </c>
      <c r="CL184" s="34" t="str">
        <f>IF(tblTrazabilidad[[#This Row],[Clase]]="F2",IFERROR(IF(VLOOKUP($CH184,tblBD_PatronMasa[[Código Patrón]:[mN-(mpe–U95)]],12,FALSE)=0,"",VLOOKUP($CH184,tblBD_PatronMasa[[Código Patrón]:[mN-(mpe–U95)]],12,FALSE)+731),""),IF(tblTrazabilidad[[#This Row],[Clase]]="F1",IFERROR(IF(VLOOKUP($CH184,tblBD_PatronMasa[[Código Patrón]:[mN-(mpe–U95)]],12,FALSE)=0,"",VLOOKUP($CH184,tblBD_PatronMasa[[Código Patrón]:[mN-(mpe–U95)]],12,FALSE)+731),""),IFERROR(IF(VLOOKUP($CH184,tblBD_PatronMasa[[Código Patrón]:[mN-(mpe–U95)]],12,FALSE)=0,"",VLOOKUP($CH184,tblBD_PatronMasa[[Código Patrón]:[mN-(mpe–U95)]],12,FALSE)+366),"")))</f>
        <v/>
      </c>
      <c r="CM184" s="33" t="str">
        <f>IFERROR(VLOOKUP($CH184,tblBD_PatronMasa[[Código Patrón]:[mN-(mpe–U95)]],3,FALSE),"")</f>
        <v/>
      </c>
      <c r="CS184" s="32"/>
      <c r="CU184"/>
      <c r="DC184" s="1"/>
      <c r="DD184" s="1"/>
      <c r="DF184"/>
      <c r="DG184"/>
    </row>
    <row r="185" spans="85:111" x14ac:dyDescent="0.3">
      <c r="CG185" s="38">
        <v>179</v>
      </c>
      <c r="CH185" s="35">
        <f t="shared" si="10"/>
        <v>0</v>
      </c>
      <c r="CI185" s="35" t="str">
        <f>IF(tblTrazabilidad[[#This Row],[Código]]=0,"",IFERROR(IF(SEARCH("JM",tblTrazabilidad[[#This Row],[Código]])&gt;0,"Juego de pesas",),"Pesa"))</f>
        <v/>
      </c>
      <c r="CJ185" s="35" t="str">
        <f>IFERROR(VLOOKUP($CH185,tblBD_PatronMasa[[Código Patrón]:[mN-(mpe–U95)]],2,FALSE),"")</f>
        <v/>
      </c>
      <c r="CK185" s="35" t="str">
        <f>IFERROR(VLOOKUP($CH185,tblBD_PatronMasa[[Código Patrón]:[mN-(mpe–U95)]],13,FALSE),"")</f>
        <v/>
      </c>
      <c r="CL185" s="34" t="str">
        <f>IF(tblTrazabilidad[[#This Row],[Clase]]="F2",IFERROR(IF(VLOOKUP($CH185,tblBD_PatronMasa[[Código Patrón]:[mN-(mpe–U95)]],12,FALSE)=0,"",VLOOKUP($CH185,tblBD_PatronMasa[[Código Patrón]:[mN-(mpe–U95)]],12,FALSE)+731),""),IF(tblTrazabilidad[[#This Row],[Clase]]="F1",IFERROR(IF(VLOOKUP($CH185,tblBD_PatronMasa[[Código Patrón]:[mN-(mpe–U95)]],12,FALSE)=0,"",VLOOKUP($CH185,tblBD_PatronMasa[[Código Patrón]:[mN-(mpe–U95)]],12,FALSE)+731),""),IFERROR(IF(VLOOKUP($CH185,tblBD_PatronMasa[[Código Patrón]:[mN-(mpe–U95)]],12,FALSE)=0,"",VLOOKUP($CH185,tblBD_PatronMasa[[Código Patrón]:[mN-(mpe–U95)]],12,FALSE)+366),"")))</f>
        <v/>
      </c>
      <c r="CM185" s="33" t="str">
        <f>IFERROR(VLOOKUP($CH185,tblBD_PatronMasa[[Código Patrón]:[mN-(mpe–U95)]],3,FALSE),"")</f>
        <v/>
      </c>
      <c r="CS185" s="32"/>
      <c r="CU185"/>
      <c r="DC185" s="1"/>
      <c r="DD185" s="1"/>
      <c r="DF185"/>
      <c r="DG185"/>
    </row>
    <row r="186" spans="85:111" x14ac:dyDescent="0.3">
      <c r="CG186" s="38">
        <v>180</v>
      </c>
      <c r="CH186" s="35">
        <f t="shared" si="10"/>
        <v>0</v>
      </c>
      <c r="CI186" s="35" t="str">
        <f>IF(tblTrazabilidad[[#This Row],[Código]]=0,"",IFERROR(IF(SEARCH("JM",tblTrazabilidad[[#This Row],[Código]])&gt;0,"Juego de pesas",),"Pesa"))</f>
        <v/>
      </c>
      <c r="CJ186" s="35" t="str">
        <f>IFERROR(VLOOKUP($CH186,tblBD_PatronMasa[[Código Patrón]:[mN-(mpe–U95)]],2,FALSE),"")</f>
        <v/>
      </c>
      <c r="CK186" s="35" t="str">
        <f>IFERROR(VLOOKUP($CH186,tblBD_PatronMasa[[Código Patrón]:[mN-(mpe–U95)]],13,FALSE),"")</f>
        <v/>
      </c>
      <c r="CL186" s="34" t="str">
        <f>IF(tblTrazabilidad[[#This Row],[Clase]]="F2",IFERROR(IF(VLOOKUP($CH186,tblBD_PatronMasa[[Código Patrón]:[mN-(mpe–U95)]],12,FALSE)=0,"",VLOOKUP($CH186,tblBD_PatronMasa[[Código Patrón]:[mN-(mpe–U95)]],12,FALSE)+731),""),IF(tblTrazabilidad[[#This Row],[Clase]]="F1",IFERROR(IF(VLOOKUP($CH186,tblBD_PatronMasa[[Código Patrón]:[mN-(mpe–U95)]],12,FALSE)=0,"",VLOOKUP($CH186,tblBD_PatronMasa[[Código Patrón]:[mN-(mpe–U95)]],12,FALSE)+731),""),IFERROR(IF(VLOOKUP($CH186,tblBD_PatronMasa[[Código Patrón]:[mN-(mpe–U95)]],12,FALSE)=0,"",VLOOKUP($CH186,tblBD_PatronMasa[[Código Patrón]:[mN-(mpe–U95)]],12,FALSE)+366),"")))</f>
        <v/>
      </c>
      <c r="CM186" s="33" t="str">
        <f>IFERROR(VLOOKUP($CH186,tblBD_PatronMasa[[Código Patrón]:[mN-(mpe–U95)]],3,FALSE),"")</f>
        <v/>
      </c>
      <c r="CS186" s="32"/>
      <c r="CU186"/>
      <c r="DC186" s="1"/>
      <c r="DD186" s="1"/>
      <c r="DF186"/>
      <c r="DG186"/>
    </row>
    <row r="187" spans="85:111" x14ac:dyDescent="0.3">
      <c r="CG187" s="38">
        <v>181</v>
      </c>
      <c r="CH187" s="35">
        <f t="shared" si="10"/>
        <v>0</v>
      </c>
      <c r="CI187" s="35" t="str">
        <f>IF(tblTrazabilidad[[#This Row],[Código]]=0,"",IFERROR(IF(SEARCH("JM",tblTrazabilidad[[#This Row],[Código]])&gt;0,"Juego de pesas",),"Pesa"))</f>
        <v/>
      </c>
      <c r="CJ187" s="35" t="str">
        <f>IFERROR(VLOOKUP($CH187,tblBD_PatronMasa[[Código Patrón]:[mN-(mpe–U95)]],2,FALSE),"")</f>
        <v/>
      </c>
      <c r="CK187" s="35" t="str">
        <f>IFERROR(VLOOKUP($CH187,tblBD_PatronMasa[[Código Patrón]:[mN-(mpe–U95)]],13,FALSE),"")</f>
        <v/>
      </c>
      <c r="CL187" s="34" t="str">
        <f>IF(tblTrazabilidad[[#This Row],[Clase]]="F2",IFERROR(IF(VLOOKUP($CH187,tblBD_PatronMasa[[Código Patrón]:[mN-(mpe–U95)]],12,FALSE)=0,"",VLOOKUP($CH187,tblBD_PatronMasa[[Código Patrón]:[mN-(mpe–U95)]],12,FALSE)+731),""),IF(tblTrazabilidad[[#This Row],[Clase]]="F1",IFERROR(IF(VLOOKUP($CH187,tblBD_PatronMasa[[Código Patrón]:[mN-(mpe–U95)]],12,FALSE)=0,"",VLOOKUP($CH187,tblBD_PatronMasa[[Código Patrón]:[mN-(mpe–U95)]],12,FALSE)+731),""),IFERROR(IF(VLOOKUP($CH187,tblBD_PatronMasa[[Código Patrón]:[mN-(mpe–U95)]],12,FALSE)=0,"",VLOOKUP($CH187,tblBD_PatronMasa[[Código Patrón]:[mN-(mpe–U95)]],12,FALSE)+366),"")))</f>
        <v/>
      </c>
      <c r="CM187" s="33" t="str">
        <f>IFERROR(VLOOKUP($CH187,tblBD_PatronMasa[[Código Patrón]:[mN-(mpe–U95)]],3,FALSE),"")</f>
        <v/>
      </c>
      <c r="CS187" s="32"/>
      <c r="CU187"/>
      <c r="DC187" s="1"/>
      <c r="DD187" s="1"/>
      <c r="DF187"/>
      <c r="DG187"/>
    </row>
    <row r="188" spans="85:111" x14ac:dyDescent="0.3">
      <c r="CG188" s="38">
        <v>182</v>
      </c>
      <c r="CH188" s="35">
        <f t="shared" si="10"/>
        <v>0</v>
      </c>
      <c r="CI188" s="35" t="str">
        <f>IF(tblTrazabilidad[[#This Row],[Código]]=0,"",IFERROR(IF(SEARCH("JM",tblTrazabilidad[[#This Row],[Código]])&gt;0,"Juego de pesas",),"Pesa"))</f>
        <v/>
      </c>
      <c r="CJ188" s="35" t="str">
        <f>IFERROR(VLOOKUP($CH188,tblBD_PatronMasa[[Código Patrón]:[mN-(mpe–U95)]],2,FALSE),"")</f>
        <v/>
      </c>
      <c r="CK188" s="35" t="str">
        <f>IFERROR(VLOOKUP($CH188,tblBD_PatronMasa[[Código Patrón]:[mN-(mpe–U95)]],13,FALSE),"")</f>
        <v/>
      </c>
      <c r="CL188" s="34" t="str">
        <f>IF(tblTrazabilidad[[#This Row],[Clase]]="F2",IFERROR(IF(VLOOKUP($CH188,tblBD_PatronMasa[[Código Patrón]:[mN-(mpe–U95)]],12,FALSE)=0,"",VLOOKUP($CH188,tblBD_PatronMasa[[Código Patrón]:[mN-(mpe–U95)]],12,FALSE)+731),""),IF(tblTrazabilidad[[#This Row],[Clase]]="F1",IFERROR(IF(VLOOKUP($CH188,tblBD_PatronMasa[[Código Patrón]:[mN-(mpe–U95)]],12,FALSE)=0,"",VLOOKUP($CH188,tblBD_PatronMasa[[Código Patrón]:[mN-(mpe–U95)]],12,FALSE)+731),""),IFERROR(IF(VLOOKUP($CH188,tblBD_PatronMasa[[Código Patrón]:[mN-(mpe–U95)]],12,FALSE)=0,"",VLOOKUP($CH188,tblBD_PatronMasa[[Código Patrón]:[mN-(mpe–U95)]],12,FALSE)+366),"")))</f>
        <v/>
      </c>
      <c r="CM188" s="33" t="str">
        <f>IFERROR(VLOOKUP($CH188,tblBD_PatronMasa[[Código Patrón]:[mN-(mpe–U95)]],3,FALSE),"")</f>
        <v/>
      </c>
      <c r="CS188" s="32"/>
      <c r="CU188"/>
      <c r="DC188" s="1"/>
      <c r="DD188" s="1"/>
      <c r="DF188"/>
      <c r="DG188"/>
    </row>
    <row r="189" spans="85:111" x14ac:dyDescent="0.3">
      <c r="CG189" s="38">
        <v>183</v>
      </c>
      <c r="CH189" s="35">
        <f t="shared" ref="CH189:CH206" si="11">AH37</f>
        <v>0</v>
      </c>
      <c r="CI189" s="35" t="str">
        <f>IF(tblTrazabilidad[[#This Row],[Código]]=0,"",IFERROR(IF(SEARCH("JM",tblTrazabilidad[[#This Row],[Código]])&gt;0,"Juego de pesas",),"Pesa"))</f>
        <v/>
      </c>
      <c r="CJ189" s="35" t="str">
        <f>IFERROR(VLOOKUP($CH189,tblBD_PatronMasa[[Código Patrón]:[mN-(mpe–U95)]],2,FALSE),"")</f>
        <v/>
      </c>
      <c r="CK189" s="35" t="str">
        <f>IFERROR(VLOOKUP($CH189,tblBD_PatronMasa[[Código Patrón]:[mN-(mpe–U95)]],13,FALSE),"")</f>
        <v/>
      </c>
      <c r="CL189" s="34" t="str">
        <f>IF(tblTrazabilidad[[#This Row],[Clase]]="F2",IFERROR(IF(VLOOKUP($CH189,tblBD_PatronMasa[[Código Patrón]:[mN-(mpe–U95)]],12,FALSE)=0,"",VLOOKUP($CH189,tblBD_PatronMasa[[Código Patrón]:[mN-(mpe–U95)]],12,FALSE)+731),""),IF(tblTrazabilidad[[#This Row],[Clase]]="F1",IFERROR(IF(VLOOKUP($CH189,tblBD_PatronMasa[[Código Patrón]:[mN-(mpe–U95)]],12,FALSE)=0,"",VLOOKUP($CH189,tblBD_PatronMasa[[Código Patrón]:[mN-(mpe–U95)]],12,FALSE)+731),""),IFERROR(IF(VLOOKUP($CH189,tblBD_PatronMasa[[Código Patrón]:[mN-(mpe–U95)]],12,FALSE)=0,"",VLOOKUP($CH189,tblBD_PatronMasa[[Código Patrón]:[mN-(mpe–U95)]],12,FALSE)+366),"")))</f>
        <v/>
      </c>
      <c r="CM189" s="33" t="str">
        <f>IFERROR(VLOOKUP($CH189,tblBD_PatronMasa[[Código Patrón]:[mN-(mpe–U95)]],3,FALSE),"")</f>
        <v/>
      </c>
      <c r="CS189" s="32"/>
      <c r="CU189"/>
      <c r="DC189" s="1"/>
      <c r="DD189" s="1"/>
      <c r="DF189"/>
      <c r="DG189"/>
    </row>
    <row r="190" spans="85:111" x14ac:dyDescent="0.3">
      <c r="CG190" s="38">
        <v>184</v>
      </c>
      <c r="CH190" s="35">
        <f t="shared" si="11"/>
        <v>0</v>
      </c>
      <c r="CI190" s="35" t="str">
        <f>IF(tblTrazabilidad[[#This Row],[Código]]=0,"",IFERROR(IF(SEARCH("JM",tblTrazabilidad[[#This Row],[Código]])&gt;0,"Juego de pesas",),"Pesa"))</f>
        <v/>
      </c>
      <c r="CJ190" s="35" t="str">
        <f>IFERROR(VLOOKUP($CH190,tblBD_PatronMasa[[Código Patrón]:[mN-(mpe–U95)]],2,FALSE),"")</f>
        <v/>
      </c>
      <c r="CK190" s="35" t="str">
        <f>IFERROR(VLOOKUP($CH190,tblBD_PatronMasa[[Código Patrón]:[mN-(mpe–U95)]],13,FALSE),"")</f>
        <v/>
      </c>
      <c r="CL190" s="34" t="str">
        <f>IF(tblTrazabilidad[[#This Row],[Clase]]="F2",IFERROR(IF(VLOOKUP($CH190,tblBD_PatronMasa[[Código Patrón]:[mN-(mpe–U95)]],12,FALSE)=0,"",VLOOKUP($CH190,tblBD_PatronMasa[[Código Patrón]:[mN-(mpe–U95)]],12,FALSE)+731),""),IF(tblTrazabilidad[[#This Row],[Clase]]="F1",IFERROR(IF(VLOOKUP($CH190,tblBD_PatronMasa[[Código Patrón]:[mN-(mpe–U95)]],12,FALSE)=0,"",VLOOKUP($CH190,tblBD_PatronMasa[[Código Patrón]:[mN-(mpe–U95)]],12,FALSE)+731),""),IFERROR(IF(VLOOKUP($CH190,tblBD_PatronMasa[[Código Patrón]:[mN-(mpe–U95)]],12,FALSE)=0,"",VLOOKUP($CH190,tblBD_PatronMasa[[Código Patrón]:[mN-(mpe–U95)]],12,FALSE)+366),"")))</f>
        <v/>
      </c>
      <c r="CM190" s="33" t="str">
        <f>IFERROR(VLOOKUP($CH190,tblBD_PatronMasa[[Código Patrón]:[mN-(mpe–U95)]],3,FALSE),"")</f>
        <v/>
      </c>
      <c r="CS190" s="32"/>
      <c r="CU190"/>
      <c r="DC190" s="1"/>
      <c r="DD190" s="1"/>
      <c r="DF190"/>
      <c r="DG190"/>
    </row>
    <row r="191" spans="85:111" x14ac:dyDescent="0.3">
      <c r="CG191" s="38">
        <v>185</v>
      </c>
      <c r="CH191" s="35">
        <f t="shared" si="11"/>
        <v>0</v>
      </c>
      <c r="CI191" s="35" t="str">
        <f>IF(tblTrazabilidad[[#This Row],[Código]]=0,"",IFERROR(IF(SEARCH("JM",tblTrazabilidad[[#This Row],[Código]])&gt;0,"Juego de pesas",),"Pesa"))</f>
        <v/>
      </c>
      <c r="CJ191" s="35" t="str">
        <f>IFERROR(VLOOKUP($CH191,tblBD_PatronMasa[[Código Patrón]:[mN-(mpe–U95)]],2,FALSE),"")</f>
        <v/>
      </c>
      <c r="CK191" s="35" t="str">
        <f>IFERROR(VLOOKUP($CH191,tblBD_PatronMasa[[Código Patrón]:[mN-(mpe–U95)]],13,FALSE),"")</f>
        <v/>
      </c>
      <c r="CL191" s="34" t="str">
        <f>IF(tblTrazabilidad[[#This Row],[Clase]]="F2",IFERROR(IF(VLOOKUP($CH191,tblBD_PatronMasa[[Código Patrón]:[mN-(mpe–U95)]],12,FALSE)=0,"",VLOOKUP($CH191,tblBD_PatronMasa[[Código Patrón]:[mN-(mpe–U95)]],12,FALSE)+731),""),IF(tblTrazabilidad[[#This Row],[Clase]]="F1",IFERROR(IF(VLOOKUP($CH191,tblBD_PatronMasa[[Código Patrón]:[mN-(mpe–U95)]],12,FALSE)=0,"",VLOOKUP($CH191,tblBD_PatronMasa[[Código Patrón]:[mN-(mpe–U95)]],12,FALSE)+731),""),IFERROR(IF(VLOOKUP($CH191,tblBD_PatronMasa[[Código Patrón]:[mN-(mpe–U95)]],12,FALSE)=0,"",VLOOKUP($CH191,tblBD_PatronMasa[[Código Patrón]:[mN-(mpe–U95)]],12,FALSE)+366),"")))</f>
        <v/>
      </c>
      <c r="CM191" s="33" t="str">
        <f>IFERROR(VLOOKUP($CH191,tblBD_PatronMasa[[Código Patrón]:[mN-(mpe–U95)]],3,FALSE),"")</f>
        <v/>
      </c>
      <c r="CS191" s="32"/>
      <c r="CU191"/>
      <c r="DC191" s="1"/>
      <c r="DD191" s="1"/>
      <c r="DF191"/>
      <c r="DG191"/>
    </row>
    <row r="192" spans="85:111" x14ac:dyDescent="0.3">
      <c r="CG192" s="38">
        <v>186</v>
      </c>
      <c r="CH192" s="35">
        <f t="shared" si="11"/>
        <v>0</v>
      </c>
      <c r="CI192" s="35" t="str">
        <f>IF(tblTrazabilidad[[#This Row],[Código]]=0,"",IFERROR(IF(SEARCH("JM",tblTrazabilidad[[#This Row],[Código]])&gt;0,"Juego de pesas",),"Pesa"))</f>
        <v/>
      </c>
      <c r="CJ192" s="35" t="str">
        <f>IFERROR(VLOOKUP($CH192,tblBD_PatronMasa[[Código Patrón]:[mN-(mpe–U95)]],2,FALSE),"")</f>
        <v/>
      </c>
      <c r="CK192" s="35" t="str">
        <f>IFERROR(VLOOKUP($CH192,tblBD_PatronMasa[[Código Patrón]:[mN-(mpe–U95)]],13,FALSE),"")</f>
        <v/>
      </c>
      <c r="CL192" s="34" t="str">
        <f>IF(tblTrazabilidad[[#This Row],[Clase]]="F2",IFERROR(IF(VLOOKUP($CH192,tblBD_PatronMasa[[Código Patrón]:[mN-(mpe–U95)]],12,FALSE)=0,"",VLOOKUP($CH192,tblBD_PatronMasa[[Código Patrón]:[mN-(mpe–U95)]],12,FALSE)+731),""),IF(tblTrazabilidad[[#This Row],[Clase]]="F1",IFERROR(IF(VLOOKUP($CH192,tblBD_PatronMasa[[Código Patrón]:[mN-(mpe–U95)]],12,FALSE)=0,"",VLOOKUP($CH192,tblBD_PatronMasa[[Código Patrón]:[mN-(mpe–U95)]],12,FALSE)+731),""),IFERROR(IF(VLOOKUP($CH192,tblBD_PatronMasa[[Código Patrón]:[mN-(mpe–U95)]],12,FALSE)=0,"",VLOOKUP($CH192,tblBD_PatronMasa[[Código Patrón]:[mN-(mpe–U95)]],12,FALSE)+366),"")))</f>
        <v/>
      </c>
      <c r="CM192" s="33" t="str">
        <f>IFERROR(VLOOKUP($CH192,tblBD_PatronMasa[[Código Patrón]:[mN-(mpe–U95)]],3,FALSE),"")</f>
        <v/>
      </c>
      <c r="CS192" s="32"/>
      <c r="CU192"/>
      <c r="DC192" s="1"/>
      <c r="DD192" s="1"/>
      <c r="DF192"/>
      <c r="DG192"/>
    </row>
    <row r="193" spans="85:111" x14ac:dyDescent="0.3">
      <c r="CG193" s="38">
        <v>187</v>
      </c>
      <c r="CH193" s="35">
        <f t="shared" si="11"/>
        <v>0</v>
      </c>
      <c r="CI193" s="35" t="str">
        <f>IF(tblTrazabilidad[[#This Row],[Código]]=0,"",IFERROR(IF(SEARCH("JM",tblTrazabilidad[[#This Row],[Código]])&gt;0,"Juego de pesas",),"Pesa"))</f>
        <v/>
      </c>
      <c r="CJ193" s="35" t="str">
        <f>IFERROR(VLOOKUP($CH193,tblBD_PatronMasa[[Código Patrón]:[mN-(mpe–U95)]],2,FALSE),"")</f>
        <v/>
      </c>
      <c r="CK193" s="35" t="str">
        <f>IFERROR(VLOOKUP($CH193,tblBD_PatronMasa[[Código Patrón]:[mN-(mpe–U95)]],13,FALSE),"")</f>
        <v/>
      </c>
      <c r="CL193" s="34" t="str">
        <f>IF(tblTrazabilidad[[#This Row],[Clase]]="F2",IFERROR(IF(VLOOKUP($CH193,tblBD_PatronMasa[[Código Patrón]:[mN-(mpe–U95)]],12,FALSE)=0,"",VLOOKUP($CH193,tblBD_PatronMasa[[Código Patrón]:[mN-(mpe–U95)]],12,FALSE)+731),""),IF(tblTrazabilidad[[#This Row],[Clase]]="F1",IFERROR(IF(VLOOKUP($CH193,tblBD_PatronMasa[[Código Patrón]:[mN-(mpe–U95)]],12,FALSE)=0,"",VLOOKUP($CH193,tblBD_PatronMasa[[Código Patrón]:[mN-(mpe–U95)]],12,FALSE)+731),""),IFERROR(IF(VLOOKUP($CH193,tblBD_PatronMasa[[Código Patrón]:[mN-(mpe–U95)]],12,FALSE)=0,"",VLOOKUP($CH193,tblBD_PatronMasa[[Código Patrón]:[mN-(mpe–U95)]],12,FALSE)+366),"")))</f>
        <v/>
      </c>
      <c r="CM193" s="33" t="str">
        <f>IFERROR(VLOOKUP($CH193,tblBD_PatronMasa[[Código Patrón]:[mN-(mpe–U95)]],3,FALSE),"")</f>
        <v/>
      </c>
      <c r="CS193" s="32"/>
      <c r="CU193"/>
      <c r="DC193" s="1"/>
      <c r="DD193" s="1"/>
      <c r="DF193"/>
      <c r="DG193"/>
    </row>
    <row r="194" spans="85:111" x14ac:dyDescent="0.3">
      <c r="CG194" s="38">
        <v>188</v>
      </c>
      <c r="CH194" s="35">
        <f t="shared" si="11"/>
        <v>0</v>
      </c>
      <c r="CI194" s="35" t="str">
        <f>IF(tblTrazabilidad[[#This Row],[Código]]=0,"",IFERROR(IF(SEARCH("JM",tblTrazabilidad[[#This Row],[Código]])&gt;0,"Juego de pesas",),"Pesa"))</f>
        <v/>
      </c>
      <c r="CJ194" s="35" t="str">
        <f>IFERROR(VLOOKUP($CH194,tblBD_PatronMasa[[Código Patrón]:[mN-(mpe–U95)]],2,FALSE),"")</f>
        <v/>
      </c>
      <c r="CK194" s="35" t="str">
        <f>IFERROR(VLOOKUP($CH194,tblBD_PatronMasa[[Código Patrón]:[mN-(mpe–U95)]],13,FALSE),"")</f>
        <v/>
      </c>
      <c r="CL194" s="34" t="str">
        <f>IF(tblTrazabilidad[[#This Row],[Clase]]="F2",IFERROR(IF(VLOOKUP($CH194,tblBD_PatronMasa[[Código Patrón]:[mN-(mpe–U95)]],12,FALSE)=0,"",VLOOKUP($CH194,tblBD_PatronMasa[[Código Patrón]:[mN-(mpe–U95)]],12,FALSE)+731),""),IF(tblTrazabilidad[[#This Row],[Clase]]="F1",IFERROR(IF(VLOOKUP($CH194,tblBD_PatronMasa[[Código Patrón]:[mN-(mpe–U95)]],12,FALSE)=0,"",VLOOKUP($CH194,tblBD_PatronMasa[[Código Patrón]:[mN-(mpe–U95)]],12,FALSE)+731),""),IFERROR(IF(VLOOKUP($CH194,tblBD_PatronMasa[[Código Patrón]:[mN-(mpe–U95)]],12,FALSE)=0,"",VLOOKUP($CH194,tblBD_PatronMasa[[Código Patrón]:[mN-(mpe–U95)]],12,FALSE)+366),"")))</f>
        <v/>
      </c>
      <c r="CM194" s="33" t="str">
        <f>IFERROR(VLOOKUP($CH194,tblBD_PatronMasa[[Código Patrón]:[mN-(mpe–U95)]],3,FALSE),"")</f>
        <v/>
      </c>
      <c r="CS194" s="32"/>
      <c r="CU194"/>
      <c r="DC194" s="1"/>
      <c r="DD194" s="1"/>
      <c r="DF194"/>
      <c r="DG194"/>
    </row>
    <row r="195" spans="85:111" x14ac:dyDescent="0.3">
      <c r="CG195" s="38">
        <v>189</v>
      </c>
      <c r="CH195" s="35">
        <f t="shared" si="11"/>
        <v>0</v>
      </c>
      <c r="CI195" s="35" t="str">
        <f>IF(tblTrazabilidad[[#This Row],[Código]]=0,"",IFERROR(IF(SEARCH("JM",tblTrazabilidad[[#This Row],[Código]])&gt;0,"Juego de pesas",),"Pesa"))</f>
        <v/>
      </c>
      <c r="CJ195" s="35" t="str">
        <f>IFERROR(VLOOKUP($CH195,tblBD_PatronMasa[[Código Patrón]:[mN-(mpe–U95)]],2,FALSE),"")</f>
        <v/>
      </c>
      <c r="CK195" s="35" t="str">
        <f>IFERROR(VLOOKUP($CH195,tblBD_PatronMasa[[Código Patrón]:[mN-(mpe–U95)]],13,FALSE),"")</f>
        <v/>
      </c>
      <c r="CL195" s="34" t="str">
        <f>IF(tblTrazabilidad[[#This Row],[Clase]]="F2",IFERROR(IF(VLOOKUP($CH195,tblBD_PatronMasa[[Código Patrón]:[mN-(mpe–U95)]],12,FALSE)=0,"",VLOOKUP($CH195,tblBD_PatronMasa[[Código Patrón]:[mN-(mpe–U95)]],12,FALSE)+731),""),IF(tblTrazabilidad[[#This Row],[Clase]]="F1",IFERROR(IF(VLOOKUP($CH195,tblBD_PatronMasa[[Código Patrón]:[mN-(mpe–U95)]],12,FALSE)=0,"",VLOOKUP($CH195,tblBD_PatronMasa[[Código Patrón]:[mN-(mpe–U95)]],12,FALSE)+731),""),IFERROR(IF(VLOOKUP($CH195,tblBD_PatronMasa[[Código Patrón]:[mN-(mpe–U95)]],12,FALSE)=0,"",VLOOKUP($CH195,tblBD_PatronMasa[[Código Patrón]:[mN-(mpe–U95)]],12,FALSE)+366),"")))</f>
        <v/>
      </c>
      <c r="CM195" s="33" t="str">
        <f>IFERROR(VLOOKUP($CH195,tblBD_PatronMasa[[Código Patrón]:[mN-(mpe–U95)]],3,FALSE),"")</f>
        <v/>
      </c>
      <c r="CS195" s="32"/>
      <c r="CU195"/>
      <c r="DC195" s="1"/>
      <c r="DD195" s="1"/>
      <c r="DF195"/>
      <c r="DG195"/>
    </row>
    <row r="196" spans="85:111" x14ac:dyDescent="0.3">
      <c r="CG196" s="38">
        <v>190</v>
      </c>
      <c r="CH196" s="35">
        <f t="shared" si="11"/>
        <v>0</v>
      </c>
      <c r="CI196" s="35" t="str">
        <f>IF(tblTrazabilidad[[#This Row],[Código]]=0,"",IFERROR(IF(SEARCH("JM",tblTrazabilidad[[#This Row],[Código]])&gt;0,"Juego de pesas",),"Pesa"))</f>
        <v/>
      </c>
      <c r="CJ196" s="35" t="str">
        <f>IFERROR(VLOOKUP($CH196,tblBD_PatronMasa[[Código Patrón]:[mN-(mpe–U95)]],2,FALSE),"")</f>
        <v/>
      </c>
      <c r="CK196" s="35" t="str">
        <f>IFERROR(VLOOKUP($CH196,tblBD_PatronMasa[[Código Patrón]:[mN-(mpe–U95)]],13,FALSE),"")</f>
        <v/>
      </c>
      <c r="CL196" s="34" t="str">
        <f>IF(tblTrazabilidad[[#This Row],[Clase]]="F2",IFERROR(IF(VLOOKUP($CH196,tblBD_PatronMasa[[Código Patrón]:[mN-(mpe–U95)]],12,FALSE)=0,"",VLOOKUP($CH196,tblBD_PatronMasa[[Código Patrón]:[mN-(mpe–U95)]],12,FALSE)+731),""),IF(tblTrazabilidad[[#This Row],[Clase]]="F1",IFERROR(IF(VLOOKUP($CH196,tblBD_PatronMasa[[Código Patrón]:[mN-(mpe–U95)]],12,FALSE)=0,"",VLOOKUP($CH196,tblBD_PatronMasa[[Código Patrón]:[mN-(mpe–U95)]],12,FALSE)+731),""),IFERROR(IF(VLOOKUP($CH196,tblBD_PatronMasa[[Código Patrón]:[mN-(mpe–U95)]],12,FALSE)=0,"",VLOOKUP($CH196,tblBD_PatronMasa[[Código Patrón]:[mN-(mpe–U95)]],12,FALSE)+366),"")))</f>
        <v/>
      </c>
      <c r="CM196" s="33" t="str">
        <f>IFERROR(VLOOKUP($CH196,tblBD_PatronMasa[[Código Patrón]:[mN-(mpe–U95)]],3,FALSE),"")</f>
        <v/>
      </c>
      <c r="CS196" s="32"/>
      <c r="CU196"/>
      <c r="DC196" s="1"/>
      <c r="DD196" s="1"/>
      <c r="DF196"/>
      <c r="DG196"/>
    </row>
    <row r="197" spans="85:111" x14ac:dyDescent="0.3">
      <c r="CG197" s="38">
        <v>191</v>
      </c>
      <c r="CH197" s="35">
        <f t="shared" si="11"/>
        <v>0</v>
      </c>
      <c r="CI197" s="35" t="str">
        <f>IF(tblTrazabilidad[[#This Row],[Código]]=0,"",IFERROR(IF(SEARCH("JM",tblTrazabilidad[[#This Row],[Código]])&gt;0,"Juego de pesas",),"Pesa"))</f>
        <v/>
      </c>
      <c r="CJ197" s="35" t="str">
        <f>IFERROR(VLOOKUP($CH197,tblBD_PatronMasa[[Código Patrón]:[mN-(mpe–U95)]],2,FALSE),"")</f>
        <v/>
      </c>
      <c r="CK197" s="35" t="str">
        <f>IFERROR(VLOOKUP($CH197,tblBD_PatronMasa[[Código Patrón]:[mN-(mpe–U95)]],13,FALSE),"")</f>
        <v/>
      </c>
      <c r="CL197" s="34" t="str">
        <f>IF(tblTrazabilidad[[#This Row],[Clase]]="F2",IFERROR(IF(VLOOKUP($CH197,tblBD_PatronMasa[[Código Patrón]:[mN-(mpe–U95)]],12,FALSE)=0,"",VLOOKUP($CH197,tblBD_PatronMasa[[Código Patrón]:[mN-(mpe–U95)]],12,FALSE)+731),""),IF(tblTrazabilidad[[#This Row],[Clase]]="F1",IFERROR(IF(VLOOKUP($CH197,tblBD_PatronMasa[[Código Patrón]:[mN-(mpe–U95)]],12,FALSE)=0,"",VLOOKUP($CH197,tblBD_PatronMasa[[Código Patrón]:[mN-(mpe–U95)]],12,FALSE)+731),""),IFERROR(IF(VLOOKUP($CH197,tblBD_PatronMasa[[Código Patrón]:[mN-(mpe–U95)]],12,FALSE)=0,"",VLOOKUP($CH197,tblBD_PatronMasa[[Código Patrón]:[mN-(mpe–U95)]],12,FALSE)+366),"")))</f>
        <v/>
      </c>
      <c r="CM197" s="33" t="str">
        <f>IFERROR(VLOOKUP($CH197,tblBD_PatronMasa[[Código Patrón]:[mN-(mpe–U95)]],3,FALSE),"")</f>
        <v/>
      </c>
      <c r="CS197" s="32"/>
      <c r="CU197"/>
      <c r="DC197" s="1"/>
      <c r="DD197" s="1"/>
      <c r="DF197"/>
      <c r="DG197"/>
    </row>
    <row r="198" spans="85:111" x14ac:dyDescent="0.3">
      <c r="CG198" s="38">
        <v>192</v>
      </c>
      <c r="CH198" s="35">
        <f t="shared" si="11"/>
        <v>0</v>
      </c>
      <c r="CI198" s="35" t="str">
        <f>IF(tblTrazabilidad[[#This Row],[Código]]=0,"",IFERROR(IF(SEARCH("JM",tblTrazabilidad[[#This Row],[Código]])&gt;0,"Juego de pesas",),"Pesa"))</f>
        <v/>
      </c>
      <c r="CJ198" s="35" t="str">
        <f>IFERROR(VLOOKUP($CH198,tblBD_PatronMasa[[Código Patrón]:[mN-(mpe–U95)]],2,FALSE),"")</f>
        <v/>
      </c>
      <c r="CK198" s="35" t="str">
        <f>IFERROR(VLOOKUP($CH198,tblBD_PatronMasa[[Código Patrón]:[mN-(mpe–U95)]],13,FALSE),"")</f>
        <v/>
      </c>
      <c r="CL198" s="34" t="str">
        <f>IF(tblTrazabilidad[[#This Row],[Clase]]="F2",IFERROR(IF(VLOOKUP($CH198,tblBD_PatronMasa[[Código Patrón]:[mN-(mpe–U95)]],12,FALSE)=0,"",VLOOKUP($CH198,tblBD_PatronMasa[[Código Patrón]:[mN-(mpe–U95)]],12,FALSE)+731),""),IF(tblTrazabilidad[[#This Row],[Clase]]="F1",IFERROR(IF(VLOOKUP($CH198,tblBD_PatronMasa[[Código Patrón]:[mN-(mpe–U95)]],12,FALSE)=0,"",VLOOKUP($CH198,tblBD_PatronMasa[[Código Patrón]:[mN-(mpe–U95)]],12,FALSE)+731),""),IFERROR(IF(VLOOKUP($CH198,tblBD_PatronMasa[[Código Patrón]:[mN-(mpe–U95)]],12,FALSE)=0,"",VLOOKUP($CH198,tblBD_PatronMasa[[Código Patrón]:[mN-(mpe–U95)]],12,FALSE)+366),"")))</f>
        <v/>
      </c>
      <c r="CM198" s="33" t="str">
        <f>IFERROR(VLOOKUP($CH198,tblBD_PatronMasa[[Código Patrón]:[mN-(mpe–U95)]],3,FALSE),"")</f>
        <v/>
      </c>
      <c r="CS198" s="32"/>
      <c r="CU198"/>
      <c r="DC198" s="1"/>
      <c r="DD198" s="1"/>
      <c r="DF198"/>
      <c r="DG198"/>
    </row>
    <row r="199" spans="85:111" x14ac:dyDescent="0.3">
      <c r="CG199" s="38">
        <v>193</v>
      </c>
      <c r="CH199" s="35">
        <f t="shared" si="11"/>
        <v>0</v>
      </c>
      <c r="CI199" s="35" t="str">
        <f>IF(tblTrazabilidad[[#This Row],[Código]]=0,"",IFERROR(IF(SEARCH("JM",tblTrazabilidad[[#This Row],[Código]])&gt;0,"Juego de pesas",),"Pesa"))</f>
        <v/>
      </c>
      <c r="CJ199" s="35" t="str">
        <f>IFERROR(VLOOKUP($CH199,tblBD_PatronMasa[[Código Patrón]:[mN-(mpe–U95)]],2,FALSE),"")</f>
        <v/>
      </c>
      <c r="CK199" s="35" t="str">
        <f>IFERROR(VLOOKUP($CH199,tblBD_PatronMasa[[Código Patrón]:[mN-(mpe–U95)]],13,FALSE),"")</f>
        <v/>
      </c>
      <c r="CL199" s="34" t="str">
        <f>IF(tblTrazabilidad[[#This Row],[Clase]]="F2",IFERROR(IF(VLOOKUP($CH199,tblBD_PatronMasa[[Código Patrón]:[mN-(mpe–U95)]],12,FALSE)=0,"",VLOOKUP($CH199,tblBD_PatronMasa[[Código Patrón]:[mN-(mpe–U95)]],12,FALSE)+731),""),IF(tblTrazabilidad[[#This Row],[Clase]]="F1",IFERROR(IF(VLOOKUP($CH199,tblBD_PatronMasa[[Código Patrón]:[mN-(mpe–U95)]],12,FALSE)=0,"",VLOOKUP($CH199,tblBD_PatronMasa[[Código Patrón]:[mN-(mpe–U95)]],12,FALSE)+731),""),IFERROR(IF(VLOOKUP($CH199,tblBD_PatronMasa[[Código Patrón]:[mN-(mpe–U95)]],12,FALSE)=0,"",VLOOKUP($CH199,tblBD_PatronMasa[[Código Patrón]:[mN-(mpe–U95)]],12,FALSE)+366),"")))</f>
        <v/>
      </c>
      <c r="CM199" s="33" t="str">
        <f>IFERROR(VLOOKUP($CH199,tblBD_PatronMasa[[Código Patrón]:[mN-(mpe–U95)]],3,FALSE),"")</f>
        <v/>
      </c>
      <c r="CS199" s="32"/>
      <c r="CU199"/>
      <c r="DC199" s="1"/>
      <c r="DD199" s="1"/>
      <c r="DF199"/>
      <c r="DG199"/>
    </row>
    <row r="200" spans="85:111" x14ac:dyDescent="0.3">
      <c r="CG200" s="38">
        <v>194</v>
      </c>
      <c r="CH200" s="35">
        <f t="shared" si="11"/>
        <v>0</v>
      </c>
      <c r="CI200" s="35" t="str">
        <f>IF(tblTrazabilidad[[#This Row],[Código]]=0,"",IFERROR(IF(SEARCH("JM",tblTrazabilidad[[#This Row],[Código]])&gt;0,"Juego de pesas",),"Pesa"))</f>
        <v/>
      </c>
      <c r="CJ200" s="35" t="str">
        <f>IFERROR(VLOOKUP($CH200,tblBD_PatronMasa[[Código Patrón]:[mN-(mpe–U95)]],2,FALSE),"")</f>
        <v/>
      </c>
      <c r="CK200" s="35" t="str">
        <f>IFERROR(VLOOKUP($CH200,tblBD_PatronMasa[[Código Patrón]:[mN-(mpe–U95)]],13,FALSE),"")</f>
        <v/>
      </c>
      <c r="CL200" s="34" t="str">
        <f>IF(tblTrazabilidad[[#This Row],[Clase]]="F2",IFERROR(IF(VLOOKUP($CH200,tblBD_PatronMasa[[Código Patrón]:[mN-(mpe–U95)]],12,FALSE)=0,"",VLOOKUP($CH200,tblBD_PatronMasa[[Código Patrón]:[mN-(mpe–U95)]],12,FALSE)+731),""),IF(tblTrazabilidad[[#This Row],[Clase]]="F1",IFERROR(IF(VLOOKUP($CH200,tblBD_PatronMasa[[Código Patrón]:[mN-(mpe–U95)]],12,FALSE)=0,"",VLOOKUP($CH200,tblBD_PatronMasa[[Código Patrón]:[mN-(mpe–U95)]],12,FALSE)+731),""),IFERROR(IF(VLOOKUP($CH200,tblBD_PatronMasa[[Código Patrón]:[mN-(mpe–U95)]],12,FALSE)=0,"",VLOOKUP($CH200,tblBD_PatronMasa[[Código Patrón]:[mN-(mpe–U95)]],12,FALSE)+366),"")))</f>
        <v/>
      </c>
      <c r="CM200" s="33" t="str">
        <f>IFERROR(VLOOKUP($CH200,tblBD_PatronMasa[[Código Patrón]:[mN-(mpe–U95)]],3,FALSE),"")</f>
        <v/>
      </c>
      <c r="CS200" s="32"/>
      <c r="CU200"/>
      <c r="DC200" s="1"/>
      <c r="DD200" s="1"/>
      <c r="DF200"/>
      <c r="DG200"/>
    </row>
    <row r="201" spans="85:111" x14ac:dyDescent="0.3">
      <c r="CG201" s="38">
        <v>195</v>
      </c>
      <c r="CH201" s="35">
        <f t="shared" si="11"/>
        <v>0</v>
      </c>
      <c r="CI201" s="35" t="str">
        <f>IF(tblTrazabilidad[[#This Row],[Código]]=0,"",IFERROR(IF(SEARCH("JM",tblTrazabilidad[[#This Row],[Código]])&gt;0,"Juego de pesas",),"Pesa"))</f>
        <v/>
      </c>
      <c r="CJ201" s="35" t="str">
        <f>IFERROR(VLOOKUP($CH201,tblBD_PatronMasa[[Código Patrón]:[mN-(mpe–U95)]],2,FALSE),"")</f>
        <v/>
      </c>
      <c r="CK201" s="35" t="str">
        <f>IFERROR(VLOOKUP($CH201,tblBD_PatronMasa[[Código Patrón]:[mN-(mpe–U95)]],13,FALSE),"")</f>
        <v/>
      </c>
      <c r="CL201" s="34" t="str">
        <f>IF(tblTrazabilidad[[#This Row],[Clase]]="F2",IFERROR(IF(VLOOKUP($CH201,tblBD_PatronMasa[[Código Patrón]:[mN-(mpe–U95)]],12,FALSE)=0,"",VLOOKUP($CH201,tblBD_PatronMasa[[Código Patrón]:[mN-(mpe–U95)]],12,FALSE)+731),""),IF(tblTrazabilidad[[#This Row],[Clase]]="F1",IFERROR(IF(VLOOKUP($CH201,tblBD_PatronMasa[[Código Patrón]:[mN-(mpe–U95)]],12,FALSE)=0,"",VLOOKUP($CH201,tblBD_PatronMasa[[Código Patrón]:[mN-(mpe–U95)]],12,FALSE)+731),""),IFERROR(IF(VLOOKUP($CH201,tblBD_PatronMasa[[Código Patrón]:[mN-(mpe–U95)]],12,FALSE)=0,"",VLOOKUP($CH201,tblBD_PatronMasa[[Código Patrón]:[mN-(mpe–U95)]],12,FALSE)+366),"")))</f>
        <v/>
      </c>
      <c r="CM201" s="33" t="str">
        <f>IFERROR(VLOOKUP($CH201,tblBD_PatronMasa[[Código Patrón]:[mN-(mpe–U95)]],3,FALSE),"")</f>
        <v/>
      </c>
      <c r="CS201" s="32"/>
      <c r="CU201"/>
      <c r="DC201" s="1"/>
      <c r="DD201" s="1"/>
      <c r="DF201"/>
      <c r="DG201"/>
    </row>
    <row r="202" spans="85:111" x14ac:dyDescent="0.3">
      <c r="CG202" s="38">
        <v>196</v>
      </c>
      <c r="CH202" s="35">
        <f t="shared" si="11"/>
        <v>0</v>
      </c>
      <c r="CI202" s="35" t="str">
        <f>IF(tblTrazabilidad[[#This Row],[Código]]=0,"",IFERROR(IF(SEARCH("JM",tblTrazabilidad[[#This Row],[Código]])&gt;0,"Juego de pesas",),"Pesa"))</f>
        <v/>
      </c>
      <c r="CJ202" s="35" t="str">
        <f>IFERROR(VLOOKUP($CH202,tblBD_PatronMasa[[Código Patrón]:[mN-(mpe–U95)]],2,FALSE),"")</f>
        <v/>
      </c>
      <c r="CK202" s="35" t="str">
        <f>IFERROR(VLOOKUP($CH202,tblBD_PatronMasa[[Código Patrón]:[mN-(mpe–U95)]],13,FALSE),"")</f>
        <v/>
      </c>
      <c r="CL202" s="34" t="str">
        <f>IF(tblTrazabilidad[[#This Row],[Clase]]="F2",IFERROR(IF(VLOOKUP($CH202,tblBD_PatronMasa[[Código Patrón]:[mN-(mpe–U95)]],12,FALSE)=0,"",VLOOKUP($CH202,tblBD_PatronMasa[[Código Patrón]:[mN-(mpe–U95)]],12,FALSE)+731),""),IF(tblTrazabilidad[[#This Row],[Clase]]="F1",IFERROR(IF(VLOOKUP($CH202,tblBD_PatronMasa[[Código Patrón]:[mN-(mpe–U95)]],12,FALSE)=0,"",VLOOKUP($CH202,tblBD_PatronMasa[[Código Patrón]:[mN-(mpe–U95)]],12,FALSE)+731),""),IFERROR(IF(VLOOKUP($CH202,tblBD_PatronMasa[[Código Patrón]:[mN-(mpe–U95)]],12,FALSE)=0,"",VLOOKUP($CH202,tblBD_PatronMasa[[Código Patrón]:[mN-(mpe–U95)]],12,FALSE)+366),"")))</f>
        <v/>
      </c>
      <c r="CM202" s="33" t="str">
        <f>IFERROR(VLOOKUP($CH202,tblBD_PatronMasa[[Código Patrón]:[mN-(mpe–U95)]],3,FALSE),"")</f>
        <v/>
      </c>
      <c r="CS202" s="32"/>
      <c r="CU202"/>
      <c r="DC202" s="1"/>
      <c r="DD202" s="1"/>
      <c r="DF202"/>
      <c r="DG202"/>
    </row>
    <row r="203" spans="85:111" x14ac:dyDescent="0.3">
      <c r="CG203" s="38">
        <v>197</v>
      </c>
      <c r="CH203" s="35">
        <f t="shared" si="11"/>
        <v>0</v>
      </c>
      <c r="CI203" s="35" t="str">
        <f>IF(tblTrazabilidad[[#This Row],[Código]]=0,"",IFERROR(IF(SEARCH("JM",tblTrazabilidad[[#This Row],[Código]])&gt;0,"Juego de pesas",),"Pesa"))</f>
        <v/>
      </c>
      <c r="CJ203" s="35" t="str">
        <f>IFERROR(VLOOKUP($CH203,tblBD_PatronMasa[[Código Patrón]:[mN-(mpe–U95)]],2,FALSE),"")</f>
        <v/>
      </c>
      <c r="CK203" s="35" t="str">
        <f>IFERROR(VLOOKUP($CH203,tblBD_PatronMasa[[Código Patrón]:[mN-(mpe–U95)]],13,FALSE),"")</f>
        <v/>
      </c>
      <c r="CL203" s="34" t="str">
        <f>IF(tblTrazabilidad[[#This Row],[Clase]]="F2",IFERROR(IF(VLOOKUP($CH203,tblBD_PatronMasa[[Código Patrón]:[mN-(mpe–U95)]],12,FALSE)=0,"",VLOOKUP($CH203,tblBD_PatronMasa[[Código Patrón]:[mN-(mpe–U95)]],12,FALSE)+731),""),IF(tblTrazabilidad[[#This Row],[Clase]]="F1",IFERROR(IF(VLOOKUP($CH203,tblBD_PatronMasa[[Código Patrón]:[mN-(mpe–U95)]],12,FALSE)=0,"",VLOOKUP($CH203,tblBD_PatronMasa[[Código Patrón]:[mN-(mpe–U95)]],12,FALSE)+731),""),IFERROR(IF(VLOOKUP($CH203,tblBD_PatronMasa[[Código Patrón]:[mN-(mpe–U95)]],12,FALSE)=0,"",VLOOKUP($CH203,tblBD_PatronMasa[[Código Patrón]:[mN-(mpe–U95)]],12,FALSE)+366),"")))</f>
        <v/>
      </c>
      <c r="CM203" s="33" t="str">
        <f>IFERROR(VLOOKUP($CH203,tblBD_PatronMasa[[Código Patrón]:[mN-(mpe–U95)]],3,FALSE),"")</f>
        <v/>
      </c>
      <c r="CS203" s="32"/>
      <c r="CU203"/>
      <c r="DC203" s="1"/>
      <c r="DD203" s="1"/>
      <c r="DF203"/>
      <c r="DG203"/>
    </row>
    <row r="204" spans="85:111" x14ac:dyDescent="0.3">
      <c r="CG204" s="38">
        <v>198</v>
      </c>
      <c r="CH204" s="35">
        <f t="shared" si="11"/>
        <v>0</v>
      </c>
      <c r="CI204" s="35" t="str">
        <f>IF(tblTrazabilidad[[#This Row],[Código]]=0,"",IFERROR(IF(SEARCH("JM",tblTrazabilidad[[#This Row],[Código]])&gt;0,"Juego de pesas",),"Pesa"))</f>
        <v/>
      </c>
      <c r="CJ204" s="35" t="str">
        <f>IFERROR(VLOOKUP($CH204,tblBD_PatronMasa[[Código Patrón]:[mN-(mpe–U95)]],2,FALSE),"")</f>
        <v/>
      </c>
      <c r="CK204" s="35" t="str">
        <f>IFERROR(VLOOKUP($CH204,tblBD_PatronMasa[[Código Patrón]:[mN-(mpe–U95)]],13,FALSE),"")</f>
        <v/>
      </c>
      <c r="CL204" s="34" t="str">
        <f>IF(tblTrazabilidad[[#This Row],[Clase]]="F2",IFERROR(IF(VLOOKUP($CH204,tblBD_PatronMasa[[Código Patrón]:[mN-(mpe–U95)]],12,FALSE)=0,"",VLOOKUP($CH204,tblBD_PatronMasa[[Código Patrón]:[mN-(mpe–U95)]],12,FALSE)+731),""),IF(tblTrazabilidad[[#This Row],[Clase]]="F1",IFERROR(IF(VLOOKUP($CH204,tblBD_PatronMasa[[Código Patrón]:[mN-(mpe–U95)]],12,FALSE)=0,"",VLOOKUP($CH204,tblBD_PatronMasa[[Código Patrón]:[mN-(mpe–U95)]],12,FALSE)+731),""),IFERROR(IF(VLOOKUP($CH204,tblBD_PatronMasa[[Código Patrón]:[mN-(mpe–U95)]],12,FALSE)=0,"",VLOOKUP($CH204,tblBD_PatronMasa[[Código Patrón]:[mN-(mpe–U95)]],12,FALSE)+366),"")))</f>
        <v/>
      </c>
      <c r="CM204" s="33" t="str">
        <f>IFERROR(VLOOKUP($CH204,tblBD_PatronMasa[[Código Patrón]:[mN-(mpe–U95)]],3,FALSE),"")</f>
        <v/>
      </c>
      <c r="CS204" s="32"/>
      <c r="CU204"/>
      <c r="DC204" s="1"/>
      <c r="DD204" s="1"/>
      <c r="DF204"/>
      <c r="DG204"/>
    </row>
    <row r="205" spans="85:111" x14ac:dyDescent="0.3">
      <c r="CG205" s="38">
        <v>199</v>
      </c>
      <c r="CH205" s="35">
        <f t="shared" si="11"/>
        <v>0</v>
      </c>
      <c r="CI205" s="35" t="str">
        <f>IF(tblTrazabilidad[[#This Row],[Código]]=0,"",IFERROR(IF(SEARCH("JM",tblTrazabilidad[[#This Row],[Código]])&gt;0,"Juego de pesas",),"Pesa"))</f>
        <v/>
      </c>
      <c r="CJ205" s="35" t="str">
        <f>IFERROR(VLOOKUP($CH205,tblBD_PatronMasa[[Código Patrón]:[mN-(mpe–U95)]],2,FALSE),"")</f>
        <v/>
      </c>
      <c r="CK205" s="35" t="str">
        <f>IFERROR(VLOOKUP($CH205,tblBD_PatronMasa[[Código Patrón]:[mN-(mpe–U95)]],13,FALSE),"")</f>
        <v/>
      </c>
      <c r="CL205" s="34" t="str">
        <f>IF(tblTrazabilidad[[#This Row],[Clase]]="F2",IFERROR(IF(VLOOKUP($CH205,tblBD_PatronMasa[[Código Patrón]:[mN-(mpe–U95)]],12,FALSE)=0,"",VLOOKUP($CH205,tblBD_PatronMasa[[Código Patrón]:[mN-(mpe–U95)]],12,FALSE)+731),""),IF(tblTrazabilidad[[#This Row],[Clase]]="F1",IFERROR(IF(VLOOKUP($CH205,tblBD_PatronMasa[[Código Patrón]:[mN-(mpe–U95)]],12,FALSE)=0,"",VLOOKUP($CH205,tblBD_PatronMasa[[Código Patrón]:[mN-(mpe–U95)]],12,FALSE)+731),""),IFERROR(IF(VLOOKUP($CH205,tblBD_PatronMasa[[Código Patrón]:[mN-(mpe–U95)]],12,FALSE)=0,"",VLOOKUP($CH205,tblBD_PatronMasa[[Código Patrón]:[mN-(mpe–U95)]],12,FALSE)+366),"")))</f>
        <v/>
      </c>
      <c r="CM205" s="33" t="str">
        <f>IFERROR(VLOOKUP($CH205,tblBD_PatronMasa[[Código Patrón]:[mN-(mpe–U95)]],3,FALSE),"")</f>
        <v/>
      </c>
      <c r="CS205" s="32"/>
      <c r="CU205"/>
      <c r="DC205" s="1"/>
      <c r="DD205" s="1"/>
      <c r="DF205"/>
      <c r="DG205"/>
    </row>
    <row r="206" spans="85:111" x14ac:dyDescent="0.3">
      <c r="CG206" s="38">
        <v>200</v>
      </c>
      <c r="CH206" s="35">
        <f t="shared" si="11"/>
        <v>0</v>
      </c>
      <c r="CI206" s="35" t="str">
        <f>IF(tblTrazabilidad[[#This Row],[Código]]=0,"",IFERROR(IF(SEARCH("JM",tblTrazabilidad[[#This Row],[Código]])&gt;0,"Juego de pesas",),"Pesa"))</f>
        <v/>
      </c>
      <c r="CJ206" s="35" t="str">
        <f>IFERROR(VLOOKUP($CH206,tblBD_PatronMasa[[Código Patrón]:[mN-(mpe–U95)]],2,FALSE),"")</f>
        <v/>
      </c>
      <c r="CK206" s="35" t="str">
        <f>IFERROR(VLOOKUP($CH206,tblBD_PatronMasa[[Código Patrón]:[mN-(mpe–U95)]],13,FALSE),"")</f>
        <v/>
      </c>
      <c r="CL206" s="34" t="str">
        <f>IF(tblTrazabilidad[[#This Row],[Clase]]="F2",IFERROR(IF(VLOOKUP($CH206,tblBD_PatronMasa[[Código Patrón]:[mN-(mpe–U95)]],12,FALSE)=0,"",VLOOKUP($CH206,tblBD_PatronMasa[[Código Patrón]:[mN-(mpe–U95)]],12,FALSE)+731),""),IF(tblTrazabilidad[[#This Row],[Clase]]="F1",IFERROR(IF(VLOOKUP($CH206,tblBD_PatronMasa[[Código Patrón]:[mN-(mpe–U95)]],12,FALSE)=0,"",VLOOKUP($CH206,tblBD_PatronMasa[[Código Patrón]:[mN-(mpe–U95)]],12,FALSE)+731),""),IFERROR(IF(VLOOKUP($CH206,tblBD_PatronMasa[[Código Patrón]:[mN-(mpe–U95)]],12,FALSE)=0,"",VLOOKUP($CH206,tblBD_PatronMasa[[Código Patrón]:[mN-(mpe–U95)]],12,FALSE)+366),"")))</f>
        <v/>
      </c>
      <c r="CM206" s="33" t="str">
        <f>IFERROR(VLOOKUP($CH206,tblBD_PatronMasa[[Código Patrón]:[mN-(mpe–U95)]],3,FALSE),"")</f>
        <v/>
      </c>
      <c r="CS206" s="32"/>
      <c r="CU206"/>
      <c r="DC206" s="1"/>
      <c r="DD206" s="1"/>
      <c r="DF206"/>
      <c r="DG206"/>
    </row>
    <row r="207" spans="85:111" x14ac:dyDescent="0.3">
      <c r="CG207" s="38">
        <v>201</v>
      </c>
      <c r="CH207" s="35">
        <f t="shared" ref="CH207:CH238" si="12">AO5</f>
        <v>0</v>
      </c>
      <c r="CI207" s="35" t="str">
        <f>IF(tblTrazabilidad[[#This Row],[Código]]=0,"",IFERROR(IF(SEARCH("JM",tblTrazabilidad[[#This Row],[Código]])&gt;0,"Juego de pesas",),"Pesa"))</f>
        <v/>
      </c>
      <c r="CJ207" s="35" t="str">
        <f>IFERROR(VLOOKUP($CH207,tblBD_PatronMasa[[Código Patrón]:[mN-(mpe–U95)]],2,FALSE),"")</f>
        <v/>
      </c>
      <c r="CK207" s="35" t="str">
        <f>IFERROR(VLOOKUP($CH207,tblBD_PatronMasa[[Código Patrón]:[mN-(mpe–U95)]],13,FALSE),"")</f>
        <v/>
      </c>
      <c r="CL207" s="34" t="str">
        <f>IF(tblTrazabilidad[[#This Row],[Clase]]="F2",IFERROR(IF(VLOOKUP($CH207,tblBD_PatronMasa[[Código Patrón]:[mN-(mpe–U95)]],12,FALSE)=0,"",VLOOKUP($CH207,tblBD_PatronMasa[[Código Patrón]:[mN-(mpe–U95)]],12,FALSE)+731),""),IF(tblTrazabilidad[[#This Row],[Clase]]="F1",IFERROR(IF(VLOOKUP($CH207,tblBD_PatronMasa[[Código Patrón]:[mN-(mpe–U95)]],12,FALSE)=0,"",VLOOKUP($CH207,tblBD_PatronMasa[[Código Patrón]:[mN-(mpe–U95)]],12,FALSE)+731),""),IFERROR(IF(VLOOKUP($CH207,tblBD_PatronMasa[[Código Patrón]:[mN-(mpe–U95)]],12,FALSE)=0,"",VLOOKUP($CH207,tblBD_PatronMasa[[Código Patrón]:[mN-(mpe–U95)]],12,FALSE)+366),"")))</f>
        <v/>
      </c>
      <c r="CM207" s="33" t="str">
        <f>IFERROR(VLOOKUP($CH207,tblBD_PatronMasa[[Código Patrón]:[mN-(mpe–U95)]],3,FALSE),"")</f>
        <v/>
      </c>
      <c r="CS207" s="32"/>
      <c r="CU207"/>
      <c r="DC207" s="1"/>
      <c r="DD207" s="1"/>
      <c r="DF207"/>
      <c r="DG207"/>
    </row>
    <row r="208" spans="85:111" x14ac:dyDescent="0.3">
      <c r="CG208" s="38">
        <v>202</v>
      </c>
      <c r="CH208" s="35">
        <f t="shared" si="12"/>
        <v>0</v>
      </c>
      <c r="CI208" s="35" t="str">
        <f>IF(tblTrazabilidad[[#This Row],[Código]]=0,"",IFERROR(IF(SEARCH("JM",tblTrazabilidad[[#This Row],[Código]])&gt;0,"Juego de pesas",),"Pesa"))</f>
        <v/>
      </c>
      <c r="CJ208" s="35" t="str">
        <f>IFERROR(VLOOKUP($CH208,tblBD_PatronMasa[[Código Patrón]:[mN-(mpe–U95)]],2,FALSE),"")</f>
        <v/>
      </c>
      <c r="CK208" s="35" t="str">
        <f>IFERROR(VLOOKUP($CH208,tblBD_PatronMasa[[Código Patrón]:[mN-(mpe–U95)]],13,FALSE),"")</f>
        <v/>
      </c>
      <c r="CL208" s="34" t="str">
        <f>IF(tblTrazabilidad[[#This Row],[Clase]]="F2",IFERROR(IF(VLOOKUP($CH208,tblBD_PatronMasa[[Código Patrón]:[mN-(mpe–U95)]],12,FALSE)=0,"",VLOOKUP($CH208,tblBD_PatronMasa[[Código Patrón]:[mN-(mpe–U95)]],12,FALSE)+731),""),IF(tblTrazabilidad[[#This Row],[Clase]]="F1",IFERROR(IF(VLOOKUP($CH208,tblBD_PatronMasa[[Código Patrón]:[mN-(mpe–U95)]],12,FALSE)=0,"",VLOOKUP($CH208,tblBD_PatronMasa[[Código Patrón]:[mN-(mpe–U95)]],12,FALSE)+731),""),IFERROR(IF(VLOOKUP($CH208,tblBD_PatronMasa[[Código Patrón]:[mN-(mpe–U95)]],12,FALSE)=0,"",VLOOKUP($CH208,tblBD_PatronMasa[[Código Patrón]:[mN-(mpe–U95)]],12,FALSE)+366),"")))</f>
        <v/>
      </c>
      <c r="CM208" s="33" t="str">
        <f>IFERROR(VLOOKUP($CH208,tblBD_PatronMasa[[Código Patrón]:[mN-(mpe–U95)]],3,FALSE),"")</f>
        <v/>
      </c>
      <c r="CS208" s="32"/>
      <c r="CU208"/>
      <c r="DC208" s="1"/>
      <c r="DD208" s="1"/>
      <c r="DF208"/>
      <c r="DG208"/>
    </row>
    <row r="209" spans="85:111" x14ac:dyDescent="0.3">
      <c r="CG209" s="38">
        <v>203</v>
      </c>
      <c r="CH209" s="35">
        <f t="shared" si="12"/>
        <v>0</v>
      </c>
      <c r="CI209" s="35" t="str">
        <f>IF(tblTrazabilidad[[#This Row],[Código]]=0,"",IFERROR(IF(SEARCH("JM",tblTrazabilidad[[#This Row],[Código]])&gt;0,"Juego de pesas",),"Pesa"))</f>
        <v/>
      </c>
      <c r="CJ209" s="35" t="str">
        <f>IFERROR(VLOOKUP($CH209,tblBD_PatronMasa[[Código Patrón]:[mN-(mpe–U95)]],2,FALSE),"")</f>
        <v/>
      </c>
      <c r="CK209" s="35" t="str">
        <f>IFERROR(VLOOKUP($CH209,tblBD_PatronMasa[[Código Patrón]:[mN-(mpe–U95)]],13,FALSE),"")</f>
        <v/>
      </c>
      <c r="CL209" s="34" t="str">
        <f>IF(tblTrazabilidad[[#This Row],[Clase]]="F2",IFERROR(IF(VLOOKUP($CH209,tblBD_PatronMasa[[Código Patrón]:[mN-(mpe–U95)]],12,FALSE)=0,"",VLOOKUP($CH209,tblBD_PatronMasa[[Código Patrón]:[mN-(mpe–U95)]],12,FALSE)+731),""),IF(tblTrazabilidad[[#This Row],[Clase]]="F1",IFERROR(IF(VLOOKUP($CH209,tblBD_PatronMasa[[Código Patrón]:[mN-(mpe–U95)]],12,FALSE)=0,"",VLOOKUP($CH209,tblBD_PatronMasa[[Código Patrón]:[mN-(mpe–U95)]],12,FALSE)+731),""),IFERROR(IF(VLOOKUP($CH209,tblBD_PatronMasa[[Código Patrón]:[mN-(mpe–U95)]],12,FALSE)=0,"",VLOOKUP($CH209,tblBD_PatronMasa[[Código Patrón]:[mN-(mpe–U95)]],12,FALSE)+366),"")))</f>
        <v/>
      </c>
      <c r="CM209" s="33" t="str">
        <f>IFERROR(VLOOKUP($CH209,tblBD_PatronMasa[[Código Patrón]:[mN-(mpe–U95)]],3,FALSE),"")</f>
        <v/>
      </c>
      <c r="CS209" s="32"/>
      <c r="CU209"/>
      <c r="DC209" s="1"/>
      <c r="DD209" s="1"/>
      <c r="DF209"/>
      <c r="DG209"/>
    </row>
    <row r="210" spans="85:111" x14ac:dyDescent="0.3">
      <c r="CG210" s="38">
        <v>204</v>
      </c>
      <c r="CH210" s="35">
        <f t="shared" si="12"/>
        <v>0</v>
      </c>
      <c r="CI210" s="35" t="str">
        <f>IF(tblTrazabilidad[[#This Row],[Código]]=0,"",IFERROR(IF(SEARCH("JM",tblTrazabilidad[[#This Row],[Código]])&gt;0,"Juego de pesas",),"Pesa"))</f>
        <v/>
      </c>
      <c r="CJ210" s="35" t="str">
        <f>IFERROR(VLOOKUP($CH210,tblBD_PatronMasa[[Código Patrón]:[mN-(mpe–U95)]],2,FALSE),"")</f>
        <v/>
      </c>
      <c r="CK210" s="35" t="str">
        <f>IFERROR(VLOOKUP($CH210,tblBD_PatronMasa[[Código Patrón]:[mN-(mpe–U95)]],13,FALSE),"")</f>
        <v/>
      </c>
      <c r="CL210" s="34" t="str">
        <f>IF(tblTrazabilidad[[#This Row],[Clase]]="F2",IFERROR(IF(VLOOKUP($CH210,tblBD_PatronMasa[[Código Patrón]:[mN-(mpe–U95)]],12,FALSE)=0,"",VLOOKUP($CH210,tblBD_PatronMasa[[Código Patrón]:[mN-(mpe–U95)]],12,FALSE)+731),""),IF(tblTrazabilidad[[#This Row],[Clase]]="F1",IFERROR(IF(VLOOKUP($CH210,tblBD_PatronMasa[[Código Patrón]:[mN-(mpe–U95)]],12,FALSE)=0,"",VLOOKUP($CH210,tblBD_PatronMasa[[Código Patrón]:[mN-(mpe–U95)]],12,FALSE)+731),""),IFERROR(IF(VLOOKUP($CH210,tblBD_PatronMasa[[Código Patrón]:[mN-(mpe–U95)]],12,FALSE)=0,"",VLOOKUP($CH210,tblBD_PatronMasa[[Código Patrón]:[mN-(mpe–U95)]],12,FALSE)+366),"")))</f>
        <v/>
      </c>
      <c r="CM210" s="33" t="str">
        <f>IFERROR(VLOOKUP($CH210,tblBD_PatronMasa[[Código Patrón]:[mN-(mpe–U95)]],3,FALSE),"")</f>
        <v/>
      </c>
      <c r="CS210" s="32"/>
      <c r="CU210"/>
      <c r="DC210" s="1"/>
      <c r="DD210" s="1"/>
      <c r="DF210"/>
      <c r="DG210"/>
    </row>
    <row r="211" spans="85:111" x14ac:dyDescent="0.3">
      <c r="CG211" s="38">
        <v>205</v>
      </c>
      <c r="CH211" s="35">
        <f t="shared" si="12"/>
        <v>0</v>
      </c>
      <c r="CI211" s="35" t="str">
        <f>IF(tblTrazabilidad[[#This Row],[Código]]=0,"",IFERROR(IF(SEARCH("JM",tblTrazabilidad[[#This Row],[Código]])&gt;0,"Juego de pesas",),"Pesa"))</f>
        <v/>
      </c>
      <c r="CJ211" s="35" t="str">
        <f>IFERROR(VLOOKUP($CH211,tblBD_PatronMasa[[Código Patrón]:[mN-(mpe–U95)]],2,FALSE),"")</f>
        <v/>
      </c>
      <c r="CK211" s="35" t="str">
        <f>IFERROR(VLOOKUP($CH211,tblBD_PatronMasa[[Código Patrón]:[mN-(mpe–U95)]],13,FALSE),"")</f>
        <v/>
      </c>
      <c r="CL211" s="34" t="str">
        <f>IF(tblTrazabilidad[[#This Row],[Clase]]="F2",IFERROR(IF(VLOOKUP($CH211,tblBD_PatronMasa[[Código Patrón]:[mN-(mpe–U95)]],12,FALSE)=0,"",VLOOKUP($CH211,tblBD_PatronMasa[[Código Patrón]:[mN-(mpe–U95)]],12,FALSE)+731),""),IF(tblTrazabilidad[[#This Row],[Clase]]="F1",IFERROR(IF(VLOOKUP($CH211,tblBD_PatronMasa[[Código Patrón]:[mN-(mpe–U95)]],12,FALSE)=0,"",VLOOKUP($CH211,tblBD_PatronMasa[[Código Patrón]:[mN-(mpe–U95)]],12,FALSE)+731),""),IFERROR(IF(VLOOKUP($CH211,tblBD_PatronMasa[[Código Patrón]:[mN-(mpe–U95)]],12,FALSE)=0,"",VLOOKUP($CH211,tblBD_PatronMasa[[Código Patrón]:[mN-(mpe–U95)]],12,FALSE)+366),"")))</f>
        <v/>
      </c>
      <c r="CM211" s="33" t="str">
        <f>IFERROR(VLOOKUP($CH211,tblBD_PatronMasa[[Código Patrón]:[mN-(mpe–U95)]],3,FALSE),"")</f>
        <v/>
      </c>
      <c r="CS211" s="32"/>
      <c r="CU211"/>
      <c r="DC211" s="1"/>
      <c r="DD211" s="1"/>
      <c r="DF211"/>
      <c r="DG211"/>
    </row>
    <row r="212" spans="85:111" x14ac:dyDescent="0.3">
      <c r="CG212" s="38">
        <v>206</v>
      </c>
      <c r="CH212" s="35">
        <f t="shared" si="12"/>
        <v>0</v>
      </c>
      <c r="CI212" s="35" t="str">
        <f>IF(tblTrazabilidad[[#This Row],[Código]]=0,"",IFERROR(IF(SEARCH("JM",tblTrazabilidad[[#This Row],[Código]])&gt;0,"Juego de pesas",),"Pesa"))</f>
        <v/>
      </c>
      <c r="CJ212" s="35" t="str">
        <f>IFERROR(VLOOKUP($CH212,tblBD_PatronMasa[[Código Patrón]:[mN-(mpe–U95)]],2,FALSE),"")</f>
        <v/>
      </c>
      <c r="CK212" s="35" t="str">
        <f>IFERROR(VLOOKUP($CH212,tblBD_PatronMasa[[Código Patrón]:[mN-(mpe–U95)]],13,FALSE),"")</f>
        <v/>
      </c>
      <c r="CL212" s="34" t="str">
        <f>IF(tblTrazabilidad[[#This Row],[Clase]]="F2",IFERROR(IF(VLOOKUP($CH212,tblBD_PatronMasa[[Código Patrón]:[mN-(mpe–U95)]],12,FALSE)=0,"",VLOOKUP($CH212,tblBD_PatronMasa[[Código Patrón]:[mN-(mpe–U95)]],12,FALSE)+731),""),IF(tblTrazabilidad[[#This Row],[Clase]]="F1",IFERROR(IF(VLOOKUP($CH212,tblBD_PatronMasa[[Código Patrón]:[mN-(mpe–U95)]],12,FALSE)=0,"",VLOOKUP($CH212,tblBD_PatronMasa[[Código Patrón]:[mN-(mpe–U95)]],12,FALSE)+731),""),IFERROR(IF(VLOOKUP($CH212,tblBD_PatronMasa[[Código Patrón]:[mN-(mpe–U95)]],12,FALSE)=0,"",VLOOKUP($CH212,tblBD_PatronMasa[[Código Patrón]:[mN-(mpe–U95)]],12,FALSE)+366),"")))</f>
        <v/>
      </c>
      <c r="CM212" s="33" t="str">
        <f>IFERROR(VLOOKUP($CH212,tblBD_PatronMasa[[Código Patrón]:[mN-(mpe–U95)]],3,FALSE),"")</f>
        <v/>
      </c>
      <c r="CS212" s="32"/>
      <c r="CU212"/>
      <c r="DC212" s="1"/>
      <c r="DD212" s="1"/>
      <c r="DF212"/>
      <c r="DG212"/>
    </row>
    <row r="213" spans="85:111" x14ac:dyDescent="0.3">
      <c r="CG213" s="38">
        <v>207</v>
      </c>
      <c r="CH213" s="35">
        <f t="shared" si="12"/>
        <v>0</v>
      </c>
      <c r="CI213" s="35" t="str">
        <f>IF(tblTrazabilidad[[#This Row],[Código]]=0,"",IFERROR(IF(SEARCH("JM",tblTrazabilidad[[#This Row],[Código]])&gt;0,"Juego de pesas",),"Pesa"))</f>
        <v/>
      </c>
      <c r="CJ213" s="35" t="str">
        <f>IFERROR(VLOOKUP($CH213,tblBD_PatronMasa[[Código Patrón]:[mN-(mpe–U95)]],2,FALSE),"")</f>
        <v/>
      </c>
      <c r="CK213" s="35" t="str">
        <f>IFERROR(VLOOKUP($CH213,tblBD_PatronMasa[[Código Patrón]:[mN-(mpe–U95)]],13,FALSE),"")</f>
        <v/>
      </c>
      <c r="CL213" s="34" t="str">
        <f>IF(tblTrazabilidad[[#This Row],[Clase]]="F2",IFERROR(IF(VLOOKUP($CH213,tblBD_PatronMasa[[Código Patrón]:[mN-(mpe–U95)]],12,FALSE)=0,"",VLOOKUP($CH213,tblBD_PatronMasa[[Código Patrón]:[mN-(mpe–U95)]],12,FALSE)+731),""),IF(tblTrazabilidad[[#This Row],[Clase]]="F1",IFERROR(IF(VLOOKUP($CH213,tblBD_PatronMasa[[Código Patrón]:[mN-(mpe–U95)]],12,FALSE)=0,"",VLOOKUP($CH213,tblBD_PatronMasa[[Código Patrón]:[mN-(mpe–U95)]],12,FALSE)+731),""),IFERROR(IF(VLOOKUP($CH213,tblBD_PatronMasa[[Código Patrón]:[mN-(mpe–U95)]],12,FALSE)=0,"",VLOOKUP($CH213,tblBD_PatronMasa[[Código Patrón]:[mN-(mpe–U95)]],12,FALSE)+366),"")))</f>
        <v/>
      </c>
      <c r="CM213" s="33" t="str">
        <f>IFERROR(VLOOKUP($CH213,tblBD_PatronMasa[[Código Patrón]:[mN-(mpe–U95)]],3,FALSE),"")</f>
        <v/>
      </c>
      <c r="CS213" s="32"/>
      <c r="CU213"/>
      <c r="DC213" s="1"/>
      <c r="DD213" s="1"/>
      <c r="DF213"/>
      <c r="DG213"/>
    </row>
    <row r="214" spans="85:111" x14ac:dyDescent="0.3">
      <c r="CG214" s="38">
        <v>208</v>
      </c>
      <c r="CH214" s="35">
        <f t="shared" si="12"/>
        <v>0</v>
      </c>
      <c r="CI214" s="35" t="str">
        <f>IF(tblTrazabilidad[[#This Row],[Código]]=0,"",IFERROR(IF(SEARCH("JM",tblTrazabilidad[[#This Row],[Código]])&gt;0,"Juego de pesas",),"Pesa"))</f>
        <v/>
      </c>
      <c r="CJ214" s="35" t="str">
        <f>IFERROR(VLOOKUP($CH214,tblBD_PatronMasa[[Código Patrón]:[mN-(mpe–U95)]],2,FALSE),"")</f>
        <v/>
      </c>
      <c r="CK214" s="35" t="str">
        <f>IFERROR(VLOOKUP($CH214,tblBD_PatronMasa[[Código Patrón]:[mN-(mpe–U95)]],13,FALSE),"")</f>
        <v/>
      </c>
      <c r="CL214" s="34" t="str">
        <f>IF(tblTrazabilidad[[#This Row],[Clase]]="F2",IFERROR(IF(VLOOKUP($CH214,tblBD_PatronMasa[[Código Patrón]:[mN-(mpe–U95)]],12,FALSE)=0,"",VLOOKUP($CH214,tblBD_PatronMasa[[Código Patrón]:[mN-(mpe–U95)]],12,FALSE)+731),""),IF(tblTrazabilidad[[#This Row],[Clase]]="F1",IFERROR(IF(VLOOKUP($CH214,tblBD_PatronMasa[[Código Patrón]:[mN-(mpe–U95)]],12,FALSE)=0,"",VLOOKUP($CH214,tblBD_PatronMasa[[Código Patrón]:[mN-(mpe–U95)]],12,FALSE)+731),""),IFERROR(IF(VLOOKUP($CH214,tblBD_PatronMasa[[Código Patrón]:[mN-(mpe–U95)]],12,FALSE)=0,"",VLOOKUP($CH214,tblBD_PatronMasa[[Código Patrón]:[mN-(mpe–U95)]],12,FALSE)+366),"")))</f>
        <v/>
      </c>
      <c r="CM214" s="33" t="str">
        <f>IFERROR(VLOOKUP($CH214,tblBD_PatronMasa[[Código Patrón]:[mN-(mpe–U95)]],3,FALSE),"")</f>
        <v/>
      </c>
      <c r="CS214" s="32"/>
      <c r="CU214"/>
      <c r="DC214" s="1"/>
      <c r="DD214" s="1"/>
      <c r="DF214"/>
      <c r="DG214"/>
    </row>
    <row r="215" spans="85:111" x14ac:dyDescent="0.3">
      <c r="CG215" s="38">
        <v>209</v>
      </c>
      <c r="CH215" s="35">
        <f t="shared" si="12"/>
        <v>0</v>
      </c>
      <c r="CI215" s="35" t="str">
        <f>IF(tblTrazabilidad[[#This Row],[Código]]=0,"",IFERROR(IF(SEARCH("JM",tblTrazabilidad[[#This Row],[Código]])&gt;0,"Juego de pesas",),"Pesa"))</f>
        <v/>
      </c>
      <c r="CJ215" s="35" t="str">
        <f>IFERROR(VLOOKUP($CH215,tblBD_PatronMasa[[Código Patrón]:[mN-(mpe–U95)]],2,FALSE),"")</f>
        <v/>
      </c>
      <c r="CK215" s="35" t="str">
        <f>IFERROR(VLOOKUP($CH215,tblBD_PatronMasa[[Código Patrón]:[mN-(mpe–U95)]],13,FALSE),"")</f>
        <v/>
      </c>
      <c r="CL215" s="34" t="str">
        <f>IF(tblTrazabilidad[[#This Row],[Clase]]="F2",IFERROR(IF(VLOOKUP($CH215,tblBD_PatronMasa[[Código Patrón]:[mN-(mpe–U95)]],12,FALSE)=0,"",VLOOKUP($CH215,tblBD_PatronMasa[[Código Patrón]:[mN-(mpe–U95)]],12,FALSE)+731),""),IF(tblTrazabilidad[[#This Row],[Clase]]="F1",IFERROR(IF(VLOOKUP($CH215,tblBD_PatronMasa[[Código Patrón]:[mN-(mpe–U95)]],12,FALSE)=0,"",VLOOKUP($CH215,tblBD_PatronMasa[[Código Patrón]:[mN-(mpe–U95)]],12,FALSE)+731),""),IFERROR(IF(VLOOKUP($CH215,tblBD_PatronMasa[[Código Patrón]:[mN-(mpe–U95)]],12,FALSE)=0,"",VLOOKUP($CH215,tblBD_PatronMasa[[Código Patrón]:[mN-(mpe–U95)]],12,FALSE)+366),"")))</f>
        <v/>
      </c>
      <c r="CM215" s="33" t="str">
        <f>IFERROR(VLOOKUP($CH215,tblBD_PatronMasa[[Código Patrón]:[mN-(mpe–U95)]],3,FALSE),"")</f>
        <v/>
      </c>
      <c r="CS215" s="32"/>
      <c r="CU215"/>
      <c r="DC215" s="1"/>
      <c r="DD215" s="1"/>
      <c r="DF215"/>
      <c r="DG215"/>
    </row>
    <row r="216" spans="85:111" x14ac:dyDescent="0.3">
      <c r="CG216" s="38">
        <v>210</v>
      </c>
      <c r="CH216" s="35">
        <f t="shared" si="12"/>
        <v>0</v>
      </c>
      <c r="CI216" s="35" t="str">
        <f>IF(tblTrazabilidad[[#This Row],[Código]]=0,"",IFERROR(IF(SEARCH("JM",tblTrazabilidad[[#This Row],[Código]])&gt;0,"Juego de pesas",),"Pesa"))</f>
        <v/>
      </c>
      <c r="CJ216" s="35" t="str">
        <f>IFERROR(VLOOKUP($CH216,tblBD_PatronMasa[[Código Patrón]:[mN-(mpe–U95)]],2,FALSE),"")</f>
        <v/>
      </c>
      <c r="CK216" s="35" t="str">
        <f>IFERROR(VLOOKUP($CH216,tblBD_PatronMasa[[Código Patrón]:[mN-(mpe–U95)]],13,FALSE),"")</f>
        <v/>
      </c>
      <c r="CL216" s="34" t="str">
        <f>IF(tblTrazabilidad[[#This Row],[Clase]]="F2",IFERROR(IF(VLOOKUP($CH216,tblBD_PatronMasa[[Código Patrón]:[mN-(mpe–U95)]],12,FALSE)=0,"",VLOOKUP($CH216,tblBD_PatronMasa[[Código Patrón]:[mN-(mpe–U95)]],12,FALSE)+731),""),IF(tblTrazabilidad[[#This Row],[Clase]]="F1",IFERROR(IF(VLOOKUP($CH216,tblBD_PatronMasa[[Código Patrón]:[mN-(mpe–U95)]],12,FALSE)=0,"",VLOOKUP($CH216,tblBD_PatronMasa[[Código Patrón]:[mN-(mpe–U95)]],12,FALSE)+731),""),IFERROR(IF(VLOOKUP($CH216,tblBD_PatronMasa[[Código Patrón]:[mN-(mpe–U95)]],12,FALSE)=0,"",VLOOKUP($CH216,tblBD_PatronMasa[[Código Patrón]:[mN-(mpe–U95)]],12,FALSE)+366),"")))</f>
        <v/>
      </c>
      <c r="CM216" s="33" t="str">
        <f>IFERROR(VLOOKUP($CH216,tblBD_PatronMasa[[Código Patrón]:[mN-(mpe–U95)]],3,FALSE),"")</f>
        <v/>
      </c>
      <c r="CS216" s="32"/>
      <c r="CU216"/>
      <c r="DC216" s="1"/>
      <c r="DD216" s="1"/>
      <c r="DF216"/>
      <c r="DG216"/>
    </row>
    <row r="217" spans="85:111" x14ac:dyDescent="0.3">
      <c r="CG217" s="38">
        <v>211</v>
      </c>
      <c r="CH217" s="35">
        <f t="shared" si="12"/>
        <v>0</v>
      </c>
      <c r="CI217" s="35" t="str">
        <f>IF(tblTrazabilidad[[#This Row],[Código]]=0,"",IFERROR(IF(SEARCH("JM",tblTrazabilidad[[#This Row],[Código]])&gt;0,"Juego de pesas",),"Pesa"))</f>
        <v/>
      </c>
      <c r="CJ217" s="35" t="str">
        <f>IFERROR(VLOOKUP($CH217,tblBD_PatronMasa[[Código Patrón]:[mN-(mpe–U95)]],2,FALSE),"")</f>
        <v/>
      </c>
      <c r="CK217" s="35" t="str">
        <f>IFERROR(VLOOKUP($CH217,tblBD_PatronMasa[[Código Patrón]:[mN-(mpe–U95)]],13,FALSE),"")</f>
        <v/>
      </c>
      <c r="CL217" s="34" t="str">
        <f>IF(tblTrazabilidad[[#This Row],[Clase]]="F2",IFERROR(IF(VLOOKUP($CH217,tblBD_PatronMasa[[Código Patrón]:[mN-(mpe–U95)]],12,FALSE)=0,"",VLOOKUP($CH217,tblBD_PatronMasa[[Código Patrón]:[mN-(mpe–U95)]],12,FALSE)+731),""),IF(tblTrazabilidad[[#This Row],[Clase]]="F1",IFERROR(IF(VLOOKUP($CH217,tblBD_PatronMasa[[Código Patrón]:[mN-(mpe–U95)]],12,FALSE)=0,"",VLOOKUP($CH217,tblBD_PatronMasa[[Código Patrón]:[mN-(mpe–U95)]],12,FALSE)+731),""),IFERROR(IF(VLOOKUP($CH217,tblBD_PatronMasa[[Código Patrón]:[mN-(mpe–U95)]],12,FALSE)=0,"",VLOOKUP($CH217,tblBD_PatronMasa[[Código Patrón]:[mN-(mpe–U95)]],12,FALSE)+366),"")))</f>
        <v/>
      </c>
      <c r="CM217" s="33" t="str">
        <f>IFERROR(VLOOKUP($CH217,tblBD_PatronMasa[[Código Patrón]:[mN-(mpe–U95)]],3,FALSE),"")</f>
        <v/>
      </c>
      <c r="CS217" s="32"/>
      <c r="CU217"/>
      <c r="DC217" s="1"/>
      <c r="DD217" s="1"/>
      <c r="DF217"/>
      <c r="DG217"/>
    </row>
    <row r="218" spans="85:111" x14ac:dyDescent="0.3">
      <c r="CG218" s="38">
        <v>212</v>
      </c>
      <c r="CH218" s="35">
        <f t="shared" si="12"/>
        <v>0</v>
      </c>
      <c r="CI218" s="35" t="str">
        <f>IF(tblTrazabilidad[[#This Row],[Código]]=0,"",IFERROR(IF(SEARCH("JM",tblTrazabilidad[[#This Row],[Código]])&gt;0,"Juego de pesas",),"Pesa"))</f>
        <v/>
      </c>
      <c r="CJ218" s="35" t="str">
        <f>IFERROR(VLOOKUP($CH218,tblBD_PatronMasa[[Código Patrón]:[mN-(mpe–U95)]],2,FALSE),"")</f>
        <v/>
      </c>
      <c r="CK218" s="35" t="str">
        <f>IFERROR(VLOOKUP($CH218,tblBD_PatronMasa[[Código Patrón]:[mN-(mpe–U95)]],13,FALSE),"")</f>
        <v/>
      </c>
      <c r="CL218" s="34" t="str">
        <f>IF(tblTrazabilidad[[#This Row],[Clase]]="F2",IFERROR(IF(VLOOKUP($CH218,tblBD_PatronMasa[[Código Patrón]:[mN-(mpe–U95)]],12,FALSE)=0,"",VLOOKUP($CH218,tblBD_PatronMasa[[Código Patrón]:[mN-(mpe–U95)]],12,FALSE)+731),""),IF(tblTrazabilidad[[#This Row],[Clase]]="F1",IFERROR(IF(VLOOKUP($CH218,tblBD_PatronMasa[[Código Patrón]:[mN-(mpe–U95)]],12,FALSE)=0,"",VLOOKUP($CH218,tblBD_PatronMasa[[Código Patrón]:[mN-(mpe–U95)]],12,FALSE)+731),""),IFERROR(IF(VLOOKUP($CH218,tblBD_PatronMasa[[Código Patrón]:[mN-(mpe–U95)]],12,FALSE)=0,"",VLOOKUP($CH218,tblBD_PatronMasa[[Código Patrón]:[mN-(mpe–U95)]],12,FALSE)+366),"")))</f>
        <v/>
      </c>
      <c r="CM218" s="33" t="str">
        <f>IFERROR(VLOOKUP($CH218,tblBD_PatronMasa[[Código Patrón]:[mN-(mpe–U95)]],3,FALSE),"")</f>
        <v/>
      </c>
      <c r="CS218" s="32"/>
      <c r="CU218"/>
      <c r="DC218" s="1"/>
      <c r="DD218" s="1"/>
      <c r="DF218"/>
      <c r="DG218"/>
    </row>
    <row r="219" spans="85:111" x14ac:dyDescent="0.3">
      <c r="CG219" s="38">
        <v>213</v>
      </c>
      <c r="CH219" s="35">
        <f t="shared" si="12"/>
        <v>0</v>
      </c>
      <c r="CI219" s="35" t="str">
        <f>IF(tblTrazabilidad[[#This Row],[Código]]=0,"",IFERROR(IF(SEARCH("JM",tblTrazabilidad[[#This Row],[Código]])&gt;0,"Juego de pesas",),"Pesa"))</f>
        <v/>
      </c>
      <c r="CJ219" s="35" t="str">
        <f>IFERROR(VLOOKUP($CH219,tblBD_PatronMasa[[Código Patrón]:[mN-(mpe–U95)]],2,FALSE),"")</f>
        <v/>
      </c>
      <c r="CK219" s="35" t="str">
        <f>IFERROR(VLOOKUP($CH219,tblBD_PatronMasa[[Código Patrón]:[mN-(mpe–U95)]],13,FALSE),"")</f>
        <v/>
      </c>
      <c r="CL219" s="34" t="str">
        <f>IF(tblTrazabilidad[[#This Row],[Clase]]="F2",IFERROR(IF(VLOOKUP($CH219,tblBD_PatronMasa[[Código Patrón]:[mN-(mpe–U95)]],12,FALSE)=0,"",VLOOKUP($CH219,tblBD_PatronMasa[[Código Patrón]:[mN-(mpe–U95)]],12,FALSE)+731),""),IF(tblTrazabilidad[[#This Row],[Clase]]="F1",IFERROR(IF(VLOOKUP($CH219,tblBD_PatronMasa[[Código Patrón]:[mN-(mpe–U95)]],12,FALSE)=0,"",VLOOKUP($CH219,tblBD_PatronMasa[[Código Patrón]:[mN-(mpe–U95)]],12,FALSE)+731),""),IFERROR(IF(VLOOKUP($CH219,tblBD_PatronMasa[[Código Patrón]:[mN-(mpe–U95)]],12,FALSE)=0,"",VLOOKUP($CH219,tblBD_PatronMasa[[Código Patrón]:[mN-(mpe–U95)]],12,FALSE)+366),"")))</f>
        <v/>
      </c>
      <c r="CM219" s="33" t="str">
        <f>IFERROR(VLOOKUP($CH219,tblBD_PatronMasa[[Código Patrón]:[mN-(mpe–U95)]],3,FALSE),"")</f>
        <v/>
      </c>
      <c r="CS219" s="32"/>
      <c r="CU219"/>
      <c r="DC219" s="1"/>
      <c r="DD219" s="1"/>
      <c r="DF219"/>
      <c r="DG219"/>
    </row>
    <row r="220" spans="85:111" x14ac:dyDescent="0.3">
      <c r="CG220" s="38">
        <v>214</v>
      </c>
      <c r="CH220" s="35">
        <f t="shared" si="12"/>
        <v>0</v>
      </c>
      <c r="CI220" s="35" t="str">
        <f>IF(tblTrazabilidad[[#This Row],[Código]]=0,"",IFERROR(IF(SEARCH("JM",tblTrazabilidad[[#This Row],[Código]])&gt;0,"Juego de pesas",),"Pesa"))</f>
        <v/>
      </c>
      <c r="CJ220" s="35" t="str">
        <f>IFERROR(VLOOKUP($CH220,tblBD_PatronMasa[[Código Patrón]:[mN-(mpe–U95)]],2,FALSE),"")</f>
        <v/>
      </c>
      <c r="CK220" s="35" t="str">
        <f>IFERROR(VLOOKUP($CH220,tblBD_PatronMasa[[Código Patrón]:[mN-(mpe–U95)]],13,FALSE),"")</f>
        <v/>
      </c>
      <c r="CL220" s="34" t="str">
        <f>IF(tblTrazabilidad[[#This Row],[Clase]]="F2",IFERROR(IF(VLOOKUP($CH220,tblBD_PatronMasa[[Código Patrón]:[mN-(mpe–U95)]],12,FALSE)=0,"",VLOOKUP($CH220,tblBD_PatronMasa[[Código Patrón]:[mN-(mpe–U95)]],12,FALSE)+731),""),IF(tblTrazabilidad[[#This Row],[Clase]]="F1",IFERROR(IF(VLOOKUP($CH220,tblBD_PatronMasa[[Código Patrón]:[mN-(mpe–U95)]],12,FALSE)=0,"",VLOOKUP($CH220,tblBD_PatronMasa[[Código Patrón]:[mN-(mpe–U95)]],12,FALSE)+731),""),IFERROR(IF(VLOOKUP($CH220,tblBD_PatronMasa[[Código Patrón]:[mN-(mpe–U95)]],12,FALSE)=0,"",VLOOKUP($CH220,tblBD_PatronMasa[[Código Patrón]:[mN-(mpe–U95)]],12,FALSE)+366),"")))</f>
        <v/>
      </c>
      <c r="CM220" s="33" t="str">
        <f>IFERROR(VLOOKUP($CH220,tblBD_PatronMasa[[Código Patrón]:[mN-(mpe–U95)]],3,FALSE),"")</f>
        <v/>
      </c>
      <c r="CS220" s="32"/>
      <c r="CU220"/>
      <c r="DC220" s="1"/>
      <c r="DD220" s="1"/>
      <c r="DF220"/>
      <c r="DG220"/>
    </row>
    <row r="221" spans="85:111" x14ac:dyDescent="0.3">
      <c r="CG221" s="38">
        <v>215</v>
      </c>
      <c r="CH221" s="35">
        <f t="shared" si="12"/>
        <v>0</v>
      </c>
      <c r="CI221" s="35" t="str">
        <f>IF(tblTrazabilidad[[#This Row],[Código]]=0,"",IFERROR(IF(SEARCH("JM",tblTrazabilidad[[#This Row],[Código]])&gt;0,"Juego de pesas",),"Pesa"))</f>
        <v/>
      </c>
      <c r="CJ221" s="35" t="str">
        <f>IFERROR(VLOOKUP($CH221,tblBD_PatronMasa[[Código Patrón]:[mN-(mpe–U95)]],2,FALSE),"")</f>
        <v/>
      </c>
      <c r="CK221" s="35" t="str">
        <f>IFERROR(VLOOKUP($CH221,tblBD_PatronMasa[[Código Patrón]:[mN-(mpe–U95)]],13,FALSE),"")</f>
        <v/>
      </c>
      <c r="CL221" s="34" t="str">
        <f>IF(tblTrazabilidad[[#This Row],[Clase]]="F2",IFERROR(IF(VLOOKUP($CH221,tblBD_PatronMasa[[Código Patrón]:[mN-(mpe–U95)]],12,FALSE)=0,"",VLOOKUP($CH221,tblBD_PatronMasa[[Código Patrón]:[mN-(mpe–U95)]],12,FALSE)+731),""),IF(tblTrazabilidad[[#This Row],[Clase]]="F1",IFERROR(IF(VLOOKUP($CH221,tblBD_PatronMasa[[Código Patrón]:[mN-(mpe–U95)]],12,FALSE)=0,"",VLOOKUP($CH221,tblBD_PatronMasa[[Código Patrón]:[mN-(mpe–U95)]],12,FALSE)+731),""),IFERROR(IF(VLOOKUP($CH221,tblBD_PatronMasa[[Código Patrón]:[mN-(mpe–U95)]],12,FALSE)=0,"",VLOOKUP($CH221,tblBD_PatronMasa[[Código Patrón]:[mN-(mpe–U95)]],12,FALSE)+366),"")))</f>
        <v/>
      </c>
      <c r="CM221" s="33" t="str">
        <f>IFERROR(VLOOKUP($CH221,tblBD_PatronMasa[[Código Patrón]:[mN-(mpe–U95)]],3,FALSE),"")</f>
        <v/>
      </c>
      <c r="CS221" s="32"/>
      <c r="CU221"/>
      <c r="DC221" s="1"/>
      <c r="DD221" s="1"/>
      <c r="DF221"/>
      <c r="DG221"/>
    </row>
    <row r="222" spans="85:111" x14ac:dyDescent="0.3">
      <c r="CG222" s="38">
        <v>216</v>
      </c>
      <c r="CH222" s="35">
        <f t="shared" si="12"/>
        <v>0</v>
      </c>
      <c r="CI222" s="35" t="str">
        <f>IF(tblTrazabilidad[[#This Row],[Código]]=0,"",IFERROR(IF(SEARCH("JM",tblTrazabilidad[[#This Row],[Código]])&gt;0,"Juego de pesas",),"Pesa"))</f>
        <v/>
      </c>
      <c r="CJ222" s="35" t="str">
        <f>IFERROR(VLOOKUP($CH222,tblBD_PatronMasa[[Código Patrón]:[mN-(mpe–U95)]],2,FALSE),"")</f>
        <v/>
      </c>
      <c r="CK222" s="35" t="str">
        <f>IFERROR(VLOOKUP($CH222,tblBD_PatronMasa[[Código Patrón]:[mN-(mpe–U95)]],13,FALSE),"")</f>
        <v/>
      </c>
      <c r="CL222" s="34" t="str">
        <f>IF(tblTrazabilidad[[#This Row],[Clase]]="F2",IFERROR(IF(VLOOKUP($CH222,tblBD_PatronMasa[[Código Patrón]:[mN-(mpe–U95)]],12,FALSE)=0,"",VLOOKUP($CH222,tblBD_PatronMasa[[Código Patrón]:[mN-(mpe–U95)]],12,FALSE)+731),""),IF(tblTrazabilidad[[#This Row],[Clase]]="F1",IFERROR(IF(VLOOKUP($CH222,tblBD_PatronMasa[[Código Patrón]:[mN-(mpe–U95)]],12,FALSE)=0,"",VLOOKUP($CH222,tblBD_PatronMasa[[Código Patrón]:[mN-(mpe–U95)]],12,FALSE)+731),""),IFERROR(IF(VLOOKUP($CH222,tblBD_PatronMasa[[Código Patrón]:[mN-(mpe–U95)]],12,FALSE)=0,"",VLOOKUP($CH222,tblBD_PatronMasa[[Código Patrón]:[mN-(mpe–U95)]],12,FALSE)+366),"")))</f>
        <v/>
      </c>
      <c r="CM222" s="33" t="str">
        <f>IFERROR(VLOOKUP($CH222,tblBD_PatronMasa[[Código Patrón]:[mN-(mpe–U95)]],3,FALSE),"")</f>
        <v/>
      </c>
      <c r="CS222" s="32"/>
      <c r="CU222"/>
      <c r="DC222" s="1"/>
      <c r="DD222" s="1"/>
      <c r="DF222"/>
      <c r="DG222"/>
    </row>
    <row r="223" spans="85:111" x14ac:dyDescent="0.3">
      <c r="CG223" s="38">
        <v>217</v>
      </c>
      <c r="CH223" s="35">
        <f t="shared" si="12"/>
        <v>0</v>
      </c>
      <c r="CI223" s="35" t="str">
        <f>IF(tblTrazabilidad[[#This Row],[Código]]=0,"",IFERROR(IF(SEARCH("JM",tblTrazabilidad[[#This Row],[Código]])&gt;0,"Juego de pesas",),"Pesa"))</f>
        <v/>
      </c>
      <c r="CJ223" s="35" t="str">
        <f>IFERROR(VLOOKUP($CH223,tblBD_PatronMasa[[Código Patrón]:[mN-(mpe–U95)]],2,FALSE),"")</f>
        <v/>
      </c>
      <c r="CK223" s="35" t="str">
        <f>IFERROR(VLOOKUP($CH223,tblBD_PatronMasa[[Código Patrón]:[mN-(mpe–U95)]],13,FALSE),"")</f>
        <v/>
      </c>
      <c r="CL223" s="34" t="str">
        <f>IF(tblTrazabilidad[[#This Row],[Clase]]="F2",IFERROR(IF(VLOOKUP($CH223,tblBD_PatronMasa[[Código Patrón]:[mN-(mpe–U95)]],12,FALSE)=0,"",VLOOKUP($CH223,tblBD_PatronMasa[[Código Patrón]:[mN-(mpe–U95)]],12,FALSE)+731),""),IF(tblTrazabilidad[[#This Row],[Clase]]="F1",IFERROR(IF(VLOOKUP($CH223,tblBD_PatronMasa[[Código Patrón]:[mN-(mpe–U95)]],12,FALSE)=0,"",VLOOKUP($CH223,tblBD_PatronMasa[[Código Patrón]:[mN-(mpe–U95)]],12,FALSE)+731),""),IFERROR(IF(VLOOKUP($CH223,tblBD_PatronMasa[[Código Patrón]:[mN-(mpe–U95)]],12,FALSE)=0,"",VLOOKUP($CH223,tblBD_PatronMasa[[Código Patrón]:[mN-(mpe–U95)]],12,FALSE)+366),"")))</f>
        <v/>
      </c>
      <c r="CM223" s="33" t="str">
        <f>IFERROR(VLOOKUP($CH223,tblBD_PatronMasa[[Código Patrón]:[mN-(mpe–U95)]],3,FALSE),"")</f>
        <v/>
      </c>
      <c r="CS223" s="32"/>
      <c r="CU223"/>
      <c r="DC223" s="1"/>
      <c r="DD223" s="1"/>
      <c r="DF223"/>
      <c r="DG223"/>
    </row>
    <row r="224" spans="85:111" x14ac:dyDescent="0.3">
      <c r="CG224" s="38">
        <v>218</v>
      </c>
      <c r="CH224" s="35">
        <f t="shared" si="12"/>
        <v>0</v>
      </c>
      <c r="CI224" s="35" t="str">
        <f>IF(tblTrazabilidad[[#This Row],[Código]]=0,"",IFERROR(IF(SEARCH("JM",tblTrazabilidad[[#This Row],[Código]])&gt;0,"Juego de pesas",),"Pesa"))</f>
        <v/>
      </c>
      <c r="CJ224" s="35" t="str">
        <f>IFERROR(VLOOKUP($CH224,tblBD_PatronMasa[[Código Patrón]:[mN-(mpe–U95)]],2,FALSE),"")</f>
        <v/>
      </c>
      <c r="CK224" s="35" t="str">
        <f>IFERROR(VLOOKUP($CH224,tblBD_PatronMasa[[Código Patrón]:[mN-(mpe–U95)]],13,FALSE),"")</f>
        <v/>
      </c>
      <c r="CL224" s="34" t="str">
        <f>IF(tblTrazabilidad[[#This Row],[Clase]]="F2",IFERROR(IF(VLOOKUP($CH224,tblBD_PatronMasa[[Código Patrón]:[mN-(mpe–U95)]],12,FALSE)=0,"",VLOOKUP($CH224,tblBD_PatronMasa[[Código Patrón]:[mN-(mpe–U95)]],12,FALSE)+731),""),IF(tblTrazabilidad[[#This Row],[Clase]]="F1",IFERROR(IF(VLOOKUP($CH224,tblBD_PatronMasa[[Código Patrón]:[mN-(mpe–U95)]],12,FALSE)=0,"",VLOOKUP($CH224,tblBD_PatronMasa[[Código Patrón]:[mN-(mpe–U95)]],12,FALSE)+731),""),IFERROR(IF(VLOOKUP($CH224,tblBD_PatronMasa[[Código Patrón]:[mN-(mpe–U95)]],12,FALSE)=0,"",VLOOKUP($CH224,tblBD_PatronMasa[[Código Patrón]:[mN-(mpe–U95)]],12,FALSE)+366),"")))</f>
        <v/>
      </c>
      <c r="CM224" s="33" t="str">
        <f>IFERROR(VLOOKUP($CH224,tblBD_PatronMasa[[Código Patrón]:[mN-(mpe–U95)]],3,FALSE),"")</f>
        <v/>
      </c>
      <c r="CS224" s="32"/>
      <c r="CU224"/>
      <c r="DC224" s="1"/>
      <c r="DD224" s="1"/>
      <c r="DF224"/>
      <c r="DG224"/>
    </row>
    <row r="225" spans="85:111" x14ac:dyDescent="0.3">
      <c r="CG225" s="38">
        <v>219</v>
      </c>
      <c r="CH225" s="35">
        <f t="shared" si="12"/>
        <v>0</v>
      </c>
      <c r="CI225" s="35" t="str">
        <f>IF(tblTrazabilidad[[#This Row],[Código]]=0,"",IFERROR(IF(SEARCH("JM",tblTrazabilidad[[#This Row],[Código]])&gt;0,"Juego de pesas",),"Pesa"))</f>
        <v/>
      </c>
      <c r="CJ225" s="35" t="str">
        <f>IFERROR(VLOOKUP($CH225,tblBD_PatronMasa[[Código Patrón]:[mN-(mpe–U95)]],2,FALSE),"")</f>
        <v/>
      </c>
      <c r="CK225" s="35" t="str">
        <f>IFERROR(VLOOKUP($CH225,tblBD_PatronMasa[[Código Patrón]:[mN-(mpe–U95)]],13,FALSE),"")</f>
        <v/>
      </c>
      <c r="CL225" s="34" t="str">
        <f>IF(tblTrazabilidad[[#This Row],[Clase]]="F2",IFERROR(IF(VLOOKUP($CH225,tblBD_PatronMasa[[Código Patrón]:[mN-(mpe–U95)]],12,FALSE)=0,"",VLOOKUP($CH225,tblBD_PatronMasa[[Código Patrón]:[mN-(mpe–U95)]],12,FALSE)+731),""),IF(tblTrazabilidad[[#This Row],[Clase]]="F1",IFERROR(IF(VLOOKUP($CH225,tblBD_PatronMasa[[Código Patrón]:[mN-(mpe–U95)]],12,FALSE)=0,"",VLOOKUP($CH225,tblBD_PatronMasa[[Código Patrón]:[mN-(mpe–U95)]],12,FALSE)+731),""),IFERROR(IF(VLOOKUP($CH225,tblBD_PatronMasa[[Código Patrón]:[mN-(mpe–U95)]],12,FALSE)=0,"",VLOOKUP($CH225,tblBD_PatronMasa[[Código Patrón]:[mN-(mpe–U95)]],12,FALSE)+366),"")))</f>
        <v/>
      </c>
      <c r="CM225" s="33" t="str">
        <f>IFERROR(VLOOKUP($CH225,tblBD_PatronMasa[[Código Patrón]:[mN-(mpe–U95)]],3,FALSE),"")</f>
        <v/>
      </c>
      <c r="CS225" s="32"/>
      <c r="CU225"/>
      <c r="DC225" s="1"/>
      <c r="DD225" s="1"/>
      <c r="DF225"/>
      <c r="DG225"/>
    </row>
    <row r="226" spans="85:111" x14ac:dyDescent="0.3">
      <c r="CG226" s="38">
        <v>220</v>
      </c>
      <c r="CH226" s="35">
        <f t="shared" si="12"/>
        <v>0</v>
      </c>
      <c r="CI226" s="35" t="str">
        <f>IF(tblTrazabilidad[[#This Row],[Código]]=0,"",IFERROR(IF(SEARCH("JM",tblTrazabilidad[[#This Row],[Código]])&gt;0,"Juego de pesas",),"Pesa"))</f>
        <v/>
      </c>
      <c r="CJ226" s="35" t="str">
        <f>IFERROR(VLOOKUP($CH226,tblBD_PatronMasa[[Código Patrón]:[mN-(mpe–U95)]],2,FALSE),"")</f>
        <v/>
      </c>
      <c r="CK226" s="35" t="str">
        <f>IFERROR(VLOOKUP($CH226,tblBD_PatronMasa[[Código Patrón]:[mN-(mpe–U95)]],13,FALSE),"")</f>
        <v/>
      </c>
      <c r="CL226" s="34" t="str">
        <f>IF(tblTrazabilidad[[#This Row],[Clase]]="F2",IFERROR(IF(VLOOKUP($CH226,tblBD_PatronMasa[[Código Patrón]:[mN-(mpe–U95)]],12,FALSE)=0,"",VLOOKUP($CH226,tblBD_PatronMasa[[Código Patrón]:[mN-(mpe–U95)]],12,FALSE)+731),""),IF(tblTrazabilidad[[#This Row],[Clase]]="F1",IFERROR(IF(VLOOKUP($CH226,tblBD_PatronMasa[[Código Patrón]:[mN-(mpe–U95)]],12,FALSE)=0,"",VLOOKUP($CH226,tblBD_PatronMasa[[Código Patrón]:[mN-(mpe–U95)]],12,FALSE)+731),""),IFERROR(IF(VLOOKUP($CH226,tblBD_PatronMasa[[Código Patrón]:[mN-(mpe–U95)]],12,FALSE)=0,"",VLOOKUP($CH226,tblBD_PatronMasa[[Código Patrón]:[mN-(mpe–U95)]],12,FALSE)+366),"")))</f>
        <v/>
      </c>
      <c r="CM226" s="33" t="str">
        <f>IFERROR(VLOOKUP($CH226,tblBD_PatronMasa[[Código Patrón]:[mN-(mpe–U95)]],3,FALSE),"")</f>
        <v/>
      </c>
      <c r="CS226" s="32"/>
      <c r="CU226"/>
      <c r="DC226" s="1"/>
      <c r="DD226" s="1"/>
      <c r="DF226"/>
      <c r="DG226"/>
    </row>
    <row r="227" spans="85:111" x14ac:dyDescent="0.3">
      <c r="CG227" s="38">
        <v>221</v>
      </c>
      <c r="CH227" s="35">
        <f t="shared" si="12"/>
        <v>0</v>
      </c>
      <c r="CI227" s="35" t="str">
        <f>IF(tblTrazabilidad[[#This Row],[Código]]=0,"",IFERROR(IF(SEARCH("JM",tblTrazabilidad[[#This Row],[Código]])&gt;0,"Juego de pesas",),"Pesa"))</f>
        <v/>
      </c>
      <c r="CJ227" s="35" t="str">
        <f>IFERROR(VLOOKUP($CH227,tblBD_PatronMasa[[Código Patrón]:[mN-(mpe–U95)]],2,FALSE),"")</f>
        <v/>
      </c>
      <c r="CK227" s="35" t="str">
        <f>IFERROR(VLOOKUP($CH227,tblBD_PatronMasa[[Código Patrón]:[mN-(mpe–U95)]],13,FALSE),"")</f>
        <v/>
      </c>
      <c r="CL227" s="34" t="str">
        <f>IF(tblTrazabilidad[[#This Row],[Clase]]="F2",IFERROR(IF(VLOOKUP($CH227,tblBD_PatronMasa[[Código Patrón]:[mN-(mpe–U95)]],12,FALSE)=0,"",VLOOKUP($CH227,tblBD_PatronMasa[[Código Patrón]:[mN-(mpe–U95)]],12,FALSE)+731),""),IF(tblTrazabilidad[[#This Row],[Clase]]="F1",IFERROR(IF(VLOOKUP($CH227,tblBD_PatronMasa[[Código Patrón]:[mN-(mpe–U95)]],12,FALSE)=0,"",VLOOKUP($CH227,tblBD_PatronMasa[[Código Patrón]:[mN-(mpe–U95)]],12,FALSE)+731),""),IFERROR(IF(VLOOKUP($CH227,tblBD_PatronMasa[[Código Patrón]:[mN-(mpe–U95)]],12,FALSE)=0,"",VLOOKUP($CH227,tblBD_PatronMasa[[Código Patrón]:[mN-(mpe–U95)]],12,FALSE)+366),"")))</f>
        <v/>
      </c>
      <c r="CM227" s="33" t="str">
        <f>IFERROR(VLOOKUP($CH227,tblBD_PatronMasa[[Código Patrón]:[mN-(mpe–U95)]],3,FALSE),"")</f>
        <v/>
      </c>
      <c r="CS227" s="32"/>
      <c r="CU227"/>
      <c r="DC227" s="1"/>
      <c r="DD227" s="1"/>
      <c r="DF227"/>
      <c r="DG227"/>
    </row>
    <row r="228" spans="85:111" x14ac:dyDescent="0.3">
      <c r="CG228" s="38">
        <v>222</v>
      </c>
      <c r="CH228" s="35">
        <f t="shared" si="12"/>
        <v>0</v>
      </c>
      <c r="CI228" s="35" t="str">
        <f>IF(tblTrazabilidad[[#This Row],[Código]]=0,"",IFERROR(IF(SEARCH("JM",tblTrazabilidad[[#This Row],[Código]])&gt;0,"Juego de pesas",),"Pesa"))</f>
        <v/>
      </c>
      <c r="CJ228" s="35" t="str">
        <f>IFERROR(VLOOKUP($CH228,tblBD_PatronMasa[[Código Patrón]:[mN-(mpe–U95)]],2,FALSE),"")</f>
        <v/>
      </c>
      <c r="CK228" s="35" t="str">
        <f>IFERROR(VLOOKUP($CH228,tblBD_PatronMasa[[Código Patrón]:[mN-(mpe–U95)]],13,FALSE),"")</f>
        <v/>
      </c>
      <c r="CL228" s="34" t="str">
        <f>IF(tblTrazabilidad[[#This Row],[Clase]]="F2",IFERROR(IF(VLOOKUP($CH228,tblBD_PatronMasa[[Código Patrón]:[mN-(mpe–U95)]],12,FALSE)=0,"",VLOOKUP($CH228,tblBD_PatronMasa[[Código Patrón]:[mN-(mpe–U95)]],12,FALSE)+731),""),IF(tblTrazabilidad[[#This Row],[Clase]]="F1",IFERROR(IF(VLOOKUP($CH228,tblBD_PatronMasa[[Código Patrón]:[mN-(mpe–U95)]],12,FALSE)=0,"",VLOOKUP($CH228,tblBD_PatronMasa[[Código Patrón]:[mN-(mpe–U95)]],12,FALSE)+731),""),IFERROR(IF(VLOOKUP($CH228,tblBD_PatronMasa[[Código Patrón]:[mN-(mpe–U95)]],12,FALSE)=0,"",VLOOKUP($CH228,tblBD_PatronMasa[[Código Patrón]:[mN-(mpe–U95)]],12,FALSE)+366),"")))</f>
        <v/>
      </c>
      <c r="CM228" s="33" t="str">
        <f>IFERROR(VLOOKUP($CH228,tblBD_PatronMasa[[Código Patrón]:[mN-(mpe–U95)]],3,FALSE),"")</f>
        <v/>
      </c>
      <c r="CS228" s="32"/>
      <c r="CU228"/>
      <c r="DC228" s="1"/>
      <c r="DD228" s="1"/>
      <c r="DF228"/>
      <c r="DG228"/>
    </row>
    <row r="229" spans="85:111" x14ac:dyDescent="0.3">
      <c r="CG229" s="38">
        <v>223</v>
      </c>
      <c r="CH229" s="35">
        <f t="shared" si="12"/>
        <v>0</v>
      </c>
      <c r="CI229" s="35" t="str">
        <f>IF(tblTrazabilidad[[#This Row],[Código]]=0,"",IFERROR(IF(SEARCH("JM",tblTrazabilidad[[#This Row],[Código]])&gt;0,"Juego de pesas",),"Pesa"))</f>
        <v/>
      </c>
      <c r="CJ229" s="35" t="str">
        <f>IFERROR(VLOOKUP($CH229,tblBD_PatronMasa[[Código Patrón]:[mN-(mpe–U95)]],2,FALSE),"")</f>
        <v/>
      </c>
      <c r="CK229" s="35" t="str">
        <f>IFERROR(VLOOKUP($CH229,tblBD_PatronMasa[[Código Patrón]:[mN-(mpe–U95)]],13,FALSE),"")</f>
        <v/>
      </c>
      <c r="CL229" s="34" t="str">
        <f>IF(tblTrazabilidad[[#This Row],[Clase]]="F2",IFERROR(IF(VLOOKUP($CH229,tblBD_PatronMasa[[Código Patrón]:[mN-(mpe–U95)]],12,FALSE)=0,"",VLOOKUP($CH229,tblBD_PatronMasa[[Código Patrón]:[mN-(mpe–U95)]],12,FALSE)+731),""),IF(tblTrazabilidad[[#This Row],[Clase]]="F1",IFERROR(IF(VLOOKUP($CH229,tblBD_PatronMasa[[Código Patrón]:[mN-(mpe–U95)]],12,FALSE)=0,"",VLOOKUP($CH229,tblBD_PatronMasa[[Código Patrón]:[mN-(mpe–U95)]],12,FALSE)+731),""),IFERROR(IF(VLOOKUP($CH229,tblBD_PatronMasa[[Código Patrón]:[mN-(mpe–U95)]],12,FALSE)=0,"",VLOOKUP($CH229,tblBD_PatronMasa[[Código Patrón]:[mN-(mpe–U95)]],12,FALSE)+366),"")))</f>
        <v/>
      </c>
      <c r="CM229" s="33" t="str">
        <f>IFERROR(VLOOKUP($CH229,tblBD_PatronMasa[[Código Patrón]:[mN-(mpe–U95)]],3,FALSE),"")</f>
        <v/>
      </c>
      <c r="CS229" s="32"/>
      <c r="CU229"/>
      <c r="DC229" s="1"/>
      <c r="DD229" s="1"/>
      <c r="DF229"/>
      <c r="DG229"/>
    </row>
    <row r="230" spans="85:111" x14ac:dyDescent="0.3">
      <c r="CG230" s="38">
        <v>224</v>
      </c>
      <c r="CH230" s="35">
        <f t="shared" si="12"/>
        <v>0</v>
      </c>
      <c r="CI230" s="35" t="str">
        <f>IF(tblTrazabilidad[[#This Row],[Código]]=0,"",IFERROR(IF(SEARCH("JM",tblTrazabilidad[[#This Row],[Código]])&gt;0,"Juego de pesas",),"Pesa"))</f>
        <v/>
      </c>
      <c r="CJ230" s="35" t="str">
        <f>IFERROR(VLOOKUP($CH230,tblBD_PatronMasa[[Código Patrón]:[mN-(mpe–U95)]],2,FALSE),"")</f>
        <v/>
      </c>
      <c r="CK230" s="35" t="str">
        <f>IFERROR(VLOOKUP($CH230,tblBD_PatronMasa[[Código Patrón]:[mN-(mpe–U95)]],13,FALSE),"")</f>
        <v/>
      </c>
      <c r="CL230" s="34" t="str">
        <f>IF(tblTrazabilidad[[#This Row],[Clase]]="F2",IFERROR(IF(VLOOKUP($CH230,tblBD_PatronMasa[[Código Patrón]:[mN-(mpe–U95)]],12,FALSE)=0,"",VLOOKUP($CH230,tblBD_PatronMasa[[Código Patrón]:[mN-(mpe–U95)]],12,FALSE)+731),""),IF(tblTrazabilidad[[#This Row],[Clase]]="F1",IFERROR(IF(VLOOKUP($CH230,tblBD_PatronMasa[[Código Patrón]:[mN-(mpe–U95)]],12,FALSE)=0,"",VLOOKUP($CH230,tblBD_PatronMasa[[Código Patrón]:[mN-(mpe–U95)]],12,FALSE)+731),""),IFERROR(IF(VLOOKUP($CH230,tblBD_PatronMasa[[Código Patrón]:[mN-(mpe–U95)]],12,FALSE)=0,"",VLOOKUP($CH230,tblBD_PatronMasa[[Código Patrón]:[mN-(mpe–U95)]],12,FALSE)+366),"")))</f>
        <v/>
      </c>
      <c r="CM230" s="33" t="str">
        <f>IFERROR(VLOOKUP($CH230,tblBD_PatronMasa[[Código Patrón]:[mN-(mpe–U95)]],3,FALSE),"")</f>
        <v/>
      </c>
      <c r="CS230" s="32"/>
      <c r="CU230"/>
      <c r="DC230" s="1"/>
      <c r="DD230" s="1"/>
      <c r="DF230"/>
      <c r="DG230"/>
    </row>
    <row r="231" spans="85:111" x14ac:dyDescent="0.3">
      <c r="CG231" s="38">
        <v>225</v>
      </c>
      <c r="CH231" s="35">
        <f t="shared" si="12"/>
        <v>0</v>
      </c>
      <c r="CI231" s="35" t="str">
        <f>IF(tblTrazabilidad[[#This Row],[Código]]=0,"",IFERROR(IF(SEARCH("JM",tblTrazabilidad[[#This Row],[Código]])&gt;0,"Juego de pesas",),"Pesa"))</f>
        <v/>
      </c>
      <c r="CJ231" s="35" t="str">
        <f>IFERROR(VLOOKUP($CH231,tblBD_PatronMasa[[Código Patrón]:[mN-(mpe–U95)]],2,FALSE),"")</f>
        <v/>
      </c>
      <c r="CK231" s="35" t="str">
        <f>IFERROR(VLOOKUP($CH231,tblBD_PatronMasa[[Código Patrón]:[mN-(mpe–U95)]],13,FALSE),"")</f>
        <v/>
      </c>
      <c r="CL231" s="34" t="str">
        <f>IF(tblTrazabilidad[[#This Row],[Clase]]="F2",IFERROR(IF(VLOOKUP($CH231,tblBD_PatronMasa[[Código Patrón]:[mN-(mpe–U95)]],12,FALSE)=0,"",VLOOKUP($CH231,tblBD_PatronMasa[[Código Patrón]:[mN-(mpe–U95)]],12,FALSE)+731),""),IF(tblTrazabilidad[[#This Row],[Clase]]="F1",IFERROR(IF(VLOOKUP($CH231,tblBD_PatronMasa[[Código Patrón]:[mN-(mpe–U95)]],12,FALSE)=0,"",VLOOKUP($CH231,tblBD_PatronMasa[[Código Patrón]:[mN-(mpe–U95)]],12,FALSE)+731),""),IFERROR(IF(VLOOKUP($CH231,tblBD_PatronMasa[[Código Patrón]:[mN-(mpe–U95)]],12,FALSE)=0,"",VLOOKUP($CH231,tblBD_PatronMasa[[Código Patrón]:[mN-(mpe–U95)]],12,FALSE)+366),"")))</f>
        <v/>
      </c>
      <c r="CM231" s="33" t="str">
        <f>IFERROR(VLOOKUP($CH231,tblBD_PatronMasa[[Código Patrón]:[mN-(mpe–U95)]],3,FALSE),"")</f>
        <v/>
      </c>
      <c r="CS231" s="32"/>
      <c r="CU231"/>
      <c r="DC231" s="1"/>
      <c r="DD231" s="1"/>
      <c r="DF231"/>
      <c r="DG231"/>
    </row>
    <row r="232" spans="85:111" x14ac:dyDescent="0.3">
      <c r="CG232" s="38">
        <v>226</v>
      </c>
      <c r="CH232" s="35">
        <f t="shared" si="12"/>
        <v>0</v>
      </c>
      <c r="CI232" s="35" t="str">
        <f>IF(tblTrazabilidad[[#This Row],[Código]]=0,"",IFERROR(IF(SEARCH("JM",tblTrazabilidad[[#This Row],[Código]])&gt;0,"Juego de pesas",),"Pesa"))</f>
        <v/>
      </c>
      <c r="CJ232" s="35" t="str">
        <f>IFERROR(VLOOKUP($CH232,tblBD_PatronMasa[[Código Patrón]:[mN-(mpe–U95)]],2,FALSE),"")</f>
        <v/>
      </c>
      <c r="CK232" s="35" t="str">
        <f>IFERROR(VLOOKUP($CH232,tblBD_PatronMasa[[Código Patrón]:[mN-(mpe–U95)]],13,FALSE),"")</f>
        <v/>
      </c>
      <c r="CL232" s="34" t="str">
        <f>IF(tblTrazabilidad[[#This Row],[Clase]]="F2",IFERROR(IF(VLOOKUP($CH232,tblBD_PatronMasa[[Código Patrón]:[mN-(mpe–U95)]],12,FALSE)=0,"",VLOOKUP($CH232,tblBD_PatronMasa[[Código Patrón]:[mN-(mpe–U95)]],12,FALSE)+731),""),IF(tblTrazabilidad[[#This Row],[Clase]]="F1",IFERROR(IF(VLOOKUP($CH232,tblBD_PatronMasa[[Código Patrón]:[mN-(mpe–U95)]],12,FALSE)=0,"",VLOOKUP($CH232,tblBD_PatronMasa[[Código Patrón]:[mN-(mpe–U95)]],12,FALSE)+731),""),IFERROR(IF(VLOOKUP($CH232,tblBD_PatronMasa[[Código Patrón]:[mN-(mpe–U95)]],12,FALSE)=0,"",VLOOKUP($CH232,tblBD_PatronMasa[[Código Patrón]:[mN-(mpe–U95)]],12,FALSE)+366),"")))</f>
        <v/>
      </c>
      <c r="CM232" s="33" t="str">
        <f>IFERROR(VLOOKUP($CH232,tblBD_PatronMasa[[Código Patrón]:[mN-(mpe–U95)]],3,FALSE),"")</f>
        <v/>
      </c>
      <c r="CS232" s="32"/>
      <c r="CU232"/>
      <c r="DC232" s="1"/>
      <c r="DD232" s="1"/>
      <c r="DF232"/>
      <c r="DG232"/>
    </row>
    <row r="233" spans="85:111" x14ac:dyDescent="0.3">
      <c r="CG233" s="38">
        <v>227</v>
      </c>
      <c r="CH233" s="35">
        <f t="shared" si="12"/>
        <v>0</v>
      </c>
      <c r="CI233" s="35" t="str">
        <f>IF(tblTrazabilidad[[#This Row],[Código]]=0,"",IFERROR(IF(SEARCH("JM",tblTrazabilidad[[#This Row],[Código]])&gt;0,"Juego de pesas",),"Pesa"))</f>
        <v/>
      </c>
      <c r="CJ233" s="35" t="str">
        <f>IFERROR(VLOOKUP($CH233,tblBD_PatronMasa[[Código Patrón]:[mN-(mpe–U95)]],2,FALSE),"")</f>
        <v/>
      </c>
      <c r="CK233" s="35" t="str">
        <f>IFERROR(VLOOKUP($CH233,tblBD_PatronMasa[[Código Patrón]:[mN-(mpe–U95)]],13,FALSE),"")</f>
        <v/>
      </c>
      <c r="CL233" s="34" t="str">
        <f>IF(tblTrazabilidad[[#This Row],[Clase]]="F2",IFERROR(IF(VLOOKUP($CH233,tblBD_PatronMasa[[Código Patrón]:[mN-(mpe–U95)]],12,FALSE)=0,"",VLOOKUP($CH233,tblBD_PatronMasa[[Código Patrón]:[mN-(mpe–U95)]],12,FALSE)+731),""),IF(tblTrazabilidad[[#This Row],[Clase]]="F1",IFERROR(IF(VLOOKUP($CH233,tblBD_PatronMasa[[Código Patrón]:[mN-(mpe–U95)]],12,FALSE)=0,"",VLOOKUP($CH233,tblBD_PatronMasa[[Código Patrón]:[mN-(mpe–U95)]],12,FALSE)+731),""),IFERROR(IF(VLOOKUP($CH233,tblBD_PatronMasa[[Código Patrón]:[mN-(mpe–U95)]],12,FALSE)=0,"",VLOOKUP($CH233,tblBD_PatronMasa[[Código Patrón]:[mN-(mpe–U95)]],12,FALSE)+366),"")))</f>
        <v/>
      </c>
      <c r="CM233" s="33" t="str">
        <f>IFERROR(VLOOKUP($CH233,tblBD_PatronMasa[[Código Patrón]:[mN-(mpe–U95)]],3,FALSE),"")</f>
        <v/>
      </c>
      <c r="CS233" s="32"/>
      <c r="CU233"/>
      <c r="DC233" s="1"/>
      <c r="DD233" s="1"/>
      <c r="DF233"/>
      <c r="DG233"/>
    </row>
    <row r="234" spans="85:111" x14ac:dyDescent="0.3">
      <c r="CG234" s="38">
        <v>228</v>
      </c>
      <c r="CH234" s="35">
        <f t="shared" si="12"/>
        <v>0</v>
      </c>
      <c r="CI234" s="35" t="str">
        <f>IF(tblTrazabilidad[[#This Row],[Código]]=0,"",IFERROR(IF(SEARCH("JM",tblTrazabilidad[[#This Row],[Código]])&gt;0,"Juego de pesas",),"Pesa"))</f>
        <v/>
      </c>
      <c r="CJ234" s="35" t="str">
        <f>IFERROR(VLOOKUP($CH234,tblBD_PatronMasa[[Código Patrón]:[mN-(mpe–U95)]],2,FALSE),"")</f>
        <v/>
      </c>
      <c r="CK234" s="35" t="str">
        <f>IFERROR(VLOOKUP($CH234,tblBD_PatronMasa[[Código Patrón]:[mN-(mpe–U95)]],13,FALSE),"")</f>
        <v/>
      </c>
      <c r="CL234" s="34" t="str">
        <f>IF(tblTrazabilidad[[#This Row],[Clase]]="F2",IFERROR(IF(VLOOKUP($CH234,tblBD_PatronMasa[[Código Patrón]:[mN-(mpe–U95)]],12,FALSE)=0,"",VLOOKUP($CH234,tblBD_PatronMasa[[Código Patrón]:[mN-(mpe–U95)]],12,FALSE)+731),""),IF(tblTrazabilidad[[#This Row],[Clase]]="F1",IFERROR(IF(VLOOKUP($CH234,tblBD_PatronMasa[[Código Patrón]:[mN-(mpe–U95)]],12,FALSE)=0,"",VLOOKUP($CH234,tblBD_PatronMasa[[Código Patrón]:[mN-(mpe–U95)]],12,FALSE)+731),""),IFERROR(IF(VLOOKUP($CH234,tblBD_PatronMasa[[Código Patrón]:[mN-(mpe–U95)]],12,FALSE)=0,"",VLOOKUP($CH234,tblBD_PatronMasa[[Código Patrón]:[mN-(mpe–U95)]],12,FALSE)+366),"")))</f>
        <v/>
      </c>
      <c r="CM234" s="33" t="str">
        <f>IFERROR(VLOOKUP($CH234,tblBD_PatronMasa[[Código Patrón]:[mN-(mpe–U95)]],3,FALSE),"")</f>
        <v/>
      </c>
      <c r="CS234" s="32"/>
      <c r="CU234"/>
      <c r="DC234" s="1"/>
      <c r="DD234" s="1"/>
      <c r="DF234"/>
      <c r="DG234"/>
    </row>
    <row r="235" spans="85:111" x14ac:dyDescent="0.3">
      <c r="CG235" s="38">
        <v>229</v>
      </c>
      <c r="CH235" s="35">
        <f t="shared" si="12"/>
        <v>0</v>
      </c>
      <c r="CI235" s="35" t="str">
        <f>IF(tblTrazabilidad[[#This Row],[Código]]=0,"",IFERROR(IF(SEARCH("JM",tblTrazabilidad[[#This Row],[Código]])&gt;0,"Juego de pesas",),"Pesa"))</f>
        <v/>
      </c>
      <c r="CJ235" s="35" t="str">
        <f>IFERROR(VLOOKUP($CH235,tblBD_PatronMasa[[Código Patrón]:[mN-(mpe–U95)]],2,FALSE),"")</f>
        <v/>
      </c>
      <c r="CK235" s="35" t="str">
        <f>IFERROR(VLOOKUP($CH235,tblBD_PatronMasa[[Código Patrón]:[mN-(mpe–U95)]],13,FALSE),"")</f>
        <v/>
      </c>
      <c r="CL235" s="34" t="str">
        <f>IF(tblTrazabilidad[[#This Row],[Clase]]="F2",IFERROR(IF(VLOOKUP($CH235,tblBD_PatronMasa[[Código Patrón]:[mN-(mpe–U95)]],12,FALSE)=0,"",VLOOKUP($CH235,tblBD_PatronMasa[[Código Patrón]:[mN-(mpe–U95)]],12,FALSE)+731),""),IF(tblTrazabilidad[[#This Row],[Clase]]="F1",IFERROR(IF(VLOOKUP($CH235,tblBD_PatronMasa[[Código Patrón]:[mN-(mpe–U95)]],12,FALSE)=0,"",VLOOKUP($CH235,tblBD_PatronMasa[[Código Patrón]:[mN-(mpe–U95)]],12,FALSE)+731),""),IFERROR(IF(VLOOKUP($CH235,tblBD_PatronMasa[[Código Patrón]:[mN-(mpe–U95)]],12,FALSE)=0,"",VLOOKUP($CH235,tblBD_PatronMasa[[Código Patrón]:[mN-(mpe–U95)]],12,FALSE)+366),"")))</f>
        <v/>
      </c>
      <c r="CM235" s="33" t="str">
        <f>IFERROR(VLOOKUP($CH235,tblBD_PatronMasa[[Código Patrón]:[mN-(mpe–U95)]],3,FALSE),"")</f>
        <v/>
      </c>
      <c r="CS235" s="32"/>
      <c r="CU235"/>
      <c r="DC235" s="1"/>
      <c r="DD235" s="1"/>
      <c r="DF235"/>
      <c r="DG235"/>
    </row>
    <row r="236" spans="85:111" x14ac:dyDescent="0.3">
      <c r="CG236" s="38">
        <v>230</v>
      </c>
      <c r="CH236" s="35">
        <f t="shared" si="12"/>
        <v>0</v>
      </c>
      <c r="CI236" s="35" t="str">
        <f>IF(tblTrazabilidad[[#This Row],[Código]]=0,"",IFERROR(IF(SEARCH("JM",tblTrazabilidad[[#This Row],[Código]])&gt;0,"Juego de pesas",),"Pesa"))</f>
        <v/>
      </c>
      <c r="CJ236" s="35" t="str">
        <f>IFERROR(VLOOKUP($CH236,tblBD_PatronMasa[[Código Patrón]:[mN-(mpe–U95)]],2,FALSE),"")</f>
        <v/>
      </c>
      <c r="CK236" s="35" t="str">
        <f>IFERROR(VLOOKUP($CH236,tblBD_PatronMasa[[Código Patrón]:[mN-(mpe–U95)]],13,FALSE),"")</f>
        <v/>
      </c>
      <c r="CL236" s="34" t="str">
        <f>IF(tblTrazabilidad[[#This Row],[Clase]]="F2",IFERROR(IF(VLOOKUP($CH236,tblBD_PatronMasa[[Código Patrón]:[mN-(mpe–U95)]],12,FALSE)=0,"",VLOOKUP($CH236,tblBD_PatronMasa[[Código Patrón]:[mN-(mpe–U95)]],12,FALSE)+731),""),IF(tblTrazabilidad[[#This Row],[Clase]]="F1",IFERROR(IF(VLOOKUP($CH236,tblBD_PatronMasa[[Código Patrón]:[mN-(mpe–U95)]],12,FALSE)=0,"",VLOOKUP($CH236,tblBD_PatronMasa[[Código Patrón]:[mN-(mpe–U95)]],12,FALSE)+731),""),IFERROR(IF(VLOOKUP($CH236,tblBD_PatronMasa[[Código Patrón]:[mN-(mpe–U95)]],12,FALSE)=0,"",VLOOKUP($CH236,tblBD_PatronMasa[[Código Patrón]:[mN-(mpe–U95)]],12,FALSE)+366),"")))</f>
        <v/>
      </c>
      <c r="CM236" s="33" t="str">
        <f>IFERROR(VLOOKUP($CH236,tblBD_PatronMasa[[Código Patrón]:[mN-(mpe–U95)]],3,FALSE),"")</f>
        <v/>
      </c>
      <c r="CS236" s="32"/>
      <c r="CU236"/>
      <c r="DC236" s="1"/>
      <c r="DD236" s="1"/>
      <c r="DF236"/>
      <c r="DG236"/>
    </row>
    <row r="237" spans="85:111" x14ac:dyDescent="0.3">
      <c r="CG237" s="38">
        <v>231</v>
      </c>
      <c r="CH237" s="35">
        <f t="shared" si="12"/>
        <v>0</v>
      </c>
      <c r="CI237" s="35" t="str">
        <f>IF(tblTrazabilidad[[#This Row],[Código]]=0,"",IFERROR(IF(SEARCH("JM",tblTrazabilidad[[#This Row],[Código]])&gt;0,"Juego de pesas",),"Pesa"))</f>
        <v/>
      </c>
      <c r="CJ237" s="35" t="str">
        <f>IFERROR(VLOOKUP($CH237,tblBD_PatronMasa[[Código Patrón]:[mN-(mpe–U95)]],2,FALSE),"")</f>
        <v/>
      </c>
      <c r="CK237" s="35" t="str">
        <f>IFERROR(VLOOKUP($CH237,tblBD_PatronMasa[[Código Patrón]:[mN-(mpe–U95)]],13,FALSE),"")</f>
        <v/>
      </c>
      <c r="CL237" s="34" t="str">
        <f>IF(tblTrazabilidad[[#This Row],[Clase]]="F2",IFERROR(IF(VLOOKUP($CH237,tblBD_PatronMasa[[Código Patrón]:[mN-(mpe–U95)]],12,FALSE)=0,"",VLOOKUP($CH237,tblBD_PatronMasa[[Código Patrón]:[mN-(mpe–U95)]],12,FALSE)+731),""),IF(tblTrazabilidad[[#This Row],[Clase]]="F1",IFERROR(IF(VLOOKUP($CH237,tblBD_PatronMasa[[Código Patrón]:[mN-(mpe–U95)]],12,FALSE)=0,"",VLOOKUP($CH237,tblBD_PatronMasa[[Código Patrón]:[mN-(mpe–U95)]],12,FALSE)+731),""),IFERROR(IF(VLOOKUP($CH237,tblBD_PatronMasa[[Código Patrón]:[mN-(mpe–U95)]],12,FALSE)=0,"",VLOOKUP($CH237,tblBD_PatronMasa[[Código Patrón]:[mN-(mpe–U95)]],12,FALSE)+366),"")))</f>
        <v/>
      </c>
      <c r="CM237" s="33" t="str">
        <f>IFERROR(VLOOKUP($CH237,tblBD_PatronMasa[[Código Patrón]:[mN-(mpe–U95)]],3,FALSE),"")</f>
        <v/>
      </c>
      <c r="CS237" s="32"/>
      <c r="CU237"/>
      <c r="DC237" s="1"/>
      <c r="DD237" s="1"/>
      <c r="DF237"/>
      <c r="DG237"/>
    </row>
    <row r="238" spans="85:111" x14ac:dyDescent="0.3">
      <c r="CG238" s="38">
        <v>232</v>
      </c>
      <c r="CH238" s="35">
        <f t="shared" si="12"/>
        <v>0</v>
      </c>
      <c r="CI238" s="35" t="str">
        <f>IF(tblTrazabilidad[[#This Row],[Código]]=0,"",IFERROR(IF(SEARCH("JM",tblTrazabilidad[[#This Row],[Código]])&gt;0,"Juego de pesas",),"Pesa"))</f>
        <v/>
      </c>
      <c r="CJ238" s="35" t="str">
        <f>IFERROR(VLOOKUP($CH238,tblBD_PatronMasa[[Código Patrón]:[mN-(mpe–U95)]],2,FALSE),"")</f>
        <v/>
      </c>
      <c r="CK238" s="35" t="str">
        <f>IFERROR(VLOOKUP($CH238,tblBD_PatronMasa[[Código Patrón]:[mN-(mpe–U95)]],13,FALSE),"")</f>
        <v/>
      </c>
      <c r="CL238" s="34" t="str">
        <f>IF(tblTrazabilidad[[#This Row],[Clase]]="F2",IFERROR(IF(VLOOKUP($CH238,tblBD_PatronMasa[[Código Patrón]:[mN-(mpe–U95)]],12,FALSE)=0,"",VLOOKUP($CH238,tblBD_PatronMasa[[Código Patrón]:[mN-(mpe–U95)]],12,FALSE)+731),""),IF(tblTrazabilidad[[#This Row],[Clase]]="F1",IFERROR(IF(VLOOKUP($CH238,tblBD_PatronMasa[[Código Patrón]:[mN-(mpe–U95)]],12,FALSE)=0,"",VLOOKUP($CH238,tblBD_PatronMasa[[Código Patrón]:[mN-(mpe–U95)]],12,FALSE)+731),""),IFERROR(IF(VLOOKUP($CH238,tblBD_PatronMasa[[Código Patrón]:[mN-(mpe–U95)]],12,FALSE)=0,"",VLOOKUP($CH238,tblBD_PatronMasa[[Código Patrón]:[mN-(mpe–U95)]],12,FALSE)+366),"")))</f>
        <v/>
      </c>
      <c r="CM238" s="33" t="str">
        <f>IFERROR(VLOOKUP($CH238,tblBD_PatronMasa[[Código Patrón]:[mN-(mpe–U95)]],3,FALSE),"")</f>
        <v/>
      </c>
      <c r="CS238" s="32"/>
      <c r="CU238"/>
      <c r="DC238" s="1"/>
      <c r="DD238" s="1"/>
      <c r="DF238"/>
      <c r="DG238"/>
    </row>
    <row r="239" spans="85:111" x14ac:dyDescent="0.3">
      <c r="CG239" s="38">
        <v>233</v>
      </c>
      <c r="CH239" s="35">
        <f t="shared" ref="CH239:CH256" si="13">AO37</f>
        <v>0</v>
      </c>
      <c r="CI239" s="35" t="str">
        <f>IF(tblTrazabilidad[[#This Row],[Código]]=0,"",IFERROR(IF(SEARCH("JM",tblTrazabilidad[[#This Row],[Código]])&gt;0,"Juego de pesas",),"Pesa"))</f>
        <v/>
      </c>
      <c r="CJ239" s="35" t="str">
        <f>IFERROR(VLOOKUP($CH239,tblBD_PatronMasa[[Código Patrón]:[mN-(mpe–U95)]],2,FALSE),"")</f>
        <v/>
      </c>
      <c r="CK239" s="35" t="str">
        <f>IFERROR(VLOOKUP($CH239,tblBD_PatronMasa[[Código Patrón]:[mN-(mpe–U95)]],13,FALSE),"")</f>
        <v/>
      </c>
      <c r="CL239" s="34" t="str">
        <f>IF(tblTrazabilidad[[#This Row],[Clase]]="F2",IFERROR(IF(VLOOKUP($CH239,tblBD_PatronMasa[[Código Patrón]:[mN-(mpe–U95)]],12,FALSE)=0,"",VLOOKUP($CH239,tblBD_PatronMasa[[Código Patrón]:[mN-(mpe–U95)]],12,FALSE)+731),""),IF(tblTrazabilidad[[#This Row],[Clase]]="F1",IFERROR(IF(VLOOKUP($CH239,tblBD_PatronMasa[[Código Patrón]:[mN-(mpe–U95)]],12,FALSE)=0,"",VLOOKUP($CH239,tblBD_PatronMasa[[Código Patrón]:[mN-(mpe–U95)]],12,FALSE)+731),""),IFERROR(IF(VLOOKUP($CH239,tblBD_PatronMasa[[Código Patrón]:[mN-(mpe–U95)]],12,FALSE)=0,"",VLOOKUP($CH239,tblBD_PatronMasa[[Código Patrón]:[mN-(mpe–U95)]],12,FALSE)+366),"")))</f>
        <v/>
      </c>
      <c r="CM239" s="33" t="str">
        <f>IFERROR(VLOOKUP($CH239,tblBD_PatronMasa[[Código Patrón]:[mN-(mpe–U95)]],3,FALSE),"")</f>
        <v/>
      </c>
      <c r="CS239" s="32"/>
      <c r="CU239"/>
      <c r="DC239" s="1"/>
      <c r="DD239" s="1"/>
      <c r="DF239"/>
      <c r="DG239"/>
    </row>
    <row r="240" spans="85:111" x14ac:dyDescent="0.3">
      <c r="CG240" s="38">
        <v>234</v>
      </c>
      <c r="CH240" s="35">
        <f t="shared" si="13"/>
        <v>0</v>
      </c>
      <c r="CI240" s="35" t="str">
        <f>IF(tblTrazabilidad[[#This Row],[Código]]=0,"",IFERROR(IF(SEARCH("JM",tblTrazabilidad[[#This Row],[Código]])&gt;0,"Juego de pesas",),"Pesa"))</f>
        <v/>
      </c>
      <c r="CJ240" s="35" t="str">
        <f>IFERROR(VLOOKUP($CH240,tblBD_PatronMasa[[Código Patrón]:[mN-(mpe–U95)]],2,FALSE),"")</f>
        <v/>
      </c>
      <c r="CK240" s="35" t="str">
        <f>IFERROR(VLOOKUP($CH240,tblBD_PatronMasa[[Código Patrón]:[mN-(mpe–U95)]],13,FALSE),"")</f>
        <v/>
      </c>
      <c r="CL240" s="34" t="str">
        <f>IF(tblTrazabilidad[[#This Row],[Clase]]="F2",IFERROR(IF(VLOOKUP($CH240,tblBD_PatronMasa[[Código Patrón]:[mN-(mpe–U95)]],12,FALSE)=0,"",VLOOKUP($CH240,tblBD_PatronMasa[[Código Patrón]:[mN-(mpe–U95)]],12,FALSE)+731),""),IF(tblTrazabilidad[[#This Row],[Clase]]="F1",IFERROR(IF(VLOOKUP($CH240,tblBD_PatronMasa[[Código Patrón]:[mN-(mpe–U95)]],12,FALSE)=0,"",VLOOKUP($CH240,tblBD_PatronMasa[[Código Patrón]:[mN-(mpe–U95)]],12,FALSE)+731),""),IFERROR(IF(VLOOKUP($CH240,tblBD_PatronMasa[[Código Patrón]:[mN-(mpe–U95)]],12,FALSE)=0,"",VLOOKUP($CH240,tblBD_PatronMasa[[Código Patrón]:[mN-(mpe–U95)]],12,FALSE)+366),"")))</f>
        <v/>
      </c>
      <c r="CM240" s="33" t="str">
        <f>IFERROR(VLOOKUP($CH240,tblBD_PatronMasa[[Código Patrón]:[mN-(mpe–U95)]],3,FALSE),"")</f>
        <v/>
      </c>
      <c r="CS240" s="32"/>
      <c r="CU240"/>
      <c r="DC240" s="1"/>
      <c r="DD240" s="1"/>
      <c r="DF240"/>
      <c r="DG240"/>
    </row>
    <row r="241" spans="85:111" x14ac:dyDescent="0.3">
      <c r="CG241" s="38">
        <v>235</v>
      </c>
      <c r="CH241" s="35">
        <f t="shared" si="13"/>
        <v>0</v>
      </c>
      <c r="CI241" s="35" t="str">
        <f>IF(tblTrazabilidad[[#This Row],[Código]]=0,"",IFERROR(IF(SEARCH("JM",tblTrazabilidad[[#This Row],[Código]])&gt;0,"Juego de pesas",),"Pesa"))</f>
        <v/>
      </c>
      <c r="CJ241" s="35" t="str">
        <f>IFERROR(VLOOKUP($CH241,tblBD_PatronMasa[[Código Patrón]:[mN-(mpe–U95)]],2,FALSE),"")</f>
        <v/>
      </c>
      <c r="CK241" s="35" t="str">
        <f>IFERROR(VLOOKUP($CH241,tblBD_PatronMasa[[Código Patrón]:[mN-(mpe–U95)]],13,FALSE),"")</f>
        <v/>
      </c>
      <c r="CL241" s="34" t="str">
        <f>IF(tblTrazabilidad[[#This Row],[Clase]]="F2",IFERROR(IF(VLOOKUP($CH241,tblBD_PatronMasa[[Código Patrón]:[mN-(mpe–U95)]],12,FALSE)=0,"",VLOOKUP($CH241,tblBD_PatronMasa[[Código Patrón]:[mN-(mpe–U95)]],12,FALSE)+731),""),IF(tblTrazabilidad[[#This Row],[Clase]]="F1",IFERROR(IF(VLOOKUP($CH241,tblBD_PatronMasa[[Código Patrón]:[mN-(mpe–U95)]],12,FALSE)=0,"",VLOOKUP($CH241,tblBD_PatronMasa[[Código Patrón]:[mN-(mpe–U95)]],12,FALSE)+731),""),IFERROR(IF(VLOOKUP($CH241,tblBD_PatronMasa[[Código Patrón]:[mN-(mpe–U95)]],12,FALSE)=0,"",VLOOKUP($CH241,tblBD_PatronMasa[[Código Patrón]:[mN-(mpe–U95)]],12,FALSE)+366),"")))</f>
        <v/>
      </c>
      <c r="CM241" s="33" t="str">
        <f>IFERROR(VLOOKUP($CH241,tblBD_PatronMasa[[Código Patrón]:[mN-(mpe–U95)]],3,FALSE),"")</f>
        <v/>
      </c>
      <c r="CS241" s="32"/>
      <c r="CU241"/>
      <c r="DC241" s="1"/>
      <c r="DD241" s="1"/>
      <c r="DF241"/>
      <c r="DG241"/>
    </row>
    <row r="242" spans="85:111" x14ac:dyDescent="0.3">
      <c r="CG242" s="38">
        <v>236</v>
      </c>
      <c r="CH242" s="35">
        <f t="shared" si="13"/>
        <v>0</v>
      </c>
      <c r="CI242" s="35" t="str">
        <f>IF(tblTrazabilidad[[#This Row],[Código]]=0,"",IFERROR(IF(SEARCH("JM",tblTrazabilidad[[#This Row],[Código]])&gt;0,"Juego de pesas",),"Pesa"))</f>
        <v/>
      </c>
      <c r="CJ242" s="35" t="str">
        <f>IFERROR(VLOOKUP($CH242,tblBD_PatronMasa[[Código Patrón]:[mN-(mpe–U95)]],2,FALSE),"")</f>
        <v/>
      </c>
      <c r="CK242" s="35" t="str">
        <f>IFERROR(VLOOKUP($CH242,tblBD_PatronMasa[[Código Patrón]:[mN-(mpe–U95)]],13,FALSE),"")</f>
        <v/>
      </c>
      <c r="CL242" s="34" t="str">
        <f>IF(tblTrazabilidad[[#This Row],[Clase]]="F2",IFERROR(IF(VLOOKUP($CH242,tblBD_PatronMasa[[Código Patrón]:[mN-(mpe–U95)]],12,FALSE)=0,"",VLOOKUP($CH242,tblBD_PatronMasa[[Código Patrón]:[mN-(mpe–U95)]],12,FALSE)+731),""),IF(tblTrazabilidad[[#This Row],[Clase]]="F1",IFERROR(IF(VLOOKUP($CH242,tblBD_PatronMasa[[Código Patrón]:[mN-(mpe–U95)]],12,FALSE)=0,"",VLOOKUP($CH242,tblBD_PatronMasa[[Código Patrón]:[mN-(mpe–U95)]],12,FALSE)+731),""),IFERROR(IF(VLOOKUP($CH242,tblBD_PatronMasa[[Código Patrón]:[mN-(mpe–U95)]],12,FALSE)=0,"",VLOOKUP($CH242,tblBD_PatronMasa[[Código Patrón]:[mN-(mpe–U95)]],12,FALSE)+366),"")))</f>
        <v/>
      </c>
      <c r="CM242" s="33" t="str">
        <f>IFERROR(VLOOKUP($CH242,tblBD_PatronMasa[[Código Patrón]:[mN-(mpe–U95)]],3,FALSE),"")</f>
        <v/>
      </c>
      <c r="CS242" s="32"/>
      <c r="CU242"/>
      <c r="DC242" s="1"/>
      <c r="DD242" s="1"/>
      <c r="DF242"/>
      <c r="DG242"/>
    </row>
    <row r="243" spans="85:111" x14ac:dyDescent="0.3">
      <c r="CG243" s="38">
        <v>237</v>
      </c>
      <c r="CH243" s="35">
        <f t="shared" si="13"/>
        <v>0</v>
      </c>
      <c r="CI243" s="35" t="str">
        <f>IF(tblTrazabilidad[[#This Row],[Código]]=0,"",IFERROR(IF(SEARCH("JM",tblTrazabilidad[[#This Row],[Código]])&gt;0,"Juego de pesas",),"Pesa"))</f>
        <v/>
      </c>
      <c r="CJ243" s="35" t="str">
        <f>IFERROR(VLOOKUP($CH243,tblBD_PatronMasa[[Código Patrón]:[mN-(mpe–U95)]],2,FALSE),"")</f>
        <v/>
      </c>
      <c r="CK243" s="35" t="str">
        <f>IFERROR(VLOOKUP($CH243,tblBD_PatronMasa[[Código Patrón]:[mN-(mpe–U95)]],13,FALSE),"")</f>
        <v/>
      </c>
      <c r="CL243" s="34" t="str">
        <f>IF(tblTrazabilidad[[#This Row],[Clase]]="F2",IFERROR(IF(VLOOKUP($CH243,tblBD_PatronMasa[[Código Patrón]:[mN-(mpe–U95)]],12,FALSE)=0,"",VLOOKUP($CH243,tblBD_PatronMasa[[Código Patrón]:[mN-(mpe–U95)]],12,FALSE)+731),""),IF(tblTrazabilidad[[#This Row],[Clase]]="F1",IFERROR(IF(VLOOKUP($CH243,tblBD_PatronMasa[[Código Patrón]:[mN-(mpe–U95)]],12,FALSE)=0,"",VLOOKUP($CH243,tblBD_PatronMasa[[Código Patrón]:[mN-(mpe–U95)]],12,FALSE)+731),""),IFERROR(IF(VLOOKUP($CH243,tblBD_PatronMasa[[Código Patrón]:[mN-(mpe–U95)]],12,FALSE)=0,"",VLOOKUP($CH243,tblBD_PatronMasa[[Código Patrón]:[mN-(mpe–U95)]],12,FALSE)+366),"")))</f>
        <v/>
      </c>
      <c r="CM243" s="33" t="str">
        <f>IFERROR(VLOOKUP($CH243,tblBD_PatronMasa[[Código Patrón]:[mN-(mpe–U95)]],3,FALSE),"")</f>
        <v/>
      </c>
      <c r="CS243" s="32"/>
      <c r="CU243"/>
      <c r="DC243" s="1"/>
      <c r="DD243" s="1"/>
      <c r="DF243"/>
      <c r="DG243"/>
    </row>
    <row r="244" spans="85:111" x14ac:dyDescent="0.3">
      <c r="CG244" s="38">
        <v>238</v>
      </c>
      <c r="CH244" s="35">
        <f t="shared" si="13"/>
        <v>0</v>
      </c>
      <c r="CI244" s="35" t="str">
        <f>IF(tblTrazabilidad[[#This Row],[Código]]=0,"",IFERROR(IF(SEARCH("JM",tblTrazabilidad[[#This Row],[Código]])&gt;0,"Juego de pesas",),"Pesa"))</f>
        <v/>
      </c>
      <c r="CJ244" s="35" t="str">
        <f>IFERROR(VLOOKUP($CH244,tblBD_PatronMasa[[Código Patrón]:[mN-(mpe–U95)]],2,FALSE),"")</f>
        <v/>
      </c>
      <c r="CK244" s="35" t="str">
        <f>IFERROR(VLOOKUP($CH244,tblBD_PatronMasa[[Código Patrón]:[mN-(mpe–U95)]],13,FALSE),"")</f>
        <v/>
      </c>
      <c r="CL244" s="34" t="str">
        <f>IF(tblTrazabilidad[[#This Row],[Clase]]="F2",IFERROR(IF(VLOOKUP($CH244,tblBD_PatronMasa[[Código Patrón]:[mN-(mpe–U95)]],12,FALSE)=0,"",VLOOKUP($CH244,tblBD_PatronMasa[[Código Patrón]:[mN-(mpe–U95)]],12,FALSE)+731),""),IF(tblTrazabilidad[[#This Row],[Clase]]="F1",IFERROR(IF(VLOOKUP($CH244,tblBD_PatronMasa[[Código Patrón]:[mN-(mpe–U95)]],12,FALSE)=0,"",VLOOKUP($CH244,tblBD_PatronMasa[[Código Patrón]:[mN-(mpe–U95)]],12,FALSE)+731),""),IFERROR(IF(VLOOKUP($CH244,tblBD_PatronMasa[[Código Patrón]:[mN-(mpe–U95)]],12,FALSE)=0,"",VLOOKUP($CH244,tblBD_PatronMasa[[Código Patrón]:[mN-(mpe–U95)]],12,FALSE)+366),"")))</f>
        <v/>
      </c>
      <c r="CM244" s="33" t="str">
        <f>IFERROR(VLOOKUP($CH244,tblBD_PatronMasa[[Código Patrón]:[mN-(mpe–U95)]],3,FALSE),"")</f>
        <v/>
      </c>
      <c r="CS244" s="32"/>
      <c r="CU244"/>
      <c r="DC244" s="1"/>
      <c r="DD244" s="1"/>
      <c r="DF244"/>
      <c r="DG244"/>
    </row>
    <row r="245" spans="85:111" x14ac:dyDescent="0.3">
      <c r="CG245" s="38">
        <v>239</v>
      </c>
      <c r="CH245" s="35">
        <f t="shared" si="13"/>
        <v>0</v>
      </c>
      <c r="CI245" s="35" t="str">
        <f>IF(tblTrazabilidad[[#This Row],[Código]]=0,"",IFERROR(IF(SEARCH("JM",tblTrazabilidad[[#This Row],[Código]])&gt;0,"Juego de pesas",),"Pesa"))</f>
        <v/>
      </c>
      <c r="CJ245" s="35" t="str">
        <f>IFERROR(VLOOKUP($CH245,tblBD_PatronMasa[[Código Patrón]:[mN-(mpe–U95)]],2,FALSE),"")</f>
        <v/>
      </c>
      <c r="CK245" s="35" t="str">
        <f>IFERROR(VLOOKUP($CH245,tblBD_PatronMasa[[Código Patrón]:[mN-(mpe–U95)]],13,FALSE),"")</f>
        <v/>
      </c>
      <c r="CL245" s="34" t="str">
        <f>IF(tblTrazabilidad[[#This Row],[Clase]]="F2",IFERROR(IF(VLOOKUP($CH245,tblBD_PatronMasa[[Código Patrón]:[mN-(mpe–U95)]],12,FALSE)=0,"",VLOOKUP($CH245,tblBD_PatronMasa[[Código Patrón]:[mN-(mpe–U95)]],12,FALSE)+731),""),IF(tblTrazabilidad[[#This Row],[Clase]]="F1",IFERROR(IF(VLOOKUP($CH245,tblBD_PatronMasa[[Código Patrón]:[mN-(mpe–U95)]],12,FALSE)=0,"",VLOOKUP($CH245,tblBD_PatronMasa[[Código Patrón]:[mN-(mpe–U95)]],12,FALSE)+731),""),IFERROR(IF(VLOOKUP($CH245,tblBD_PatronMasa[[Código Patrón]:[mN-(mpe–U95)]],12,FALSE)=0,"",VLOOKUP($CH245,tblBD_PatronMasa[[Código Patrón]:[mN-(mpe–U95)]],12,FALSE)+366),"")))</f>
        <v/>
      </c>
      <c r="CM245" s="33" t="str">
        <f>IFERROR(VLOOKUP($CH245,tblBD_PatronMasa[[Código Patrón]:[mN-(mpe–U95)]],3,FALSE),"")</f>
        <v/>
      </c>
      <c r="CS245" s="32"/>
      <c r="CU245"/>
      <c r="DC245" s="1"/>
      <c r="DD245" s="1"/>
      <c r="DF245"/>
      <c r="DG245"/>
    </row>
    <row r="246" spans="85:111" x14ac:dyDescent="0.3">
      <c r="CG246" s="38">
        <v>240</v>
      </c>
      <c r="CH246" s="35">
        <f t="shared" si="13"/>
        <v>0</v>
      </c>
      <c r="CI246" s="35" t="str">
        <f>IF(tblTrazabilidad[[#This Row],[Código]]=0,"",IFERROR(IF(SEARCH("JM",tblTrazabilidad[[#This Row],[Código]])&gt;0,"Juego de pesas",),"Pesa"))</f>
        <v/>
      </c>
      <c r="CJ246" s="35" t="str">
        <f>IFERROR(VLOOKUP($CH246,tblBD_PatronMasa[[Código Patrón]:[mN-(mpe–U95)]],2,FALSE),"")</f>
        <v/>
      </c>
      <c r="CK246" s="35" t="str">
        <f>IFERROR(VLOOKUP($CH246,tblBD_PatronMasa[[Código Patrón]:[mN-(mpe–U95)]],13,FALSE),"")</f>
        <v/>
      </c>
      <c r="CL246" s="34" t="str">
        <f>IF(tblTrazabilidad[[#This Row],[Clase]]="F2",IFERROR(IF(VLOOKUP($CH246,tblBD_PatronMasa[[Código Patrón]:[mN-(mpe–U95)]],12,FALSE)=0,"",VLOOKUP($CH246,tblBD_PatronMasa[[Código Patrón]:[mN-(mpe–U95)]],12,FALSE)+731),""),IF(tblTrazabilidad[[#This Row],[Clase]]="F1",IFERROR(IF(VLOOKUP($CH246,tblBD_PatronMasa[[Código Patrón]:[mN-(mpe–U95)]],12,FALSE)=0,"",VLOOKUP($CH246,tblBD_PatronMasa[[Código Patrón]:[mN-(mpe–U95)]],12,FALSE)+731),""),IFERROR(IF(VLOOKUP($CH246,tblBD_PatronMasa[[Código Patrón]:[mN-(mpe–U95)]],12,FALSE)=0,"",VLOOKUP($CH246,tblBD_PatronMasa[[Código Patrón]:[mN-(mpe–U95)]],12,FALSE)+366),"")))</f>
        <v/>
      </c>
      <c r="CM246" s="33" t="str">
        <f>IFERROR(VLOOKUP($CH246,tblBD_PatronMasa[[Código Patrón]:[mN-(mpe–U95)]],3,FALSE),"")</f>
        <v/>
      </c>
      <c r="CS246" s="32"/>
      <c r="CU246"/>
      <c r="DC246" s="1"/>
      <c r="DD246" s="1"/>
      <c r="DF246"/>
      <c r="DG246"/>
    </row>
    <row r="247" spans="85:111" x14ac:dyDescent="0.3">
      <c r="CG247" s="38">
        <v>241</v>
      </c>
      <c r="CH247" s="35">
        <f t="shared" si="13"/>
        <v>0</v>
      </c>
      <c r="CI247" s="35" t="str">
        <f>IF(tblTrazabilidad[[#This Row],[Código]]=0,"",IFERROR(IF(SEARCH("JM",tblTrazabilidad[[#This Row],[Código]])&gt;0,"Juego de pesas",),"Pesa"))</f>
        <v/>
      </c>
      <c r="CJ247" s="35" t="str">
        <f>IFERROR(VLOOKUP($CH247,tblBD_PatronMasa[[Código Patrón]:[mN-(mpe–U95)]],2,FALSE),"")</f>
        <v/>
      </c>
      <c r="CK247" s="35" t="str">
        <f>IFERROR(VLOOKUP($CH247,tblBD_PatronMasa[[Código Patrón]:[mN-(mpe–U95)]],13,FALSE),"")</f>
        <v/>
      </c>
      <c r="CL247" s="34" t="str">
        <f>IF(tblTrazabilidad[[#This Row],[Clase]]="F2",IFERROR(IF(VLOOKUP($CH247,tblBD_PatronMasa[[Código Patrón]:[mN-(mpe–U95)]],12,FALSE)=0,"",VLOOKUP($CH247,tblBD_PatronMasa[[Código Patrón]:[mN-(mpe–U95)]],12,FALSE)+731),""),IF(tblTrazabilidad[[#This Row],[Clase]]="F1",IFERROR(IF(VLOOKUP($CH247,tblBD_PatronMasa[[Código Patrón]:[mN-(mpe–U95)]],12,FALSE)=0,"",VLOOKUP($CH247,tblBD_PatronMasa[[Código Patrón]:[mN-(mpe–U95)]],12,FALSE)+731),""),IFERROR(IF(VLOOKUP($CH247,tblBD_PatronMasa[[Código Patrón]:[mN-(mpe–U95)]],12,FALSE)=0,"",VLOOKUP($CH247,tblBD_PatronMasa[[Código Patrón]:[mN-(mpe–U95)]],12,FALSE)+366),"")))</f>
        <v/>
      </c>
      <c r="CM247" s="33" t="str">
        <f>IFERROR(VLOOKUP($CH247,tblBD_PatronMasa[[Código Patrón]:[mN-(mpe–U95)]],3,FALSE),"")</f>
        <v/>
      </c>
      <c r="CS247" s="32"/>
      <c r="CU247"/>
      <c r="DC247" s="1"/>
      <c r="DD247" s="1"/>
      <c r="DF247"/>
      <c r="DG247"/>
    </row>
    <row r="248" spans="85:111" x14ac:dyDescent="0.3">
      <c r="CG248" s="38">
        <v>242</v>
      </c>
      <c r="CH248" s="35">
        <f t="shared" si="13"/>
        <v>0</v>
      </c>
      <c r="CI248" s="35" t="str">
        <f>IF(tblTrazabilidad[[#This Row],[Código]]=0,"",IFERROR(IF(SEARCH("JM",tblTrazabilidad[[#This Row],[Código]])&gt;0,"Juego de pesas",),"Pesa"))</f>
        <v/>
      </c>
      <c r="CJ248" s="35" t="str">
        <f>IFERROR(VLOOKUP($CH248,tblBD_PatronMasa[[Código Patrón]:[mN-(mpe–U95)]],2,FALSE),"")</f>
        <v/>
      </c>
      <c r="CK248" s="35" t="str">
        <f>IFERROR(VLOOKUP($CH248,tblBD_PatronMasa[[Código Patrón]:[mN-(mpe–U95)]],13,FALSE),"")</f>
        <v/>
      </c>
      <c r="CL248" s="34" t="str">
        <f>IF(tblTrazabilidad[[#This Row],[Clase]]="F2",IFERROR(IF(VLOOKUP($CH248,tblBD_PatronMasa[[Código Patrón]:[mN-(mpe–U95)]],12,FALSE)=0,"",VLOOKUP($CH248,tblBD_PatronMasa[[Código Patrón]:[mN-(mpe–U95)]],12,FALSE)+731),""),IF(tblTrazabilidad[[#This Row],[Clase]]="F1",IFERROR(IF(VLOOKUP($CH248,tblBD_PatronMasa[[Código Patrón]:[mN-(mpe–U95)]],12,FALSE)=0,"",VLOOKUP($CH248,tblBD_PatronMasa[[Código Patrón]:[mN-(mpe–U95)]],12,FALSE)+731),""),IFERROR(IF(VLOOKUP($CH248,tblBD_PatronMasa[[Código Patrón]:[mN-(mpe–U95)]],12,FALSE)=0,"",VLOOKUP($CH248,tblBD_PatronMasa[[Código Patrón]:[mN-(mpe–U95)]],12,FALSE)+366),"")))</f>
        <v/>
      </c>
      <c r="CM248" s="33" t="str">
        <f>IFERROR(VLOOKUP($CH248,tblBD_PatronMasa[[Código Patrón]:[mN-(mpe–U95)]],3,FALSE),"")</f>
        <v/>
      </c>
      <c r="CS248" s="32"/>
      <c r="CU248"/>
      <c r="DC248" s="1"/>
      <c r="DD248" s="1"/>
      <c r="DF248"/>
      <c r="DG248"/>
    </row>
    <row r="249" spans="85:111" x14ac:dyDescent="0.3">
      <c r="CG249" s="38">
        <v>243</v>
      </c>
      <c r="CH249" s="35">
        <f t="shared" si="13"/>
        <v>0</v>
      </c>
      <c r="CI249" s="35" t="str">
        <f>IF(tblTrazabilidad[[#This Row],[Código]]=0,"",IFERROR(IF(SEARCH("JM",tblTrazabilidad[[#This Row],[Código]])&gt;0,"Juego de pesas",),"Pesa"))</f>
        <v/>
      </c>
      <c r="CJ249" s="35" t="str">
        <f>IFERROR(VLOOKUP($CH249,tblBD_PatronMasa[[Código Patrón]:[mN-(mpe–U95)]],2,FALSE),"")</f>
        <v/>
      </c>
      <c r="CK249" s="35" t="str">
        <f>IFERROR(VLOOKUP($CH249,tblBD_PatronMasa[[Código Patrón]:[mN-(mpe–U95)]],13,FALSE),"")</f>
        <v/>
      </c>
      <c r="CL249" s="34" t="str">
        <f>IF(tblTrazabilidad[[#This Row],[Clase]]="F2",IFERROR(IF(VLOOKUP($CH249,tblBD_PatronMasa[[Código Patrón]:[mN-(mpe–U95)]],12,FALSE)=0,"",VLOOKUP($CH249,tblBD_PatronMasa[[Código Patrón]:[mN-(mpe–U95)]],12,FALSE)+731),""),IF(tblTrazabilidad[[#This Row],[Clase]]="F1",IFERROR(IF(VLOOKUP($CH249,tblBD_PatronMasa[[Código Patrón]:[mN-(mpe–U95)]],12,FALSE)=0,"",VLOOKUP($CH249,tblBD_PatronMasa[[Código Patrón]:[mN-(mpe–U95)]],12,FALSE)+731),""),IFERROR(IF(VLOOKUP($CH249,tblBD_PatronMasa[[Código Patrón]:[mN-(mpe–U95)]],12,FALSE)=0,"",VLOOKUP($CH249,tblBD_PatronMasa[[Código Patrón]:[mN-(mpe–U95)]],12,FALSE)+366),"")))</f>
        <v/>
      </c>
      <c r="CM249" s="33" t="str">
        <f>IFERROR(VLOOKUP($CH249,tblBD_PatronMasa[[Código Patrón]:[mN-(mpe–U95)]],3,FALSE),"")</f>
        <v/>
      </c>
      <c r="CS249" s="32"/>
      <c r="CU249"/>
      <c r="DC249" s="1"/>
      <c r="DD249" s="1"/>
      <c r="DF249"/>
      <c r="DG249"/>
    </row>
    <row r="250" spans="85:111" x14ac:dyDescent="0.3">
      <c r="CG250" s="38">
        <v>244</v>
      </c>
      <c r="CH250" s="35">
        <f t="shared" si="13"/>
        <v>0</v>
      </c>
      <c r="CI250" s="35" t="str">
        <f>IF(tblTrazabilidad[[#This Row],[Código]]=0,"",IFERROR(IF(SEARCH("JM",tblTrazabilidad[[#This Row],[Código]])&gt;0,"Juego de pesas",),"Pesa"))</f>
        <v/>
      </c>
      <c r="CJ250" s="35" t="str">
        <f>IFERROR(VLOOKUP($CH250,tblBD_PatronMasa[[Código Patrón]:[mN-(mpe–U95)]],2,FALSE),"")</f>
        <v/>
      </c>
      <c r="CK250" s="35" t="str">
        <f>IFERROR(VLOOKUP($CH250,tblBD_PatronMasa[[Código Patrón]:[mN-(mpe–U95)]],13,FALSE),"")</f>
        <v/>
      </c>
      <c r="CL250" s="34" t="str">
        <f>IF(tblTrazabilidad[[#This Row],[Clase]]="F2",IFERROR(IF(VLOOKUP($CH250,tblBD_PatronMasa[[Código Patrón]:[mN-(mpe–U95)]],12,FALSE)=0,"",VLOOKUP($CH250,tblBD_PatronMasa[[Código Patrón]:[mN-(mpe–U95)]],12,FALSE)+731),""),IF(tblTrazabilidad[[#This Row],[Clase]]="F1",IFERROR(IF(VLOOKUP($CH250,tblBD_PatronMasa[[Código Patrón]:[mN-(mpe–U95)]],12,FALSE)=0,"",VLOOKUP($CH250,tblBD_PatronMasa[[Código Patrón]:[mN-(mpe–U95)]],12,FALSE)+731),""),IFERROR(IF(VLOOKUP($CH250,tblBD_PatronMasa[[Código Patrón]:[mN-(mpe–U95)]],12,FALSE)=0,"",VLOOKUP($CH250,tblBD_PatronMasa[[Código Patrón]:[mN-(mpe–U95)]],12,FALSE)+366),"")))</f>
        <v/>
      </c>
      <c r="CM250" s="33" t="str">
        <f>IFERROR(VLOOKUP($CH250,tblBD_PatronMasa[[Código Patrón]:[mN-(mpe–U95)]],3,FALSE),"")</f>
        <v/>
      </c>
      <c r="CS250" s="32"/>
      <c r="CU250"/>
      <c r="DC250" s="1"/>
      <c r="DD250" s="1"/>
      <c r="DF250"/>
      <c r="DG250"/>
    </row>
    <row r="251" spans="85:111" x14ac:dyDescent="0.3">
      <c r="CG251" s="38">
        <v>245</v>
      </c>
      <c r="CH251" s="35">
        <f t="shared" si="13"/>
        <v>0</v>
      </c>
      <c r="CI251" s="35" t="str">
        <f>IF(tblTrazabilidad[[#This Row],[Código]]=0,"",IFERROR(IF(SEARCH("JM",tblTrazabilidad[[#This Row],[Código]])&gt;0,"Juego de pesas",),"Pesa"))</f>
        <v/>
      </c>
      <c r="CJ251" s="35" t="str">
        <f>IFERROR(VLOOKUP($CH251,tblBD_PatronMasa[[Código Patrón]:[mN-(mpe–U95)]],2,FALSE),"")</f>
        <v/>
      </c>
      <c r="CK251" s="35" t="str">
        <f>IFERROR(VLOOKUP($CH251,tblBD_PatronMasa[[Código Patrón]:[mN-(mpe–U95)]],13,FALSE),"")</f>
        <v/>
      </c>
      <c r="CL251" s="34" t="str">
        <f>IF(tblTrazabilidad[[#This Row],[Clase]]="F2",IFERROR(IF(VLOOKUP($CH251,tblBD_PatronMasa[[Código Patrón]:[mN-(mpe–U95)]],12,FALSE)=0,"",VLOOKUP($CH251,tblBD_PatronMasa[[Código Patrón]:[mN-(mpe–U95)]],12,FALSE)+731),""),IF(tblTrazabilidad[[#This Row],[Clase]]="F1",IFERROR(IF(VLOOKUP($CH251,tblBD_PatronMasa[[Código Patrón]:[mN-(mpe–U95)]],12,FALSE)=0,"",VLOOKUP($CH251,tblBD_PatronMasa[[Código Patrón]:[mN-(mpe–U95)]],12,FALSE)+731),""),IFERROR(IF(VLOOKUP($CH251,tblBD_PatronMasa[[Código Patrón]:[mN-(mpe–U95)]],12,FALSE)=0,"",VLOOKUP($CH251,tblBD_PatronMasa[[Código Patrón]:[mN-(mpe–U95)]],12,FALSE)+366),"")))</f>
        <v/>
      </c>
      <c r="CM251" s="33" t="str">
        <f>IFERROR(VLOOKUP($CH251,tblBD_PatronMasa[[Código Patrón]:[mN-(mpe–U95)]],3,FALSE),"")</f>
        <v/>
      </c>
      <c r="CS251" s="32"/>
      <c r="CU251"/>
      <c r="DC251" s="1"/>
      <c r="DD251" s="1"/>
      <c r="DF251"/>
      <c r="DG251"/>
    </row>
    <row r="252" spans="85:111" x14ac:dyDescent="0.3">
      <c r="CG252" s="38">
        <v>246</v>
      </c>
      <c r="CH252" s="35">
        <f t="shared" si="13"/>
        <v>0</v>
      </c>
      <c r="CI252" s="35" t="str">
        <f>IF(tblTrazabilidad[[#This Row],[Código]]=0,"",IFERROR(IF(SEARCH("JM",tblTrazabilidad[[#This Row],[Código]])&gt;0,"Juego de pesas",),"Pesa"))</f>
        <v/>
      </c>
      <c r="CJ252" s="35" t="str">
        <f>IFERROR(VLOOKUP($CH252,tblBD_PatronMasa[[Código Patrón]:[mN-(mpe–U95)]],2,FALSE),"")</f>
        <v/>
      </c>
      <c r="CK252" s="35" t="str">
        <f>IFERROR(VLOOKUP($CH252,tblBD_PatronMasa[[Código Patrón]:[mN-(mpe–U95)]],13,FALSE),"")</f>
        <v/>
      </c>
      <c r="CL252" s="34" t="str">
        <f>IF(tblTrazabilidad[[#This Row],[Clase]]="F2",IFERROR(IF(VLOOKUP($CH252,tblBD_PatronMasa[[Código Patrón]:[mN-(mpe–U95)]],12,FALSE)=0,"",VLOOKUP($CH252,tblBD_PatronMasa[[Código Patrón]:[mN-(mpe–U95)]],12,FALSE)+731),""),IF(tblTrazabilidad[[#This Row],[Clase]]="F1",IFERROR(IF(VLOOKUP($CH252,tblBD_PatronMasa[[Código Patrón]:[mN-(mpe–U95)]],12,FALSE)=0,"",VLOOKUP($CH252,tblBD_PatronMasa[[Código Patrón]:[mN-(mpe–U95)]],12,FALSE)+731),""),IFERROR(IF(VLOOKUP($CH252,tblBD_PatronMasa[[Código Patrón]:[mN-(mpe–U95)]],12,FALSE)=0,"",VLOOKUP($CH252,tblBD_PatronMasa[[Código Patrón]:[mN-(mpe–U95)]],12,FALSE)+366),"")))</f>
        <v/>
      </c>
      <c r="CM252" s="33" t="str">
        <f>IFERROR(VLOOKUP($CH252,tblBD_PatronMasa[[Código Patrón]:[mN-(mpe–U95)]],3,FALSE),"")</f>
        <v/>
      </c>
      <c r="CS252" s="32"/>
      <c r="CU252"/>
      <c r="DC252" s="1"/>
      <c r="DD252" s="1"/>
      <c r="DF252"/>
      <c r="DG252"/>
    </row>
    <row r="253" spans="85:111" x14ac:dyDescent="0.3">
      <c r="CG253" s="38">
        <v>247</v>
      </c>
      <c r="CH253" s="35">
        <f t="shared" si="13"/>
        <v>0</v>
      </c>
      <c r="CI253" s="35" t="str">
        <f>IF(tblTrazabilidad[[#This Row],[Código]]=0,"",IFERROR(IF(SEARCH("JM",tblTrazabilidad[[#This Row],[Código]])&gt;0,"Juego de pesas",),"Pesa"))</f>
        <v/>
      </c>
      <c r="CJ253" s="35" t="str">
        <f>IFERROR(VLOOKUP($CH253,tblBD_PatronMasa[[Código Patrón]:[mN-(mpe–U95)]],2,FALSE),"")</f>
        <v/>
      </c>
      <c r="CK253" s="35" t="str">
        <f>IFERROR(VLOOKUP($CH253,tblBD_PatronMasa[[Código Patrón]:[mN-(mpe–U95)]],13,FALSE),"")</f>
        <v/>
      </c>
      <c r="CL253" s="34" t="str">
        <f>IF(tblTrazabilidad[[#This Row],[Clase]]="F2",IFERROR(IF(VLOOKUP($CH253,tblBD_PatronMasa[[Código Patrón]:[mN-(mpe–U95)]],12,FALSE)=0,"",VLOOKUP($CH253,tblBD_PatronMasa[[Código Patrón]:[mN-(mpe–U95)]],12,FALSE)+731),""),IF(tblTrazabilidad[[#This Row],[Clase]]="F1",IFERROR(IF(VLOOKUP($CH253,tblBD_PatronMasa[[Código Patrón]:[mN-(mpe–U95)]],12,FALSE)=0,"",VLOOKUP($CH253,tblBD_PatronMasa[[Código Patrón]:[mN-(mpe–U95)]],12,FALSE)+731),""),IFERROR(IF(VLOOKUP($CH253,tblBD_PatronMasa[[Código Patrón]:[mN-(mpe–U95)]],12,FALSE)=0,"",VLOOKUP($CH253,tblBD_PatronMasa[[Código Patrón]:[mN-(mpe–U95)]],12,FALSE)+366),"")))</f>
        <v/>
      </c>
      <c r="CM253" s="33" t="str">
        <f>IFERROR(VLOOKUP($CH253,tblBD_PatronMasa[[Código Patrón]:[mN-(mpe–U95)]],3,FALSE),"")</f>
        <v/>
      </c>
      <c r="CS253" s="32"/>
      <c r="CU253"/>
      <c r="DC253" s="1"/>
      <c r="DD253" s="1"/>
      <c r="DF253"/>
      <c r="DG253"/>
    </row>
    <row r="254" spans="85:111" x14ac:dyDescent="0.3">
      <c r="CG254" s="38">
        <v>248</v>
      </c>
      <c r="CH254" s="35">
        <f t="shared" si="13"/>
        <v>0</v>
      </c>
      <c r="CI254" s="35" t="str">
        <f>IF(tblTrazabilidad[[#This Row],[Código]]=0,"",IFERROR(IF(SEARCH("JM",tblTrazabilidad[[#This Row],[Código]])&gt;0,"Juego de pesas",),"Pesa"))</f>
        <v/>
      </c>
      <c r="CJ254" s="35" t="str">
        <f>IFERROR(VLOOKUP($CH254,tblBD_PatronMasa[[Código Patrón]:[mN-(mpe–U95)]],2,FALSE),"")</f>
        <v/>
      </c>
      <c r="CK254" s="35" t="str">
        <f>IFERROR(VLOOKUP($CH254,tblBD_PatronMasa[[Código Patrón]:[mN-(mpe–U95)]],13,FALSE),"")</f>
        <v/>
      </c>
      <c r="CL254" s="34" t="str">
        <f>IF(tblTrazabilidad[[#This Row],[Clase]]="F2",IFERROR(IF(VLOOKUP($CH254,tblBD_PatronMasa[[Código Patrón]:[mN-(mpe–U95)]],12,FALSE)=0,"",VLOOKUP($CH254,tblBD_PatronMasa[[Código Patrón]:[mN-(mpe–U95)]],12,FALSE)+731),""),IF(tblTrazabilidad[[#This Row],[Clase]]="F1",IFERROR(IF(VLOOKUP($CH254,tblBD_PatronMasa[[Código Patrón]:[mN-(mpe–U95)]],12,FALSE)=0,"",VLOOKUP($CH254,tblBD_PatronMasa[[Código Patrón]:[mN-(mpe–U95)]],12,FALSE)+731),""),IFERROR(IF(VLOOKUP($CH254,tblBD_PatronMasa[[Código Patrón]:[mN-(mpe–U95)]],12,FALSE)=0,"",VLOOKUP($CH254,tblBD_PatronMasa[[Código Patrón]:[mN-(mpe–U95)]],12,FALSE)+366),"")))</f>
        <v/>
      </c>
      <c r="CM254" s="33" t="str">
        <f>IFERROR(VLOOKUP($CH254,tblBD_PatronMasa[[Código Patrón]:[mN-(mpe–U95)]],3,FALSE),"")</f>
        <v/>
      </c>
      <c r="CS254" s="32"/>
      <c r="CU254"/>
      <c r="DC254" s="1"/>
      <c r="DD254" s="1"/>
      <c r="DF254"/>
      <c r="DG254"/>
    </row>
    <row r="255" spans="85:111" x14ac:dyDescent="0.3">
      <c r="CG255" s="38">
        <v>249</v>
      </c>
      <c r="CH255" s="35">
        <f t="shared" si="13"/>
        <v>0</v>
      </c>
      <c r="CI255" s="35" t="str">
        <f>IF(tblTrazabilidad[[#This Row],[Código]]=0,"",IFERROR(IF(SEARCH("JM",tblTrazabilidad[[#This Row],[Código]])&gt;0,"Juego de pesas",),"Pesa"))</f>
        <v/>
      </c>
      <c r="CJ255" s="35" t="str">
        <f>IFERROR(VLOOKUP($CH255,tblBD_PatronMasa[[Código Patrón]:[mN-(mpe–U95)]],2,FALSE),"")</f>
        <v/>
      </c>
      <c r="CK255" s="35" t="str">
        <f>IFERROR(VLOOKUP($CH255,tblBD_PatronMasa[[Código Patrón]:[mN-(mpe–U95)]],13,FALSE),"")</f>
        <v/>
      </c>
      <c r="CL255" s="34" t="str">
        <f>IF(tblTrazabilidad[[#This Row],[Clase]]="F2",IFERROR(IF(VLOOKUP($CH255,tblBD_PatronMasa[[Código Patrón]:[mN-(mpe–U95)]],12,FALSE)=0,"",VLOOKUP($CH255,tblBD_PatronMasa[[Código Patrón]:[mN-(mpe–U95)]],12,FALSE)+731),""),IF(tblTrazabilidad[[#This Row],[Clase]]="F1",IFERROR(IF(VLOOKUP($CH255,tblBD_PatronMasa[[Código Patrón]:[mN-(mpe–U95)]],12,FALSE)=0,"",VLOOKUP($CH255,tblBD_PatronMasa[[Código Patrón]:[mN-(mpe–U95)]],12,FALSE)+731),""),IFERROR(IF(VLOOKUP($CH255,tblBD_PatronMasa[[Código Patrón]:[mN-(mpe–U95)]],12,FALSE)=0,"",VLOOKUP($CH255,tblBD_PatronMasa[[Código Patrón]:[mN-(mpe–U95)]],12,FALSE)+366),"")))</f>
        <v/>
      </c>
      <c r="CM255" s="33" t="str">
        <f>IFERROR(VLOOKUP($CH255,tblBD_PatronMasa[[Código Patrón]:[mN-(mpe–U95)]],3,FALSE),"")</f>
        <v/>
      </c>
      <c r="CS255" s="32"/>
      <c r="CU255"/>
      <c r="DC255" s="1"/>
      <c r="DD255" s="1"/>
      <c r="DF255"/>
      <c r="DG255"/>
    </row>
    <row r="256" spans="85:111" x14ac:dyDescent="0.3">
      <c r="CG256" s="38">
        <v>250</v>
      </c>
      <c r="CH256" s="35">
        <f t="shared" si="13"/>
        <v>0</v>
      </c>
      <c r="CI256" s="35" t="str">
        <f>IF(tblTrazabilidad[[#This Row],[Código]]=0,"",IFERROR(IF(SEARCH("JM",tblTrazabilidad[[#This Row],[Código]])&gt;0,"Juego de pesas",),"Pesa"))</f>
        <v/>
      </c>
      <c r="CJ256" s="35" t="str">
        <f>IFERROR(VLOOKUP($CH256,tblBD_PatronMasa[[Código Patrón]:[mN-(mpe–U95)]],2,FALSE),"")</f>
        <v/>
      </c>
      <c r="CK256" s="35" t="str">
        <f>IFERROR(VLOOKUP($CH256,tblBD_PatronMasa[[Código Patrón]:[mN-(mpe–U95)]],13,FALSE),"")</f>
        <v/>
      </c>
      <c r="CL256" s="34" t="str">
        <f>IF(tblTrazabilidad[[#This Row],[Clase]]="F2",IFERROR(IF(VLOOKUP($CH256,tblBD_PatronMasa[[Código Patrón]:[mN-(mpe–U95)]],12,FALSE)=0,"",VLOOKUP($CH256,tblBD_PatronMasa[[Código Patrón]:[mN-(mpe–U95)]],12,FALSE)+731),""),IF(tblTrazabilidad[[#This Row],[Clase]]="F1",IFERROR(IF(VLOOKUP($CH256,tblBD_PatronMasa[[Código Patrón]:[mN-(mpe–U95)]],12,FALSE)=0,"",VLOOKUP($CH256,tblBD_PatronMasa[[Código Patrón]:[mN-(mpe–U95)]],12,FALSE)+731),""),IFERROR(IF(VLOOKUP($CH256,tblBD_PatronMasa[[Código Patrón]:[mN-(mpe–U95)]],12,FALSE)=0,"",VLOOKUP($CH256,tblBD_PatronMasa[[Código Patrón]:[mN-(mpe–U95)]],12,FALSE)+366),"")))</f>
        <v/>
      </c>
      <c r="CM256" s="33" t="str">
        <f>IFERROR(VLOOKUP($CH256,tblBD_PatronMasa[[Código Patrón]:[mN-(mpe–U95)]],3,FALSE),"")</f>
        <v/>
      </c>
      <c r="CS256" s="32"/>
      <c r="CU256"/>
      <c r="DC256" s="1"/>
      <c r="DD256" s="1"/>
      <c r="DF256"/>
      <c r="DG256"/>
    </row>
    <row r="257" spans="85:111" x14ac:dyDescent="0.3">
      <c r="CG257" s="38">
        <v>251</v>
      </c>
      <c r="CH257" s="35">
        <f t="shared" ref="CH257:CH288" si="14">AV5</f>
        <v>0</v>
      </c>
      <c r="CI257" s="35" t="str">
        <f>IF(tblTrazabilidad[[#This Row],[Código]]=0,"",IFERROR(IF(SEARCH("JM",tblTrazabilidad[[#This Row],[Código]])&gt;0,"Juego de pesas",),"Pesa"))</f>
        <v/>
      </c>
      <c r="CJ257" s="35" t="str">
        <f>IFERROR(VLOOKUP($CH257,tblBD_PatronMasa[[Código Patrón]:[mN-(mpe–U95)]],2,FALSE),"")</f>
        <v/>
      </c>
      <c r="CK257" s="35" t="str">
        <f>IFERROR(VLOOKUP($CH257,tblBD_PatronMasa[[Código Patrón]:[mN-(mpe–U95)]],13,FALSE),"")</f>
        <v/>
      </c>
      <c r="CL257" s="34" t="str">
        <f>IF(tblTrazabilidad[[#This Row],[Clase]]="F2",IFERROR(IF(VLOOKUP($CH257,tblBD_PatronMasa[[Código Patrón]:[mN-(mpe–U95)]],12,FALSE)=0,"",VLOOKUP($CH257,tblBD_PatronMasa[[Código Patrón]:[mN-(mpe–U95)]],12,FALSE)+731),""),IF(tblTrazabilidad[[#This Row],[Clase]]="F1",IFERROR(IF(VLOOKUP($CH257,tblBD_PatronMasa[[Código Patrón]:[mN-(mpe–U95)]],12,FALSE)=0,"",VLOOKUP($CH257,tblBD_PatronMasa[[Código Patrón]:[mN-(mpe–U95)]],12,FALSE)+731),""),IFERROR(IF(VLOOKUP($CH257,tblBD_PatronMasa[[Código Patrón]:[mN-(mpe–U95)]],12,FALSE)=0,"",VLOOKUP($CH257,tblBD_PatronMasa[[Código Patrón]:[mN-(mpe–U95)]],12,FALSE)+366),"")))</f>
        <v/>
      </c>
      <c r="CM257" s="33" t="str">
        <f>IFERROR(VLOOKUP($CH257,tblBD_PatronMasa[[Código Patrón]:[mN-(mpe–U95)]],3,FALSE),"")</f>
        <v/>
      </c>
      <c r="CS257" s="32"/>
      <c r="CU257"/>
      <c r="DC257" s="1"/>
      <c r="DD257" s="1"/>
      <c r="DF257"/>
      <c r="DG257"/>
    </row>
    <row r="258" spans="85:111" x14ac:dyDescent="0.3">
      <c r="CG258" s="38">
        <v>252</v>
      </c>
      <c r="CH258" s="35">
        <f t="shared" si="14"/>
        <v>0</v>
      </c>
      <c r="CI258" s="35" t="str">
        <f>IF(tblTrazabilidad[[#This Row],[Código]]=0,"",IFERROR(IF(SEARCH("JM",tblTrazabilidad[[#This Row],[Código]])&gt;0,"Juego de pesas",),"Pesa"))</f>
        <v/>
      </c>
      <c r="CJ258" s="35" t="str">
        <f>IFERROR(VLOOKUP($CH258,tblBD_PatronMasa[[Código Patrón]:[mN-(mpe–U95)]],2,FALSE),"")</f>
        <v/>
      </c>
      <c r="CK258" s="35" t="str">
        <f>IFERROR(VLOOKUP($CH258,tblBD_PatronMasa[[Código Patrón]:[mN-(mpe–U95)]],13,FALSE),"")</f>
        <v/>
      </c>
      <c r="CL258" s="34" t="str">
        <f>IF(tblTrazabilidad[[#This Row],[Clase]]="F2",IFERROR(IF(VLOOKUP($CH258,tblBD_PatronMasa[[Código Patrón]:[mN-(mpe–U95)]],12,FALSE)=0,"",VLOOKUP($CH258,tblBD_PatronMasa[[Código Patrón]:[mN-(mpe–U95)]],12,FALSE)+731),""),IF(tblTrazabilidad[[#This Row],[Clase]]="F1",IFERROR(IF(VLOOKUP($CH258,tblBD_PatronMasa[[Código Patrón]:[mN-(mpe–U95)]],12,FALSE)=0,"",VLOOKUP($CH258,tblBD_PatronMasa[[Código Patrón]:[mN-(mpe–U95)]],12,FALSE)+731),""),IFERROR(IF(VLOOKUP($CH258,tblBD_PatronMasa[[Código Patrón]:[mN-(mpe–U95)]],12,FALSE)=0,"",VLOOKUP($CH258,tblBD_PatronMasa[[Código Patrón]:[mN-(mpe–U95)]],12,FALSE)+366),"")))</f>
        <v/>
      </c>
      <c r="CM258" s="33" t="str">
        <f>IFERROR(VLOOKUP($CH258,tblBD_PatronMasa[[Código Patrón]:[mN-(mpe–U95)]],3,FALSE),"")</f>
        <v/>
      </c>
      <c r="CS258" s="32"/>
      <c r="CU258"/>
      <c r="DC258" s="1"/>
      <c r="DD258" s="1"/>
      <c r="DF258"/>
      <c r="DG258"/>
    </row>
    <row r="259" spans="85:111" x14ac:dyDescent="0.3">
      <c r="CG259" s="38">
        <v>253</v>
      </c>
      <c r="CH259" s="35">
        <f t="shared" si="14"/>
        <v>0</v>
      </c>
      <c r="CI259" s="35" t="str">
        <f>IF(tblTrazabilidad[[#This Row],[Código]]=0,"",IFERROR(IF(SEARCH("JM",tblTrazabilidad[[#This Row],[Código]])&gt;0,"Juego de pesas",),"Pesa"))</f>
        <v/>
      </c>
      <c r="CJ259" s="35" t="str">
        <f>IFERROR(VLOOKUP($CH259,tblBD_PatronMasa[[Código Patrón]:[mN-(mpe–U95)]],2,FALSE),"")</f>
        <v/>
      </c>
      <c r="CK259" s="35" t="str">
        <f>IFERROR(VLOOKUP($CH259,tblBD_PatronMasa[[Código Patrón]:[mN-(mpe–U95)]],13,FALSE),"")</f>
        <v/>
      </c>
      <c r="CL259" s="34" t="str">
        <f>IF(tblTrazabilidad[[#This Row],[Clase]]="F2",IFERROR(IF(VLOOKUP($CH259,tblBD_PatronMasa[[Código Patrón]:[mN-(mpe–U95)]],12,FALSE)=0,"",VLOOKUP($CH259,tblBD_PatronMasa[[Código Patrón]:[mN-(mpe–U95)]],12,FALSE)+731),""),IF(tblTrazabilidad[[#This Row],[Clase]]="F1",IFERROR(IF(VLOOKUP($CH259,tblBD_PatronMasa[[Código Patrón]:[mN-(mpe–U95)]],12,FALSE)=0,"",VLOOKUP($CH259,tblBD_PatronMasa[[Código Patrón]:[mN-(mpe–U95)]],12,FALSE)+731),""),IFERROR(IF(VLOOKUP($CH259,tblBD_PatronMasa[[Código Patrón]:[mN-(mpe–U95)]],12,FALSE)=0,"",VLOOKUP($CH259,tblBD_PatronMasa[[Código Patrón]:[mN-(mpe–U95)]],12,FALSE)+366),"")))</f>
        <v/>
      </c>
      <c r="CM259" s="33" t="str">
        <f>IFERROR(VLOOKUP($CH259,tblBD_PatronMasa[[Código Patrón]:[mN-(mpe–U95)]],3,FALSE),"")</f>
        <v/>
      </c>
      <c r="CS259" s="32"/>
      <c r="CU259"/>
      <c r="DC259" s="1"/>
      <c r="DD259" s="1"/>
      <c r="DF259"/>
      <c r="DG259"/>
    </row>
    <row r="260" spans="85:111" x14ac:dyDescent="0.3">
      <c r="CG260" s="38">
        <v>254</v>
      </c>
      <c r="CH260" s="35">
        <f t="shared" si="14"/>
        <v>0</v>
      </c>
      <c r="CI260" s="35" t="str">
        <f>IF(tblTrazabilidad[[#This Row],[Código]]=0,"",IFERROR(IF(SEARCH("JM",tblTrazabilidad[[#This Row],[Código]])&gt;0,"Juego de pesas",),"Pesa"))</f>
        <v/>
      </c>
      <c r="CJ260" s="35" t="str">
        <f>IFERROR(VLOOKUP($CH260,tblBD_PatronMasa[[Código Patrón]:[mN-(mpe–U95)]],2,FALSE),"")</f>
        <v/>
      </c>
      <c r="CK260" s="35" t="str">
        <f>IFERROR(VLOOKUP($CH260,tblBD_PatronMasa[[Código Patrón]:[mN-(mpe–U95)]],13,FALSE),"")</f>
        <v/>
      </c>
      <c r="CL260" s="34" t="str">
        <f>IF(tblTrazabilidad[[#This Row],[Clase]]="F2",IFERROR(IF(VLOOKUP($CH260,tblBD_PatronMasa[[Código Patrón]:[mN-(mpe–U95)]],12,FALSE)=0,"",VLOOKUP($CH260,tblBD_PatronMasa[[Código Patrón]:[mN-(mpe–U95)]],12,FALSE)+731),""),IF(tblTrazabilidad[[#This Row],[Clase]]="F1",IFERROR(IF(VLOOKUP($CH260,tblBD_PatronMasa[[Código Patrón]:[mN-(mpe–U95)]],12,FALSE)=0,"",VLOOKUP($CH260,tblBD_PatronMasa[[Código Patrón]:[mN-(mpe–U95)]],12,FALSE)+731),""),IFERROR(IF(VLOOKUP($CH260,tblBD_PatronMasa[[Código Patrón]:[mN-(mpe–U95)]],12,FALSE)=0,"",VLOOKUP($CH260,tblBD_PatronMasa[[Código Patrón]:[mN-(mpe–U95)]],12,FALSE)+366),"")))</f>
        <v/>
      </c>
      <c r="CM260" s="33" t="str">
        <f>IFERROR(VLOOKUP($CH260,tblBD_PatronMasa[[Código Patrón]:[mN-(mpe–U95)]],3,FALSE),"")</f>
        <v/>
      </c>
      <c r="CS260" s="32"/>
      <c r="CU260"/>
      <c r="DC260" s="1"/>
      <c r="DD260" s="1"/>
      <c r="DF260"/>
      <c r="DG260"/>
    </row>
    <row r="261" spans="85:111" x14ac:dyDescent="0.3">
      <c r="CG261" s="38">
        <v>255</v>
      </c>
      <c r="CH261" s="35">
        <f t="shared" si="14"/>
        <v>0</v>
      </c>
      <c r="CI261" s="35" t="str">
        <f>IF(tblTrazabilidad[[#This Row],[Código]]=0,"",IFERROR(IF(SEARCH("JM",tblTrazabilidad[[#This Row],[Código]])&gt;0,"Juego de pesas",),"Pesa"))</f>
        <v/>
      </c>
      <c r="CJ261" s="35" t="str">
        <f>IFERROR(VLOOKUP($CH261,tblBD_PatronMasa[[Código Patrón]:[mN-(mpe–U95)]],2,FALSE),"")</f>
        <v/>
      </c>
      <c r="CK261" s="35" t="str">
        <f>IFERROR(VLOOKUP($CH261,tblBD_PatronMasa[[Código Patrón]:[mN-(mpe–U95)]],13,FALSE),"")</f>
        <v/>
      </c>
      <c r="CL261" s="34" t="str">
        <f>IF(tblTrazabilidad[[#This Row],[Clase]]="F2",IFERROR(IF(VLOOKUP($CH261,tblBD_PatronMasa[[Código Patrón]:[mN-(mpe–U95)]],12,FALSE)=0,"",VLOOKUP($CH261,tblBD_PatronMasa[[Código Patrón]:[mN-(mpe–U95)]],12,FALSE)+731),""),IF(tblTrazabilidad[[#This Row],[Clase]]="F1",IFERROR(IF(VLOOKUP($CH261,tblBD_PatronMasa[[Código Patrón]:[mN-(mpe–U95)]],12,FALSE)=0,"",VLOOKUP($CH261,tblBD_PatronMasa[[Código Patrón]:[mN-(mpe–U95)]],12,FALSE)+731),""),IFERROR(IF(VLOOKUP($CH261,tblBD_PatronMasa[[Código Patrón]:[mN-(mpe–U95)]],12,FALSE)=0,"",VLOOKUP($CH261,tblBD_PatronMasa[[Código Patrón]:[mN-(mpe–U95)]],12,FALSE)+366),"")))</f>
        <v/>
      </c>
      <c r="CM261" s="33" t="str">
        <f>IFERROR(VLOOKUP($CH261,tblBD_PatronMasa[[Código Patrón]:[mN-(mpe–U95)]],3,FALSE),"")</f>
        <v/>
      </c>
      <c r="CS261" s="32"/>
      <c r="CU261"/>
      <c r="DC261" s="1"/>
      <c r="DD261" s="1"/>
      <c r="DF261"/>
      <c r="DG261"/>
    </row>
    <row r="262" spans="85:111" x14ac:dyDescent="0.3">
      <c r="CG262" s="38">
        <v>256</v>
      </c>
      <c r="CH262" s="35">
        <f t="shared" si="14"/>
        <v>0</v>
      </c>
      <c r="CI262" s="35" t="str">
        <f>IF(tblTrazabilidad[[#This Row],[Código]]=0,"",IFERROR(IF(SEARCH("JM",tblTrazabilidad[[#This Row],[Código]])&gt;0,"Juego de pesas",),"Pesa"))</f>
        <v/>
      </c>
      <c r="CJ262" s="35" t="str">
        <f>IFERROR(VLOOKUP($CH262,tblBD_PatronMasa[[Código Patrón]:[mN-(mpe–U95)]],2,FALSE),"")</f>
        <v/>
      </c>
      <c r="CK262" s="35" t="str">
        <f>IFERROR(VLOOKUP($CH262,tblBD_PatronMasa[[Código Patrón]:[mN-(mpe–U95)]],13,FALSE),"")</f>
        <v/>
      </c>
      <c r="CL262" s="34" t="str">
        <f>IF(tblTrazabilidad[[#This Row],[Clase]]="F2",IFERROR(IF(VLOOKUP($CH262,tblBD_PatronMasa[[Código Patrón]:[mN-(mpe–U95)]],12,FALSE)=0,"",VLOOKUP($CH262,tblBD_PatronMasa[[Código Patrón]:[mN-(mpe–U95)]],12,FALSE)+731),""),IF(tblTrazabilidad[[#This Row],[Clase]]="F1",IFERROR(IF(VLOOKUP($CH262,tblBD_PatronMasa[[Código Patrón]:[mN-(mpe–U95)]],12,FALSE)=0,"",VLOOKUP($CH262,tblBD_PatronMasa[[Código Patrón]:[mN-(mpe–U95)]],12,FALSE)+731),""),IFERROR(IF(VLOOKUP($CH262,tblBD_PatronMasa[[Código Patrón]:[mN-(mpe–U95)]],12,FALSE)=0,"",VLOOKUP($CH262,tblBD_PatronMasa[[Código Patrón]:[mN-(mpe–U95)]],12,FALSE)+366),"")))</f>
        <v/>
      </c>
      <c r="CM262" s="33" t="str">
        <f>IFERROR(VLOOKUP($CH262,tblBD_PatronMasa[[Código Patrón]:[mN-(mpe–U95)]],3,FALSE),"")</f>
        <v/>
      </c>
      <c r="CS262" s="32"/>
      <c r="CU262"/>
      <c r="DC262" s="1"/>
      <c r="DD262" s="1"/>
      <c r="DF262"/>
      <c r="DG262"/>
    </row>
    <row r="263" spans="85:111" x14ac:dyDescent="0.3">
      <c r="CG263" s="38">
        <v>257</v>
      </c>
      <c r="CH263" s="35">
        <f t="shared" si="14"/>
        <v>0</v>
      </c>
      <c r="CI263" s="35" t="str">
        <f>IF(tblTrazabilidad[[#This Row],[Código]]=0,"",IFERROR(IF(SEARCH("JM",tblTrazabilidad[[#This Row],[Código]])&gt;0,"Juego de pesas",),"Pesa"))</f>
        <v/>
      </c>
      <c r="CJ263" s="35" t="str">
        <f>IFERROR(VLOOKUP($CH263,tblBD_PatronMasa[[Código Patrón]:[mN-(mpe–U95)]],2,FALSE),"")</f>
        <v/>
      </c>
      <c r="CK263" s="35" t="str">
        <f>IFERROR(VLOOKUP($CH263,tblBD_PatronMasa[[Código Patrón]:[mN-(mpe–U95)]],13,FALSE),"")</f>
        <v/>
      </c>
      <c r="CL263" s="34" t="str">
        <f>IF(tblTrazabilidad[[#This Row],[Clase]]="F2",IFERROR(IF(VLOOKUP($CH263,tblBD_PatronMasa[[Código Patrón]:[mN-(mpe–U95)]],12,FALSE)=0,"",VLOOKUP($CH263,tblBD_PatronMasa[[Código Patrón]:[mN-(mpe–U95)]],12,FALSE)+731),""),IF(tblTrazabilidad[[#This Row],[Clase]]="F1",IFERROR(IF(VLOOKUP($CH263,tblBD_PatronMasa[[Código Patrón]:[mN-(mpe–U95)]],12,FALSE)=0,"",VLOOKUP($CH263,tblBD_PatronMasa[[Código Patrón]:[mN-(mpe–U95)]],12,FALSE)+731),""),IFERROR(IF(VLOOKUP($CH263,tblBD_PatronMasa[[Código Patrón]:[mN-(mpe–U95)]],12,FALSE)=0,"",VLOOKUP($CH263,tblBD_PatronMasa[[Código Patrón]:[mN-(mpe–U95)]],12,FALSE)+366),"")))</f>
        <v/>
      </c>
      <c r="CM263" s="33" t="str">
        <f>IFERROR(VLOOKUP($CH263,tblBD_PatronMasa[[Código Patrón]:[mN-(mpe–U95)]],3,FALSE),"")</f>
        <v/>
      </c>
      <c r="CS263" s="32"/>
      <c r="CU263"/>
      <c r="DC263" s="1"/>
      <c r="DD263" s="1"/>
      <c r="DF263"/>
      <c r="DG263"/>
    </row>
    <row r="264" spans="85:111" x14ac:dyDescent="0.3">
      <c r="CG264" s="38">
        <v>258</v>
      </c>
      <c r="CH264" s="35">
        <f t="shared" si="14"/>
        <v>0</v>
      </c>
      <c r="CI264" s="35" t="str">
        <f>IF(tblTrazabilidad[[#This Row],[Código]]=0,"",IFERROR(IF(SEARCH("JM",tblTrazabilidad[[#This Row],[Código]])&gt;0,"Juego de pesas",),"Pesa"))</f>
        <v/>
      </c>
      <c r="CJ264" s="35" t="str">
        <f>IFERROR(VLOOKUP($CH264,tblBD_PatronMasa[[Código Patrón]:[mN-(mpe–U95)]],2,FALSE),"")</f>
        <v/>
      </c>
      <c r="CK264" s="35" t="str">
        <f>IFERROR(VLOOKUP($CH264,tblBD_PatronMasa[[Código Patrón]:[mN-(mpe–U95)]],13,FALSE),"")</f>
        <v/>
      </c>
      <c r="CL264" s="34" t="str">
        <f>IF(tblTrazabilidad[[#This Row],[Clase]]="F2",IFERROR(IF(VLOOKUP($CH264,tblBD_PatronMasa[[Código Patrón]:[mN-(mpe–U95)]],12,FALSE)=0,"",VLOOKUP($CH264,tblBD_PatronMasa[[Código Patrón]:[mN-(mpe–U95)]],12,FALSE)+731),""),IF(tblTrazabilidad[[#This Row],[Clase]]="F1",IFERROR(IF(VLOOKUP($CH264,tblBD_PatronMasa[[Código Patrón]:[mN-(mpe–U95)]],12,FALSE)=0,"",VLOOKUP($CH264,tblBD_PatronMasa[[Código Patrón]:[mN-(mpe–U95)]],12,FALSE)+731),""),IFERROR(IF(VLOOKUP($CH264,tblBD_PatronMasa[[Código Patrón]:[mN-(mpe–U95)]],12,FALSE)=0,"",VLOOKUP($CH264,tblBD_PatronMasa[[Código Patrón]:[mN-(mpe–U95)]],12,FALSE)+366),"")))</f>
        <v/>
      </c>
      <c r="CM264" s="33" t="str">
        <f>IFERROR(VLOOKUP($CH264,tblBD_PatronMasa[[Código Patrón]:[mN-(mpe–U95)]],3,FALSE),"")</f>
        <v/>
      </c>
      <c r="CS264" s="32"/>
      <c r="CU264"/>
      <c r="DC264" s="1"/>
      <c r="DD264" s="1"/>
      <c r="DF264"/>
      <c r="DG264"/>
    </row>
    <row r="265" spans="85:111" x14ac:dyDescent="0.3">
      <c r="CG265" s="38">
        <v>259</v>
      </c>
      <c r="CH265" s="35">
        <f t="shared" si="14"/>
        <v>0</v>
      </c>
      <c r="CI265" s="35" t="str">
        <f>IF(tblTrazabilidad[[#This Row],[Código]]=0,"",IFERROR(IF(SEARCH("JM",tblTrazabilidad[[#This Row],[Código]])&gt;0,"Juego de pesas",),"Pesa"))</f>
        <v/>
      </c>
      <c r="CJ265" s="35" t="str">
        <f>IFERROR(VLOOKUP($CH265,tblBD_PatronMasa[[Código Patrón]:[mN-(mpe–U95)]],2,FALSE),"")</f>
        <v/>
      </c>
      <c r="CK265" s="35" t="str">
        <f>IFERROR(VLOOKUP($CH265,tblBD_PatronMasa[[Código Patrón]:[mN-(mpe–U95)]],13,FALSE),"")</f>
        <v/>
      </c>
      <c r="CL265" s="34" t="str">
        <f>IF(tblTrazabilidad[[#This Row],[Clase]]="F2",IFERROR(IF(VLOOKUP($CH265,tblBD_PatronMasa[[Código Patrón]:[mN-(mpe–U95)]],12,FALSE)=0,"",VLOOKUP($CH265,tblBD_PatronMasa[[Código Patrón]:[mN-(mpe–U95)]],12,FALSE)+731),""),IF(tblTrazabilidad[[#This Row],[Clase]]="F1",IFERROR(IF(VLOOKUP($CH265,tblBD_PatronMasa[[Código Patrón]:[mN-(mpe–U95)]],12,FALSE)=0,"",VLOOKUP($CH265,tblBD_PatronMasa[[Código Patrón]:[mN-(mpe–U95)]],12,FALSE)+731),""),IFERROR(IF(VLOOKUP($CH265,tblBD_PatronMasa[[Código Patrón]:[mN-(mpe–U95)]],12,FALSE)=0,"",VLOOKUP($CH265,tblBD_PatronMasa[[Código Patrón]:[mN-(mpe–U95)]],12,FALSE)+366),"")))</f>
        <v/>
      </c>
      <c r="CM265" s="33" t="str">
        <f>IFERROR(VLOOKUP($CH265,tblBD_PatronMasa[[Código Patrón]:[mN-(mpe–U95)]],3,FALSE),"")</f>
        <v/>
      </c>
      <c r="CS265" s="32"/>
      <c r="CU265"/>
      <c r="DC265" s="1"/>
      <c r="DD265" s="1"/>
      <c r="DF265"/>
      <c r="DG265"/>
    </row>
    <row r="266" spans="85:111" x14ac:dyDescent="0.3">
      <c r="CG266" s="38">
        <v>260</v>
      </c>
      <c r="CH266" s="35">
        <f t="shared" si="14"/>
        <v>0</v>
      </c>
      <c r="CI266" s="35" t="str">
        <f>IF(tblTrazabilidad[[#This Row],[Código]]=0,"",IFERROR(IF(SEARCH("JM",tblTrazabilidad[[#This Row],[Código]])&gt;0,"Juego de pesas",),"Pesa"))</f>
        <v/>
      </c>
      <c r="CJ266" s="35" t="str">
        <f>IFERROR(VLOOKUP($CH266,tblBD_PatronMasa[[Código Patrón]:[mN-(mpe–U95)]],2,FALSE),"")</f>
        <v/>
      </c>
      <c r="CK266" s="35" t="str">
        <f>IFERROR(VLOOKUP($CH266,tblBD_PatronMasa[[Código Patrón]:[mN-(mpe–U95)]],13,FALSE),"")</f>
        <v/>
      </c>
      <c r="CL266" s="34" t="str">
        <f>IF(tblTrazabilidad[[#This Row],[Clase]]="F2",IFERROR(IF(VLOOKUP($CH266,tblBD_PatronMasa[[Código Patrón]:[mN-(mpe–U95)]],12,FALSE)=0,"",VLOOKUP($CH266,tblBD_PatronMasa[[Código Patrón]:[mN-(mpe–U95)]],12,FALSE)+731),""),IF(tblTrazabilidad[[#This Row],[Clase]]="F1",IFERROR(IF(VLOOKUP($CH266,tblBD_PatronMasa[[Código Patrón]:[mN-(mpe–U95)]],12,FALSE)=0,"",VLOOKUP($CH266,tblBD_PatronMasa[[Código Patrón]:[mN-(mpe–U95)]],12,FALSE)+731),""),IFERROR(IF(VLOOKUP($CH266,tblBD_PatronMasa[[Código Patrón]:[mN-(mpe–U95)]],12,FALSE)=0,"",VLOOKUP($CH266,tblBD_PatronMasa[[Código Patrón]:[mN-(mpe–U95)]],12,FALSE)+366),"")))</f>
        <v/>
      </c>
      <c r="CM266" s="33" t="str">
        <f>IFERROR(VLOOKUP($CH266,tblBD_PatronMasa[[Código Patrón]:[mN-(mpe–U95)]],3,FALSE),"")</f>
        <v/>
      </c>
      <c r="CS266" s="32"/>
      <c r="CU266"/>
      <c r="DC266" s="1"/>
      <c r="DD266" s="1"/>
      <c r="DF266"/>
      <c r="DG266"/>
    </row>
    <row r="267" spans="85:111" x14ac:dyDescent="0.3">
      <c r="CG267" s="38">
        <v>261</v>
      </c>
      <c r="CH267" s="35">
        <f t="shared" si="14"/>
        <v>0</v>
      </c>
      <c r="CI267" s="35" t="str">
        <f>IF(tblTrazabilidad[[#This Row],[Código]]=0,"",IFERROR(IF(SEARCH("JM",tblTrazabilidad[[#This Row],[Código]])&gt;0,"Juego de pesas",),"Pesa"))</f>
        <v/>
      </c>
      <c r="CJ267" s="35" t="str">
        <f>IFERROR(VLOOKUP($CH267,tblBD_PatronMasa[[Código Patrón]:[mN-(mpe–U95)]],2,FALSE),"")</f>
        <v/>
      </c>
      <c r="CK267" s="35" t="str">
        <f>IFERROR(VLOOKUP($CH267,tblBD_PatronMasa[[Código Patrón]:[mN-(mpe–U95)]],13,FALSE),"")</f>
        <v/>
      </c>
      <c r="CL267" s="34" t="str">
        <f>IF(tblTrazabilidad[[#This Row],[Clase]]="F2",IFERROR(IF(VLOOKUP($CH267,tblBD_PatronMasa[[Código Patrón]:[mN-(mpe–U95)]],12,FALSE)=0,"",VLOOKUP($CH267,tblBD_PatronMasa[[Código Patrón]:[mN-(mpe–U95)]],12,FALSE)+731),""),IF(tblTrazabilidad[[#This Row],[Clase]]="F1",IFERROR(IF(VLOOKUP($CH267,tblBD_PatronMasa[[Código Patrón]:[mN-(mpe–U95)]],12,FALSE)=0,"",VLOOKUP($CH267,tblBD_PatronMasa[[Código Patrón]:[mN-(mpe–U95)]],12,FALSE)+731),""),IFERROR(IF(VLOOKUP($CH267,tblBD_PatronMasa[[Código Patrón]:[mN-(mpe–U95)]],12,FALSE)=0,"",VLOOKUP($CH267,tblBD_PatronMasa[[Código Patrón]:[mN-(mpe–U95)]],12,FALSE)+366),"")))</f>
        <v/>
      </c>
      <c r="CM267" s="33" t="str">
        <f>IFERROR(VLOOKUP($CH267,tblBD_PatronMasa[[Código Patrón]:[mN-(mpe–U95)]],3,FALSE),"")</f>
        <v/>
      </c>
      <c r="CS267" s="32"/>
      <c r="CU267"/>
      <c r="DC267" s="1"/>
      <c r="DD267" s="1"/>
      <c r="DF267"/>
      <c r="DG267"/>
    </row>
    <row r="268" spans="85:111" x14ac:dyDescent="0.3">
      <c r="CG268" s="38">
        <v>262</v>
      </c>
      <c r="CH268" s="35">
        <f t="shared" si="14"/>
        <v>0</v>
      </c>
      <c r="CI268" s="35" t="str">
        <f>IF(tblTrazabilidad[[#This Row],[Código]]=0,"",IFERROR(IF(SEARCH("JM",tblTrazabilidad[[#This Row],[Código]])&gt;0,"Juego de pesas",),"Pesa"))</f>
        <v/>
      </c>
      <c r="CJ268" s="35" t="str">
        <f>IFERROR(VLOOKUP($CH268,tblBD_PatronMasa[[Código Patrón]:[mN-(mpe–U95)]],2,FALSE),"")</f>
        <v/>
      </c>
      <c r="CK268" s="35" t="str">
        <f>IFERROR(VLOOKUP($CH268,tblBD_PatronMasa[[Código Patrón]:[mN-(mpe–U95)]],13,FALSE),"")</f>
        <v/>
      </c>
      <c r="CL268" s="34" t="str">
        <f>IF(tblTrazabilidad[[#This Row],[Clase]]="F2",IFERROR(IF(VLOOKUP($CH268,tblBD_PatronMasa[[Código Patrón]:[mN-(mpe–U95)]],12,FALSE)=0,"",VLOOKUP($CH268,tblBD_PatronMasa[[Código Patrón]:[mN-(mpe–U95)]],12,FALSE)+731),""),IF(tblTrazabilidad[[#This Row],[Clase]]="F1",IFERROR(IF(VLOOKUP($CH268,tblBD_PatronMasa[[Código Patrón]:[mN-(mpe–U95)]],12,FALSE)=0,"",VLOOKUP($CH268,tblBD_PatronMasa[[Código Patrón]:[mN-(mpe–U95)]],12,FALSE)+731),""),IFERROR(IF(VLOOKUP($CH268,tblBD_PatronMasa[[Código Patrón]:[mN-(mpe–U95)]],12,FALSE)=0,"",VLOOKUP($CH268,tblBD_PatronMasa[[Código Patrón]:[mN-(mpe–U95)]],12,FALSE)+366),"")))</f>
        <v/>
      </c>
      <c r="CM268" s="33" t="str">
        <f>IFERROR(VLOOKUP($CH268,tblBD_PatronMasa[[Código Patrón]:[mN-(mpe–U95)]],3,FALSE),"")</f>
        <v/>
      </c>
      <c r="CS268" s="32"/>
      <c r="CU268"/>
      <c r="DC268" s="1"/>
      <c r="DD268" s="1"/>
      <c r="DF268"/>
      <c r="DG268"/>
    </row>
    <row r="269" spans="85:111" x14ac:dyDescent="0.3">
      <c r="CG269" s="38">
        <v>263</v>
      </c>
      <c r="CH269" s="35">
        <f t="shared" si="14"/>
        <v>0</v>
      </c>
      <c r="CI269" s="35" t="str">
        <f>IF(tblTrazabilidad[[#This Row],[Código]]=0,"",IFERROR(IF(SEARCH("JM",tblTrazabilidad[[#This Row],[Código]])&gt;0,"Juego de pesas",),"Pesa"))</f>
        <v/>
      </c>
      <c r="CJ269" s="35" t="str">
        <f>IFERROR(VLOOKUP($CH269,tblBD_PatronMasa[[Código Patrón]:[mN-(mpe–U95)]],2,FALSE),"")</f>
        <v/>
      </c>
      <c r="CK269" s="35" t="str">
        <f>IFERROR(VLOOKUP($CH269,tblBD_PatronMasa[[Código Patrón]:[mN-(mpe–U95)]],13,FALSE),"")</f>
        <v/>
      </c>
      <c r="CL269" s="34" t="str">
        <f>IF(tblTrazabilidad[[#This Row],[Clase]]="F2",IFERROR(IF(VLOOKUP($CH269,tblBD_PatronMasa[[Código Patrón]:[mN-(mpe–U95)]],12,FALSE)=0,"",VLOOKUP($CH269,tblBD_PatronMasa[[Código Patrón]:[mN-(mpe–U95)]],12,FALSE)+731),""),IF(tblTrazabilidad[[#This Row],[Clase]]="F1",IFERROR(IF(VLOOKUP($CH269,tblBD_PatronMasa[[Código Patrón]:[mN-(mpe–U95)]],12,FALSE)=0,"",VLOOKUP($CH269,tblBD_PatronMasa[[Código Patrón]:[mN-(mpe–U95)]],12,FALSE)+731),""),IFERROR(IF(VLOOKUP($CH269,tblBD_PatronMasa[[Código Patrón]:[mN-(mpe–U95)]],12,FALSE)=0,"",VLOOKUP($CH269,tblBD_PatronMasa[[Código Patrón]:[mN-(mpe–U95)]],12,FALSE)+366),"")))</f>
        <v/>
      </c>
      <c r="CM269" s="33" t="str">
        <f>IFERROR(VLOOKUP($CH269,tblBD_PatronMasa[[Código Patrón]:[mN-(mpe–U95)]],3,FALSE),"")</f>
        <v/>
      </c>
      <c r="CS269" s="32"/>
      <c r="CU269"/>
      <c r="DC269" s="1"/>
      <c r="DD269" s="1"/>
      <c r="DF269"/>
      <c r="DG269"/>
    </row>
    <row r="270" spans="85:111" x14ac:dyDescent="0.3">
      <c r="CG270" s="38">
        <v>264</v>
      </c>
      <c r="CH270" s="35">
        <f t="shared" si="14"/>
        <v>0</v>
      </c>
      <c r="CI270" s="35" t="str">
        <f>IF(tblTrazabilidad[[#This Row],[Código]]=0,"",IFERROR(IF(SEARCH("JM",tblTrazabilidad[[#This Row],[Código]])&gt;0,"Juego de pesas",),"Pesa"))</f>
        <v/>
      </c>
      <c r="CJ270" s="35" t="str">
        <f>IFERROR(VLOOKUP($CH270,tblBD_PatronMasa[[Código Patrón]:[mN-(mpe–U95)]],2,FALSE),"")</f>
        <v/>
      </c>
      <c r="CK270" s="35" t="str">
        <f>IFERROR(VLOOKUP($CH270,tblBD_PatronMasa[[Código Patrón]:[mN-(mpe–U95)]],13,FALSE),"")</f>
        <v/>
      </c>
      <c r="CL270" s="34" t="str">
        <f>IF(tblTrazabilidad[[#This Row],[Clase]]="F2",IFERROR(IF(VLOOKUP($CH270,tblBD_PatronMasa[[Código Patrón]:[mN-(mpe–U95)]],12,FALSE)=0,"",VLOOKUP($CH270,tblBD_PatronMasa[[Código Patrón]:[mN-(mpe–U95)]],12,FALSE)+731),""),IF(tblTrazabilidad[[#This Row],[Clase]]="F1",IFERROR(IF(VLOOKUP($CH270,tblBD_PatronMasa[[Código Patrón]:[mN-(mpe–U95)]],12,FALSE)=0,"",VLOOKUP($CH270,tblBD_PatronMasa[[Código Patrón]:[mN-(mpe–U95)]],12,FALSE)+731),""),IFERROR(IF(VLOOKUP($CH270,tblBD_PatronMasa[[Código Patrón]:[mN-(mpe–U95)]],12,FALSE)=0,"",VLOOKUP($CH270,tblBD_PatronMasa[[Código Patrón]:[mN-(mpe–U95)]],12,FALSE)+366),"")))</f>
        <v/>
      </c>
      <c r="CM270" s="33" t="str">
        <f>IFERROR(VLOOKUP($CH270,tblBD_PatronMasa[[Código Patrón]:[mN-(mpe–U95)]],3,FALSE),"")</f>
        <v/>
      </c>
      <c r="CS270" s="32"/>
      <c r="CU270"/>
      <c r="DC270" s="1"/>
      <c r="DD270" s="1"/>
      <c r="DF270"/>
      <c r="DG270"/>
    </row>
    <row r="271" spans="85:111" x14ac:dyDescent="0.3">
      <c r="CG271" s="38">
        <v>265</v>
      </c>
      <c r="CH271" s="35">
        <f t="shared" si="14"/>
        <v>0</v>
      </c>
      <c r="CI271" s="35" t="str">
        <f>IF(tblTrazabilidad[[#This Row],[Código]]=0,"",IFERROR(IF(SEARCH("JM",tblTrazabilidad[[#This Row],[Código]])&gt;0,"Juego de pesas",),"Pesa"))</f>
        <v/>
      </c>
      <c r="CJ271" s="35" t="str">
        <f>IFERROR(VLOOKUP($CH271,tblBD_PatronMasa[[Código Patrón]:[mN-(mpe–U95)]],2,FALSE),"")</f>
        <v/>
      </c>
      <c r="CK271" s="35" t="str">
        <f>IFERROR(VLOOKUP($CH271,tblBD_PatronMasa[[Código Patrón]:[mN-(mpe–U95)]],13,FALSE),"")</f>
        <v/>
      </c>
      <c r="CL271" s="34" t="str">
        <f>IF(tblTrazabilidad[[#This Row],[Clase]]="F2",IFERROR(IF(VLOOKUP($CH271,tblBD_PatronMasa[[Código Patrón]:[mN-(mpe–U95)]],12,FALSE)=0,"",VLOOKUP($CH271,tblBD_PatronMasa[[Código Patrón]:[mN-(mpe–U95)]],12,FALSE)+731),""),IF(tblTrazabilidad[[#This Row],[Clase]]="F1",IFERROR(IF(VLOOKUP($CH271,tblBD_PatronMasa[[Código Patrón]:[mN-(mpe–U95)]],12,FALSE)=0,"",VLOOKUP($CH271,tblBD_PatronMasa[[Código Patrón]:[mN-(mpe–U95)]],12,FALSE)+731),""),IFERROR(IF(VLOOKUP($CH271,tblBD_PatronMasa[[Código Patrón]:[mN-(mpe–U95)]],12,FALSE)=0,"",VLOOKUP($CH271,tblBD_PatronMasa[[Código Patrón]:[mN-(mpe–U95)]],12,FALSE)+366),"")))</f>
        <v/>
      </c>
      <c r="CM271" s="33" t="str">
        <f>IFERROR(VLOOKUP($CH271,tblBD_PatronMasa[[Código Patrón]:[mN-(mpe–U95)]],3,FALSE),"")</f>
        <v/>
      </c>
      <c r="CS271" s="32"/>
      <c r="CU271"/>
      <c r="DC271" s="1"/>
      <c r="DD271" s="1"/>
      <c r="DF271"/>
      <c r="DG271"/>
    </row>
    <row r="272" spans="85:111" x14ac:dyDescent="0.3">
      <c r="CG272" s="38">
        <v>266</v>
      </c>
      <c r="CH272" s="35">
        <f t="shared" si="14"/>
        <v>0</v>
      </c>
      <c r="CI272" s="35" t="str">
        <f>IF(tblTrazabilidad[[#This Row],[Código]]=0,"",IFERROR(IF(SEARCH("JM",tblTrazabilidad[[#This Row],[Código]])&gt;0,"Juego de pesas",),"Pesa"))</f>
        <v/>
      </c>
      <c r="CJ272" s="35" t="str">
        <f>IFERROR(VLOOKUP($CH272,tblBD_PatronMasa[[Código Patrón]:[mN-(mpe–U95)]],2,FALSE),"")</f>
        <v/>
      </c>
      <c r="CK272" s="35" t="str">
        <f>IFERROR(VLOOKUP($CH272,tblBD_PatronMasa[[Código Patrón]:[mN-(mpe–U95)]],13,FALSE),"")</f>
        <v/>
      </c>
      <c r="CL272" s="34" t="str">
        <f>IF(tblTrazabilidad[[#This Row],[Clase]]="F2",IFERROR(IF(VLOOKUP($CH272,tblBD_PatronMasa[[Código Patrón]:[mN-(mpe–U95)]],12,FALSE)=0,"",VLOOKUP($CH272,tblBD_PatronMasa[[Código Patrón]:[mN-(mpe–U95)]],12,FALSE)+731),""),IF(tblTrazabilidad[[#This Row],[Clase]]="F1",IFERROR(IF(VLOOKUP($CH272,tblBD_PatronMasa[[Código Patrón]:[mN-(mpe–U95)]],12,FALSE)=0,"",VLOOKUP($CH272,tblBD_PatronMasa[[Código Patrón]:[mN-(mpe–U95)]],12,FALSE)+731),""),IFERROR(IF(VLOOKUP($CH272,tblBD_PatronMasa[[Código Patrón]:[mN-(mpe–U95)]],12,FALSE)=0,"",VLOOKUP($CH272,tblBD_PatronMasa[[Código Patrón]:[mN-(mpe–U95)]],12,FALSE)+366),"")))</f>
        <v/>
      </c>
      <c r="CM272" s="33" t="str">
        <f>IFERROR(VLOOKUP($CH272,tblBD_PatronMasa[[Código Patrón]:[mN-(mpe–U95)]],3,FALSE),"")</f>
        <v/>
      </c>
      <c r="CS272" s="32"/>
      <c r="CU272"/>
      <c r="DC272" s="1"/>
      <c r="DD272" s="1"/>
      <c r="DF272"/>
      <c r="DG272"/>
    </row>
    <row r="273" spans="85:111" x14ac:dyDescent="0.3">
      <c r="CG273" s="38">
        <v>267</v>
      </c>
      <c r="CH273" s="35">
        <f t="shared" si="14"/>
        <v>0</v>
      </c>
      <c r="CI273" s="35" t="str">
        <f>IF(tblTrazabilidad[[#This Row],[Código]]=0,"",IFERROR(IF(SEARCH("JM",tblTrazabilidad[[#This Row],[Código]])&gt;0,"Juego de pesas",),"Pesa"))</f>
        <v/>
      </c>
      <c r="CJ273" s="35" t="str">
        <f>IFERROR(VLOOKUP($CH273,tblBD_PatronMasa[[Código Patrón]:[mN-(mpe–U95)]],2,FALSE),"")</f>
        <v/>
      </c>
      <c r="CK273" s="35" t="str">
        <f>IFERROR(VLOOKUP($CH273,tblBD_PatronMasa[[Código Patrón]:[mN-(mpe–U95)]],13,FALSE),"")</f>
        <v/>
      </c>
      <c r="CL273" s="34" t="str">
        <f>IF(tblTrazabilidad[[#This Row],[Clase]]="F2",IFERROR(IF(VLOOKUP($CH273,tblBD_PatronMasa[[Código Patrón]:[mN-(mpe–U95)]],12,FALSE)=0,"",VLOOKUP($CH273,tblBD_PatronMasa[[Código Patrón]:[mN-(mpe–U95)]],12,FALSE)+731),""),IF(tblTrazabilidad[[#This Row],[Clase]]="F1",IFERROR(IF(VLOOKUP($CH273,tblBD_PatronMasa[[Código Patrón]:[mN-(mpe–U95)]],12,FALSE)=0,"",VLOOKUP($CH273,tblBD_PatronMasa[[Código Patrón]:[mN-(mpe–U95)]],12,FALSE)+731),""),IFERROR(IF(VLOOKUP($CH273,tblBD_PatronMasa[[Código Patrón]:[mN-(mpe–U95)]],12,FALSE)=0,"",VLOOKUP($CH273,tblBD_PatronMasa[[Código Patrón]:[mN-(mpe–U95)]],12,FALSE)+366),"")))</f>
        <v/>
      </c>
      <c r="CM273" s="33" t="str">
        <f>IFERROR(VLOOKUP($CH273,tblBD_PatronMasa[[Código Patrón]:[mN-(mpe–U95)]],3,FALSE),"")</f>
        <v/>
      </c>
      <c r="CS273" s="32"/>
      <c r="CU273"/>
      <c r="DC273" s="1"/>
      <c r="DD273" s="1"/>
      <c r="DF273"/>
      <c r="DG273"/>
    </row>
    <row r="274" spans="85:111" x14ac:dyDescent="0.3">
      <c r="CG274" s="38">
        <v>268</v>
      </c>
      <c r="CH274" s="35">
        <f t="shared" si="14"/>
        <v>0</v>
      </c>
      <c r="CI274" s="35" t="str">
        <f>IF(tblTrazabilidad[[#This Row],[Código]]=0,"",IFERROR(IF(SEARCH("JM",tblTrazabilidad[[#This Row],[Código]])&gt;0,"Juego de pesas",),"Pesa"))</f>
        <v/>
      </c>
      <c r="CJ274" s="35" t="str">
        <f>IFERROR(VLOOKUP($CH274,tblBD_PatronMasa[[Código Patrón]:[mN-(mpe–U95)]],2,FALSE),"")</f>
        <v/>
      </c>
      <c r="CK274" s="35" t="str">
        <f>IFERROR(VLOOKUP($CH274,tblBD_PatronMasa[[Código Patrón]:[mN-(mpe–U95)]],13,FALSE),"")</f>
        <v/>
      </c>
      <c r="CL274" s="34" t="str">
        <f>IF(tblTrazabilidad[[#This Row],[Clase]]="F2",IFERROR(IF(VLOOKUP($CH274,tblBD_PatronMasa[[Código Patrón]:[mN-(mpe–U95)]],12,FALSE)=0,"",VLOOKUP($CH274,tblBD_PatronMasa[[Código Patrón]:[mN-(mpe–U95)]],12,FALSE)+731),""),IF(tblTrazabilidad[[#This Row],[Clase]]="F1",IFERROR(IF(VLOOKUP($CH274,tblBD_PatronMasa[[Código Patrón]:[mN-(mpe–U95)]],12,FALSE)=0,"",VLOOKUP($CH274,tblBD_PatronMasa[[Código Patrón]:[mN-(mpe–U95)]],12,FALSE)+731),""),IFERROR(IF(VLOOKUP($CH274,tblBD_PatronMasa[[Código Patrón]:[mN-(mpe–U95)]],12,FALSE)=0,"",VLOOKUP($CH274,tblBD_PatronMasa[[Código Patrón]:[mN-(mpe–U95)]],12,FALSE)+366),"")))</f>
        <v/>
      </c>
      <c r="CM274" s="33" t="str">
        <f>IFERROR(VLOOKUP($CH274,tblBD_PatronMasa[[Código Patrón]:[mN-(mpe–U95)]],3,FALSE),"")</f>
        <v/>
      </c>
      <c r="CS274" s="32"/>
      <c r="CU274"/>
      <c r="DC274" s="1"/>
      <c r="DD274" s="1"/>
      <c r="DF274"/>
      <c r="DG274"/>
    </row>
    <row r="275" spans="85:111" x14ac:dyDescent="0.3">
      <c r="CG275" s="38">
        <v>269</v>
      </c>
      <c r="CH275" s="35">
        <f t="shared" si="14"/>
        <v>0</v>
      </c>
      <c r="CI275" s="35" t="str">
        <f>IF(tblTrazabilidad[[#This Row],[Código]]=0,"",IFERROR(IF(SEARCH("JM",tblTrazabilidad[[#This Row],[Código]])&gt;0,"Juego de pesas",),"Pesa"))</f>
        <v/>
      </c>
      <c r="CJ275" s="35" t="str">
        <f>IFERROR(VLOOKUP($CH275,tblBD_PatronMasa[[Código Patrón]:[mN-(mpe–U95)]],2,FALSE),"")</f>
        <v/>
      </c>
      <c r="CK275" s="35" t="str">
        <f>IFERROR(VLOOKUP($CH275,tblBD_PatronMasa[[Código Patrón]:[mN-(mpe–U95)]],13,FALSE),"")</f>
        <v/>
      </c>
      <c r="CL275" s="34" t="str">
        <f>IF(tblTrazabilidad[[#This Row],[Clase]]="F2",IFERROR(IF(VLOOKUP($CH275,tblBD_PatronMasa[[Código Patrón]:[mN-(mpe–U95)]],12,FALSE)=0,"",VLOOKUP($CH275,tblBD_PatronMasa[[Código Patrón]:[mN-(mpe–U95)]],12,FALSE)+731),""),IF(tblTrazabilidad[[#This Row],[Clase]]="F1",IFERROR(IF(VLOOKUP($CH275,tblBD_PatronMasa[[Código Patrón]:[mN-(mpe–U95)]],12,FALSE)=0,"",VLOOKUP($CH275,tblBD_PatronMasa[[Código Patrón]:[mN-(mpe–U95)]],12,FALSE)+731),""),IFERROR(IF(VLOOKUP($CH275,tblBD_PatronMasa[[Código Patrón]:[mN-(mpe–U95)]],12,FALSE)=0,"",VLOOKUP($CH275,tblBD_PatronMasa[[Código Patrón]:[mN-(mpe–U95)]],12,FALSE)+366),"")))</f>
        <v/>
      </c>
      <c r="CM275" s="33" t="str">
        <f>IFERROR(VLOOKUP($CH275,tblBD_PatronMasa[[Código Patrón]:[mN-(mpe–U95)]],3,FALSE),"")</f>
        <v/>
      </c>
      <c r="CS275" s="32"/>
      <c r="CU275"/>
      <c r="DC275" s="1"/>
      <c r="DD275" s="1"/>
      <c r="DF275"/>
      <c r="DG275"/>
    </row>
    <row r="276" spans="85:111" x14ac:dyDescent="0.3">
      <c r="CG276" s="38">
        <v>270</v>
      </c>
      <c r="CH276" s="35">
        <f t="shared" si="14"/>
        <v>0</v>
      </c>
      <c r="CI276" s="35" t="str">
        <f>IF(tblTrazabilidad[[#This Row],[Código]]=0,"",IFERROR(IF(SEARCH("JM",tblTrazabilidad[[#This Row],[Código]])&gt;0,"Juego de pesas",),"Pesa"))</f>
        <v/>
      </c>
      <c r="CJ276" s="35" t="str">
        <f>IFERROR(VLOOKUP($CH276,tblBD_PatronMasa[[Código Patrón]:[mN-(mpe–U95)]],2,FALSE),"")</f>
        <v/>
      </c>
      <c r="CK276" s="35" t="str">
        <f>IFERROR(VLOOKUP($CH276,tblBD_PatronMasa[[Código Patrón]:[mN-(mpe–U95)]],13,FALSE),"")</f>
        <v/>
      </c>
      <c r="CL276" s="34" t="str">
        <f>IF(tblTrazabilidad[[#This Row],[Clase]]="F2",IFERROR(IF(VLOOKUP($CH276,tblBD_PatronMasa[[Código Patrón]:[mN-(mpe–U95)]],12,FALSE)=0,"",VLOOKUP($CH276,tblBD_PatronMasa[[Código Patrón]:[mN-(mpe–U95)]],12,FALSE)+731),""),IF(tblTrazabilidad[[#This Row],[Clase]]="F1",IFERROR(IF(VLOOKUP($CH276,tblBD_PatronMasa[[Código Patrón]:[mN-(mpe–U95)]],12,FALSE)=0,"",VLOOKUP($CH276,tblBD_PatronMasa[[Código Patrón]:[mN-(mpe–U95)]],12,FALSE)+731),""),IFERROR(IF(VLOOKUP($CH276,tblBD_PatronMasa[[Código Patrón]:[mN-(mpe–U95)]],12,FALSE)=0,"",VLOOKUP($CH276,tblBD_PatronMasa[[Código Patrón]:[mN-(mpe–U95)]],12,FALSE)+366),"")))</f>
        <v/>
      </c>
      <c r="CM276" s="33" t="str">
        <f>IFERROR(VLOOKUP($CH276,tblBD_PatronMasa[[Código Patrón]:[mN-(mpe–U95)]],3,FALSE),"")</f>
        <v/>
      </c>
      <c r="CS276" s="32"/>
      <c r="CU276"/>
      <c r="DC276" s="1"/>
      <c r="DD276" s="1"/>
      <c r="DF276"/>
      <c r="DG276"/>
    </row>
    <row r="277" spans="85:111" x14ac:dyDescent="0.3">
      <c r="CG277" s="38">
        <v>271</v>
      </c>
      <c r="CH277" s="35">
        <f t="shared" si="14"/>
        <v>0</v>
      </c>
      <c r="CI277" s="35" t="str">
        <f>IF(tblTrazabilidad[[#This Row],[Código]]=0,"",IFERROR(IF(SEARCH("JM",tblTrazabilidad[[#This Row],[Código]])&gt;0,"Juego de pesas",),"Pesa"))</f>
        <v/>
      </c>
      <c r="CJ277" s="35" t="str">
        <f>IFERROR(VLOOKUP($CH277,tblBD_PatronMasa[[Código Patrón]:[mN-(mpe–U95)]],2,FALSE),"")</f>
        <v/>
      </c>
      <c r="CK277" s="35" t="str">
        <f>IFERROR(VLOOKUP($CH277,tblBD_PatronMasa[[Código Patrón]:[mN-(mpe–U95)]],13,FALSE),"")</f>
        <v/>
      </c>
      <c r="CL277" s="34" t="str">
        <f>IF(tblTrazabilidad[[#This Row],[Clase]]="F2",IFERROR(IF(VLOOKUP($CH277,tblBD_PatronMasa[[Código Patrón]:[mN-(mpe–U95)]],12,FALSE)=0,"",VLOOKUP($CH277,tblBD_PatronMasa[[Código Patrón]:[mN-(mpe–U95)]],12,FALSE)+731),""),IF(tblTrazabilidad[[#This Row],[Clase]]="F1",IFERROR(IF(VLOOKUP($CH277,tblBD_PatronMasa[[Código Patrón]:[mN-(mpe–U95)]],12,FALSE)=0,"",VLOOKUP($CH277,tblBD_PatronMasa[[Código Patrón]:[mN-(mpe–U95)]],12,FALSE)+731),""),IFERROR(IF(VLOOKUP($CH277,tblBD_PatronMasa[[Código Patrón]:[mN-(mpe–U95)]],12,FALSE)=0,"",VLOOKUP($CH277,tblBD_PatronMasa[[Código Patrón]:[mN-(mpe–U95)]],12,FALSE)+366),"")))</f>
        <v/>
      </c>
      <c r="CM277" s="33" t="str">
        <f>IFERROR(VLOOKUP($CH277,tblBD_PatronMasa[[Código Patrón]:[mN-(mpe–U95)]],3,FALSE),"")</f>
        <v/>
      </c>
      <c r="CS277" s="32"/>
      <c r="CU277"/>
      <c r="DC277" s="1"/>
      <c r="DD277" s="1"/>
      <c r="DF277"/>
      <c r="DG277"/>
    </row>
    <row r="278" spans="85:111" x14ac:dyDescent="0.3">
      <c r="CG278" s="38">
        <v>272</v>
      </c>
      <c r="CH278" s="35">
        <f t="shared" si="14"/>
        <v>0</v>
      </c>
      <c r="CI278" s="35" t="str">
        <f>IF(tblTrazabilidad[[#This Row],[Código]]=0,"",IFERROR(IF(SEARCH("JM",tblTrazabilidad[[#This Row],[Código]])&gt;0,"Juego de pesas",),"Pesa"))</f>
        <v/>
      </c>
      <c r="CJ278" s="35" t="str">
        <f>IFERROR(VLOOKUP($CH278,tblBD_PatronMasa[[Código Patrón]:[mN-(mpe–U95)]],2,FALSE),"")</f>
        <v/>
      </c>
      <c r="CK278" s="35" t="str">
        <f>IFERROR(VLOOKUP($CH278,tblBD_PatronMasa[[Código Patrón]:[mN-(mpe–U95)]],13,FALSE),"")</f>
        <v/>
      </c>
      <c r="CL278" s="34" t="str">
        <f>IF(tblTrazabilidad[[#This Row],[Clase]]="F2",IFERROR(IF(VLOOKUP($CH278,tblBD_PatronMasa[[Código Patrón]:[mN-(mpe–U95)]],12,FALSE)=0,"",VLOOKUP($CH278,tblBD_PatronMasa[[Código Patrón]:[mN-(mpe–U95)]],12,FALSE)+731),""),IF(tblTrazabilidad[[#This Row],[Clase]]="F1",IFERROR(IF(VLOOKUP($CH278,tblBD_PatronMasa[[Código Patrón]:[mN-(mpe–U95)]],12,FALSE)=0,"",VLOOKUP($CH278,tblBD_PatronMasa[[Código Patrón]:[mN-(mpe–U95)]],12,FALSE)+731),""),IFERROR(IF(VLOOKUP($CH278,tblBD_PatronMasa[[Código Patrón]:[mN-(mpe–U95)]],12,FALSE)=0,"",VLOOKUP($CH278,tblBD_PatronMasa[[Código Patrón]:[mN-(mpe–U95)]],12,FALSE)+366),"")))</f>
        <v/>
      </c>
      <c r="CM278" s="33" t="str">
        <f>IFERROR(VLOOKUP($CH278,tblBD_PatronMasa[[Código Patrón]:[mN-(mpe–U95)]],3,FALSE),"")</f>
        <v/>
      </c>
      <c r="CS278" s="32"/>
      <c r="CU278"/>
      <c r="DC278" s="1"/>
      <c r="DD278" s="1"/>
      <c r="DF278"/>
      <c r="DG278"/>
    </row>
    <row r="279" spans="85:111" x14ac:dyDescent="0.3">
      <c r="CG279" s="38">
        <v>273</v>
      </c>
      <c r="CH279" s="35">
        <f t="shared" si="14"/>
        <v>0</v>
      </c>
      <c r="CI279" s="35" t="str">
        <f>IF(tblTrazabilidad[[#This Row],[Código]]=0,"",IFERROR(IF(SEARCH("JM",tblTrazabilidad[[#This Row],[Código]])&gt;0,"Juego de pesas",),"Pesa"))</f>
        <v/>
      </c>
      <c r="CJ279" s="35" t="str">
        <f>IFERROR(VLOOKUP($CH279,tblBD_PatronMasa[[Código Patrón]:[mN-(mpe–U95)]],2,FALSE),"")</f>
        <v/>
      </c>
      <c r="CK279" s="35" t="str">
        <f>IFERROR(VLOOKUP($CH279,tblBD_PatronMasa[[Código Patrón]:[mN-(mpe–U95)]],13,FALSE),"")</f>
        <v/>
      </c>
      <c r="CL279" s="34" t="str">
        <f>IF(tblTrazabilidad[[#This Row],[Clase]]="F2",IFERROR(IF(VLOOKUP($CH279,tblBD_PatronMasa[[Código Patrón]:[mN-(mpe–U95)]],12,FALSE)=0,"",VLOOKUP($CH279,tblBD_PatronMasa[[Código Patrón]:[mN-(mpe–U95)]],12,FALSE)+731),""),IF(tblTrazabilidad[[#This Row],[Clase]]="F1",IFERROR(IF(VLOOKUP($CH279,tblBD_PatronMasa[[Código Patrón]:[mN-(mpe–U95)]],12,FALSE)=0,"",VLOOKUP($CH279,tblBD_PatronMasa[[Código Patrón]:[mN-(mpe–U95)]],12,FALSE)+731),""),IFERROR(IF(VLOOKUP($CH279,tblBD_PatronMasa[[Código Patrón]:[mN-(mpe–U95)]],12,FALSE)=0,"",VLOOKUP($CH279,tblBD_PatronMasa[[Código Patrón]:[mN-(mpe–U95)]],12,FALSE)+366),"")))</f>
        <v/>
      </c>
      <c r="CM279" s="33" t="str">
        <f>IFERROR(VLOOKUP($CH279,tblBD_PatronMasa[[Código Patrón]:[mN-(mpe–U95)]],3,FALSE),"")</f>
        <v/>
      </c>
      <c r="CS279" s="32"/>
      <c r="CU279"/>
      <c r="DC279" s="1"/>
      <c r="DD279" s="1"/>
      <c r="DF279"/>
      <c r="DG279"/>
    </row>
    <row r="280" spans="85:111" x14ac:dyDescent="0.3">
      <c r="CG280" s="38">
        <v>274</v>
      </c>
      <c r="CH280" s="35">
        <f t="shared" si="14"/>
        <v>0</v>
      </c>
      <c r="CI280" s="35" t="str">
        <f>IF(tblTrazabilidad[[#This Row],[Código]]=0,"",IFERROR(IF(SEARCH("JM",tblTrazabilidad[[#This Row],[Código]])&gt;0,"Juego de pesas",),"Pesa"))</f>
        <v/>
      </c>
      <c r="CJ280" s="35" t="str">
        <f>IFERROR(VLOOKUP($CH280,tblBD_PatronMasa[[Código Patrón]:[mN-(mpe–U95)]],2,FALSE),"")</f>
        <v/>
      </c>
      <c r="CK280" s="35" t="str">
        <f>IFERROR(VLOOKUP($CH280,tblBD_PatronMasa[[Código Patrón]:[mN-(mpe–U95)]],13,FALSE),"")</f>
        <v/>
      </c>
      <c r="CL280" s="34" t="str">
        <f>IF(tblTrazabilidad[[#This Row],[Clase]]="F2",IFERROR(IF(VLOOKUP($CH280,tblBD_PatronMasa[[Código Patrón]:[mN-(mpe–U95)]],12,FALSE)=0,"",VLOOKUP($CH280,tblBD_PatronMasa[[Código Patrón]:[mN-(mpe–U95)]],12,FALSE)+731),""),IF(tblTrazabilidad[[#This Row],[Clase]]="F1",IFERROR(IF(VLOOKUP($CH280,tblBD_PatronMasa[[Código Patrón]:[mN-(mpe–U95)]],12,FALSE)=0,"",VLOOKUP($CH280,tblBD_PatronMasa[[Código Patrón]:[mN-(mpe–U95)]],12,FALSE)+731),""),IFERROR(IF(VLOOKUP($CH280,tblBD_PatronMasa[[Código Patrón]:[mN-(mpe–U95)]],12,FALSE)=0,"",VLOOKUP($CH280,tblBD_PatronMasa[[Código Patrón]:[mN-(mpe–U95)]],12,FALSE)+366),"")))</f>
        <v/>
      </c>
      <c r="CM280" s="33" t="str">
        <f>IFERROR(VLOOKUP($CH280,tblBD_PatronMasa[[Código Patrón]:[mN-(mpe–U95)]],3,FALSE),"")</f>
        <v/>
      </c>
      <c r="CS280" s="32"/>
      <c r="CU280"/>
      <c r="DC280" s="1"/>
      <c r="DD280" s="1"/>
      <c r="DF280"/>
      <c r="DG280"/>
    </row>
    <row r="281" spans="85:111" x14ac:dyDescent="0.3">
      <c r="CG281" s="38">
        <v>275</v>
      </c>
      <c r="CH281" s="35">
        <f t="shared" si="14"/>
        <v>0</v>
      </c>
      <c r="CI281" s="35" t="str">
        <f>IF(tblTrazabilidad[[#This Row],[Código]]=0,"",IFERROR(IF(SEARCH("JM",tblTrazabilidad[[#This Row],[Código]])&gt;0,"Juego de pesas",),"Pesa"))</f>
        <v/>
      </c>
      <c r="CJ281" s="35" t="str">
        <f>IFERROR(VLOOKUP($CH281,tblBD_PatronMasa[[Código Patrón]:[mN-(mpe–U95)]],2,FALSE),"")</f>
        <v/>
      </c>
      <c r="CK281" s="35" t="str">
        <f>IFERROR(VLOOKUP($CH281,tblBD_PatronMasa[[Código Patrón]:[mN-(mpe–U95)]],13,FALSE),"")</f>
        <v/>
      </c>
      <c r="CL281" s="34" t="str">
        <f>IF(tblTrazabilidad[[#This Row],[Clase]]="F2",IFERROR(IF(VLOOKUP($CH281,tblBD_PatronMasa[[Código Patrón]:[mN-(mpe–U95)]],12,FALSE)=0,"",VLOOKUP($CH281,tblBD_PatronMasa[[Código Patrón]:[mN-(mpe–U95)]],12,FALSE)+731),""),IF(tblTrazabilidad[[#This Row],[Clase]]="F1",IFERROR(IF(VLOOKUP($CH281,tblBD_PatronMasa[[Código Patrón]:[mN-(mpe–U95)]],12,FALSE)=0,"",VLOOKUP($CH281,tblBD_PatronMasa[[Código Patrón]:[mN-(mpe–U95)]],12,FALSE)+731),""),IFERROR(IF(VLOOKUP($CH281,tblBD_PatronMasa[[Código Patrón]:[mN-(mpe–U95)]],12,FALSE)=0,"",VLOOKUP($CH281,tblBD_PatronMasa[[Código Patrón]:[mN-(mpe–U95)]],12,FALSE)+366),"")))</f>
        <v/>
      </c>
      <c r="CM281" s="33" t="str">
        <f>IFERROR(VLOOKUP($CH281,tblBD_PatronMasa[[Código Patrón]:[mN-(mpe–U95)]],3,FALSE),"")</f>
        <v/>
      </c>
      <c r="CS281" s="32"/>
      <c r="CU281"/>
      <c r="DC281" s="1"/>
      <c r="DD281" s="1"/>
      <c r="DF281"/>
      <c r="DG281"/>
    </row>
    <row r="282" spans="85:111" x14ac:dyDescent="0.3">
      <c r="CG282" s="38">
        <v>276</v>
      </c>
      <c r="CH282" s="35">
        <f t="shared" si="14"/>
        <v>0</v>
      </c>
      <c r="CI282" s="35" t="str">
        <f>IF(tblTrazabilidad[[#This Row],[Código]]=0,"",IFERROR(IF(SEARCH("JM",tblTrazabilidad[[#This Row],[Código]])&gt;0,"Juego de pesas",),"Pesa"))</f>
        <v/>
      </c>
      <c r="CJ282" s="35" t="str">
        <f>IFERROR(VLOOKUP($CH282,tblBD_PatronMasa[[Código Patrón]:[mN-(mpe–U95)]],2,FALSE),"")</f>
        <v/>
      </c>
      <c r="CK282" s="35" t="str">
        <f>IFERROR(VLOOKUP($CH282,tblBD_PatronMasa[[Código Patrón]:[mN-(mpe–U95)]],13,FALSE),"")</f>
        <v/>
      </c>
      <c r="CL282" s="34" t="str">
        <f>IF(tblTrazabilidad[[#This Row],[Clase]]="F2",IFERROR(IF(VLOOKUP($CH282,tblBD_PatronMasa[[Código Patrón]:[mN-(mpe–U95)]],12,FALSE)=0,"",VLOOKUP($CH282,tblBD_PatronMasa[[Código Patrón]:[mN-(mpe–U95)]],12,FALSE)+731),""),IF(tblTrazabilidad[[#This Row],[Clase]]="F1",IFERROR(IF(VLOOKUP($CH282,tblBD_PatronMasa[[Código Patrón]:[mN-(mpe–U95)]],12,FALSE)=0,"",VLOOKUP($CH282,tblBD_PatronMasa[[Código Patrón]:[mN-(mpe–U95)]],12,FALSE)+731),""),IFERROR(IF(VLOOKUP($CH282,tblBD_PatronMasa[[Código Patrón]:[mN-(mpe–U95)]],12,FALSE)=0,"",VLOOKUP($CH282,tblBD_PatronMasa[[Código Patrón]:[mN-(mpe–U95)]],12,FALSE)+366),"")))</f>
        <v/>
      </c>
      <c r="CM282" s="33" t="str">
        <f>IFERROR(VLOOKUP($CH282,tblBD_PatronMasa[[Código Patrón]:[mN-(mpe–U95)]],3,FALSE),"")</f>
        <v/>
      </c>
      <c r="CS282" s="32"/>
      <c r="CU282"/>
      <c r="DC282" s="1"/>
      <c r="DD282" s="1"/>
      <c r="DF282"/>
      <c r="DG282"/>
    </row>
    <row r="283" spans="85:111" x14ac:dyDescent="0.3">
      <c r="CG283" s="38">
        <v>277</v>
      </c>
      <c r="CH283" s="35">
        <f t="shared" si="14"/>
        <v>0</v>
      </c>
      <c r="CI283" s="35" t="str">
        <f>IF(tblTrazabilidad[[#This Row],[Código]]=0,"",IFERROR(IF(SEARCH("JM",tblTrazabilidad[[#This Row],[Código]])&gt;0,"Juego de pesas",),"Pesa"))</f>
        <v/>
      </c>
      <c r="CJ283" s="35" t="str">
        <f>IFERROR(VLOOKUP($CH283,tblBD_PatronMasa[[Código Patrón]:[mN-(mpe–U95)]],2,FALSE),"")</f>
        <v/>
      </c>
      <c r="CK283" s="35" t="str">
        <f>IFERROR(VLOOKUP($CH283,tblBD_PatronMasa[[Código Patrón]:[mN-(mpe–U95)]],13,FALSE),"")</f>
        <v/>
      </c>
      <c r="CL283" s="34" t="str">
        <f>IF(tblTrazabilidad[[#This Row],[Clase]]="F2",IFERROR(IF(VLOOKUP($CH283,tblBD_PatronMasa[[Código Patrón]:[mN-(mpe–U95)]],12,FALSE)=0,"",VLOOKUP($CH283,tblBD_PatronMasa[[Código Patrón]:[mN-(mpe–U95)]],12,FALSE)+731),""),IF(tblTrazabilidad[[#This Row],[Clase]]="F1",IFERROR(IF(VLOOKUP($CH283,tblBD_PatronMasa[[Código Patrón]:[mN-(mpe–U95)]],12,FALSE)=0,"",VLOOKUP($CH283,tblBD_PatronMasa[[Código Patrón]:[mN-(mpe–U95)]],12,FALSE)+731),""),IFERROR(IF(VLOOKUP($CH283,tblBD_PatronMasa[[Código Patrón]:[mN-(mpe–U95)]],12,FALSE)=0,"",VLOOKUP($CH283,tblBD_PatronMasa[[Código Patrón]:[mN-(mpe–U95)]],12,FALSE)+366),"")))</f>
        <v/>
      </c>
      <c r="CM283" s="33" t="str">
        <f>IFERROR(VLOOKUP($CH283,tblBD_PatronMasa[[Código Patrón]:[mN-(mpe–U95)]],3,FALSE),"")</f>
        <v/>
      </c>
      <c r="CS283" s="32"/>
      <c r="CU283"/>
      <c r="DC283" s="1"/>
      <c r="DD283" s="1"/>
      <c r="DF283"/>
      <c r="DG283"/>
    </row>
    <row r="284" spans="85:111" x14ac:dyDescent="0.3">
      <c r="CG284" s="38">
        <v>278</v>
      </c>
      <c r="CH284" s="35">
        <f t="shared" si="14"/>
        <v>0</v>
      </c>
      <c r="CI284" s="35" t="str">
        <f>IF(tblTrazabilidad[[#This Row],[Código]]=0,"",IFERROR(IF(SEARCH("JM",tblTrazabilidad[[#This Row],[Código]])&gt;0,"Juego de pesas",),"Pesa"))</f>
        <v/>
      </c>
      <c r="CJ284" s="35" t="str">
        <f>IFERROR(VLOOKUP($CH284,tblBD_PatronMasa[[Código Patrón]:[mN-(mpe–U95)]],2,FALSE),"")</f>
        <v/>
      </c>
      <c r="CK284" s="35" t="str">
        <f>IFERROR(VLOOKUP($CH284,tblBD_PatronMasa[[Código Patrón]:[mN-(mpe–U95)]],13,FALSE),"")</f>
        <v/>
      </c>
      <c r="CL284" s="34" t="str">
        <f>IF(tblTrazabilidad[[#This Row],[Clase]]="F2",IFERROR(IF(VLOOKUP($CH284,tblBD_PatronMasa[[Código Patrón]:[mN-(mpe–U95)]],12,FALSE)=0,"",VLOOKUP($CH284,tblBD_PatronMasa[[Código Patrón]:[mN-(mpe–U95)]],12,FALSE)+731),""),IF(tblTrazabilidad[[#This Row],[Clase]]="F1",IFERROR(IF(VLOOKUP($CH284,tblBD_PatronMasa[[Código Patrón]:[mN-(mpe–U95)]],12,FALSE)=0,"",VLOOKUP($CH284,tblBD_PatronMasa[[Código Patrón]:[mN-(mpe–U95)]],12,FALSE)+731),""),IFERROR(IF(VLOOKUP($CH284,tblBD_PatronMasa[[Código Patrón]:[mN-(mpe–U95)]],12,FALSE)=0,"",VLOOKUP($CH284,tblBD_PatronMasa[[Código Patrón]:[mN-(mpe–U95)]],12,FALSE)+366),"")))</f>
        <v/>
      </c>
      <c r="CM284" s="33" t="str">
        <f>IFERROR(VLOOKUP($CH284,tblBD_PatronMasa[[Código Patrón]:[mN-(mpe–U95)]],3,FALSE),"")</f>
        <v/>
      </c>
      <c r="CS284" s="32"/>
      <c r="CU284"/>
      <c r="DC284" s="1"/>
      <c r="DD284" s="1"/>
      <c r="DF284"/>
      <c r="DG284"/>
    </row>
    <row r="285" spans="85:111" x14ac:dyDescent="0.3">
      <c r="CG285" s="38">
        <v>279</v>
      </c>
      <c r="CH285" s="35">
        <f t="shared" si="14"/>
        <v>0</v>
      </c>
      <c r="CI285" s="35" t="str">
        <f>IF(tblTrazabilidad[[#This Row],[Código]]=0,"",IFERROR(IF(SEARCH("JM",tblTrazabilidad[[#This Row],[Código]])&gt;0,"Juego de pesas",),"Pesa"))</f>
        <v/>
      </c>
      <c r="CJ285" s="35" t="str">
        <f>IFERROR(VLOOKUP($CH285,tblBD_PatronMasa[[Código Patrón]:[mN-(mpe–U95)]],2,FALSE),"")</f>
        <v/>
      </c>
      <c r="CK285" s="35" t="str">
        <f>IFERROR(VLOOKUP($CH285,tblBD_PatronMasa[[Código Patrón]:[mN-(mpe–U95)]],13,FALSE),"")</f>
        <v/>
      </c>
      <c r="CL285" s="34" t="str">
        <f>IF(tblTrazabilidad[[#This Row],[Clase]]="F2",IFERROR(IF(VLOOKUP($CH285,tblBD_PatronMasa[[Código Patrón]:[mN-(mpe–U95)]],12,FALSE)=0,"",VLOOKUP($CH285,tblBD_PatronMasa[[Código Patrón]:[mN-(mpe–U95)]],12,FALSE)+731),""),IF(tblTrazabilidad[[#This Row],[Clase]]="F1",IFERROR(IF(VLOOKUP($CH285,tblBD_PatronMasa[[Código Patrón]:[mN-(mpe–U95)]],12,FALSE)=0,"",VLOOKUP($CH285,tblBD_PatronMasa[[Código Patrón]:[mN-(mpe–U95)]],12,FALSE)+731),""),IFERROR(IF(VLOOKUP($CH285,tblBD_PatronMasa[[Código Patrón]:[mN-(mpe–U95)]],12,FALSE)=0,"",VLOOKUP($CH285,tblBD_PatronMasa[[Código Patrón]:[mN-(mpe–U95)]],12,FALSE)+366),"")))</f>
        <v/>
      </c>
      <c r="CM285" s="33" t="str">
        <f>IFERROR(VLOOKUP($CH285,tblBD_PatronMasa[[Código Patrón]:[mN-(mpe–U95)]],3,FALSE),"")</f>
        <v/>
      </c>
      <c r="CS285" s="32"/>
      <c r="CU285"/>
      <c r="DC285" s="1"/>
      <c r="DD285" s="1"/>
      <c r="DF285"/>
      <c r="DG285"/>
    </row>
    <row r="286" spans="85:111" x14ac:dyDescent="0.3">
      <c r="CG286" s="38">
        <v>280</v>
      </c>
      <c r="CH286" s="35">
        <f t="shared" si="14"/>
        <v>0</v>
      </c>
      <c r="CI286" s="35" t="str">
        <f>IF(tblTrazabilidad[[#This Row],[Código]]=0,"",IFERROR(IF(SEARCH("JM",tblTrazabilidad[[#This Row],[Código]])&gt;0,"Juego de pesas",),"Pesa"))</f>
        <v/>
      </c>
      <c r="CJ286" s="35" t="str">
        <f>IFERROR(VLOOKUP($CH286,tblBD_PatronMasa[[Código Patrón]:[mN-(mpe–U95)]],2,FALSE),"")</f>
        <v/>
      </c>
      <c r="CK286" s="35" t="str">
        <f>IFERROR(VLOOKUP($CH286,tblBD_PatronMasa[[Código Patrón]:[mN-(mpe–U95)]],13,FALSE),"")</f>
        <v/>
      </c>
      <c r="CL286" s="34" t="str">
        <f>IF(tblTrazabilidad[[#This Row],[Clase]]="F2",IFERROR(IF(VLOOKUP($CH286,tblBD_PatronMasa[[Código Patrón]:[mN-(mpe–U95)]],12,FALSE)=0,"",VLOOKUP($CH286,tblBD_PatronMasa[[Código Patrón]:[mN-(mpe–U95)]],12,FALSE)+731),""),IF(tblTrazabilidad[[#This Row],[Clase]]="F1",IFERROR(IF(VLOOKUP($CH286,tblBD_PatronMasa[[Código Patrón]:[mN-(mpe–U95)]],12,FALSE)=0,"",VLOOKUP($CH286,tblBD_PatronMasa[[Código Patrón]:[mN-(mpe–U95)]],12,FALSE)+731),""),IFERROR(IF(VLOOKUP($CH286,tblBD_PatronMasa[[Código Patrón]:[mN-(mpe–U95)]],12,FALSE)=0,"",VLOOKUP($CH286,tblBD_PatronMasa[[Código Patrón]:[mN-(mpe–U95)]],12,FALSE)+366),"")))</f>
        <v/>
      </c>
      <c r="CM286" s="33" t="str">
        <f>IFERROR(VLOOKUP($CH286,tblBD_PatronMasa[[Código Patrón]:[mN-(mpe–U95)]],3,FALSE),"")</f>
        <v/>
      </c>
      <c r="CS286" s="32"/>
      <c r="CU286"/>
      <c r="DC286" s="1"/>
      <c r="DD286" s="1"/>
      <c r="DF286"/>
      <c r="DG286"/>
    </row>
    <row r="287" spans="85:111" x14ac:dyDescent="0.3">
      <c r="CG287" s="38">
        <v>281</v>
      </c>
      <c r="CH287" s="35">
        <f t="shared" si="14"/>
        <v>0</v>
      </c>
      <c r="CI287" s="35" t="str">
        <f>IF(tblTrazabilidad[[#This Row],[Código]]=0,"",IFERROR(IF(SEARCH("JM",tblTrazabilidad[[#This Row],[Código]])&gt;0,"Juego de pesas",),"Pesa"))</f>
        <v/>
      </c>
      <c r="CJ287" s="35" t="str">
        <f>IFERROR(VLOOKUP($CH287,tblBD_PatronMasa[[Código Patrón]:[mN-(mpe–U95)]],2,FALSE),"")</f>
        <v/>
      </c>
      <c r="CK287" s="35" t="str">
        <f>IFERROR(VLOOKUP($CH287,tblBD_PatronMasa[[Código Patrón]:[mN-(mpe–U95)]],13,FALSE),"")</f>
        <v/>
      </c>
      <c r="CL287" s="34" t="str">
        <f>IF(tblTrazabilidad[[#This Row],[Clase]]="F2",IFERROR(IF(VLOOKUP($CH287,tblBD_PatronMasa[[Código Patrón]:[mN-(mpe–U95)]],12,FALSE)=0,"",VLOOKUP($CH287,tblBD_PatronMasa[[Código Patrón]:[mN-(mpe–U95)]],12,FALSE)+731),""),IF(tblTrazabilidad[[#This Row],[Clase]]="F1",IFERROR(IF(VLOOKUP($CH287,tblBD_PatronMasa[[Código Patrón]:[mN-(mpe–U95)]],12,FALSE)=0,"",VLOOKUP($CH287,tblBD_PatronMasa[[Código Patrón]:[mN-(mpe–U95)]],12,FALSE)+731),""),IFERROR(IF(VLOOKUP($CH287,tblBD_PatronMasa[[Código Patrón]:[mN-(mpe–U95)]],12,FALSE)=0,"",VLOOKUP($CH287,tblBD_PatronMasa[[Código Patrón]:[mN-(mpe–U95)]],12,FALSE)+366),"")))</f>
        <v/>
      </c>
      <c r="CM287" s="33" t="str">
        <f>IFERROR(VLOOKUP($CH287,tblBD_PatronMasa[[Código Patrón]:[mN-(mpe–U95)]],3,FALSE),"")</f>
        <v/>
      </c>
      <c r="CS287" s="32"/>
      <c r="CU287"/>
      <c r="DC287" s="1"/>
      <c r="DD287" s="1"/>
      <c r="DF287"/>
      <c r="DG287"/>
    </row>
    <row r="288" spans="85:111" x14ac:dyDescent="0.3">
      <c r="CG288" s="38">
        <v>282</v>
      </c>
      <c r="CH288" s="35">
        <f t="shared" si="14"/>
        <v>0</v>
      </c>
      <c r="CI288" s="35" t="str">
        <f>IF(tblTrazabilidad[[#This Row],[Código]]=0,"",IFERROR(IF(SEARCH("JM",tblTrazabilidad[[#This Row],[Código]])&gt;0,"Juego de pesas",),"Pesa"))</f>
        <v/>
      </c>
      <c r="CJ288" s="35" t="str">
        <f>IFERROR(VLOOKUP($CH288,tblBD_PatronMasa[[Código Patrón]:[mN-(mpe–U95)]],2,FALSE),"")</f>
        <v/>
      </c>
      <c r="CK288" s="35" t="str">
        <f>IFERROR(VLOOKUP($CH288,tblBD_PatronMasa[[Código Patrón]:[mN-(mpe–U95)]],13,FALSE),"")</f>
        <v/>
      </c>
      <c r="CL288" s="34" t="str">
        <f>IF(tblTrazabilidad[[#This Row],[Clase]]="F2",IFERROR(IF(VLOOKUP($CH288,tblBD_PatronMasa[[Código Patrón]:[mN-(mpe–U95)]],12,FALSE)=0,"",VLOOKUP($CH288,tblBD_PatronMasa[[Código Patrón]:[mN-(mpe–U95)]],12,FALSE)+731),""),IF(tblTrazabilidad[[#This Row],[Clase]]="F1",IFERROR(IF(VLOOKUP($CH288,tblBD_PatronMasa[[Código Patrón]:[mN-(mpe–U95)]],12,FALSE)=0,"",VLOOKUP($CH288,tblBD_PatronMasa[[Código Patrón]:[mN-(mpe–U95)]],12,FALSE)+731),""),IFERROR(IF(VLOOKUP($CH288,tblBD_PatronMasa[[Código Patrón]:[mN-(mpe–U95)]],12,FALSE)=0,"",VLOOKUP($CH288,tblBD_PatronMasa[[Código Patrón]:[mN-(mpe–U95)]],12,FALSE)+366),"")))</f>
        <v/>
      </c>
      <c r="CM288" s="33" t="str">
        <f>IFERROR(VLOOKUP($CH288,tblBD_PatronMasa[[Código Patrón]:[mN-(mpe–U95)]],3,FALSE),"")</f>
        <v/>
      </c>
      <c r="CS288" s="32"/>
      <c r="CU288"/>
      <c r="DC288" s="1"/>
      <c r="DD288" s="1"/>
      <c r="DF288"/>
      <c r="DG288"/>
    </row>
    <row r="289" spans="85:111" x14ac:dyDescent="0.3">
      <c r="CG289" s="38">
        <v>283</v>
      </c>
      <c r="CH289" s="35">
        <f t="shared" ref="CH289:CH306" si="15">AV37</f>
        <v>0</v>
      </c>
      <c r="CI289" s="35" t="str">
        <f>IF(tblTrazabilidad[[#This Row],[Código]]=0,"",IFERROR(IF(SEARCH("JM",tblTrazabilidad[[#This Row],[Código]])&gt;0,"Juego de pesas",),"Pesa"))</f>
        <v/>
      </c>
      <c r="CJ289" s="35" t="str">
        <f>IFERROR(VLOOKUP($CH289,tblBD_PatronMasa[[Código Patrón]:[mN-(mpe–U95)]],2,FALSE),"")</f>
        <v/>
      </c>
      <c r="CK289" s="35" t="str">
        <f>IFERROR(VLOOKUP($CH289,tblBD_PatronMasa[[Código Patrón]:[mN-(mpe–U95)]],13,FALSE),"")</f>
        <v/>
      </c>
      <c r="CL289" s="34" t="str">
        <f>IF(tblTrazabilidad[[#This Row],[Clase]]="F2",IFERROR(IF(VLOOKUP($CH289,tblBD_PatronMasa[[Código Patrón]:[mN-(mpe–U95)]],12,FALSE)=0,"",VLOOKUP($CH289,tblBD_PatronMasa[[Código Patrón]:[mN-(mpe–U95)]],12,FALSE)+731),""),IF(tblTrazabilidad[[#This Row],[Clase]]="F1",IFERROR(IF(VLOOKUP($CH289,tblBD_PatronMasa[[Código Patrón]:[mN-(mpe–U95)]],12,FALSE)=0,"",VLOOKUP($CH289,tblBD_PatronMasa[[Código Patrón]:[mN-(mpe–U95)]],12,FALSE)+731),""),IFERROR(IF(VLOOKUP($CH289,tblBD_PatronMasa[[Código Patrón]:[mN-(mpe–U95)]],12,FALSE)=0,"",VLOOKUP($CH289,tblBD_PatronMasa[[Código Patrón]:[mN-(mpe–U95)]],12,FALSE)+366),"")))</f>
        <v/>
      </c>
      <c r="CM289" s="33" t="str">
        <f>IFERROR(VLOOKUP($CH289,tblBD_PatronMasa[[Código Patrón]:[mN-(mpe–U95)]],3,FALSE),"")</f>
        <v/>
      </c>
      <c r="CS289" s="32"/>
      <c r="CU289"/>
      <c r="DC289" s="1"/>
      <c r="DD289" s="1"/>
      <c r="DF289"/>
      <c r="DG289"/>
    </row>
    <row r="290" spans="85:111" x14ac:dyDescent="0.3">
      <c r="CG290" s="38">
        <v>284</v>
      </c>
      <c r="CH290" s="35">
        <f t="shared" si="15"/>
        <v>0</v>
      </c>
      <c r="CI290" s="35" t="str">
        <f>IF(tblTrazabilidad[[#This Row],[Código]]=0,"",IFERROR(IF(SEARCH("JM",tblTrazabilidad[[#This Row],[Código]])&gt;0,"Juego de pesas",),"Pesa"))</f>
        <v/>
      </c>
      <c r="CJ290" s="35" t="str">
        <f>IFERROR(VLOOKUP($CH290,tblBD_PatronMasa[[Código Patrón]:[mN-(mpe–U95)]],2,FALSE),"")</f>
        <v/>
      </c>
      <c r="CK290" s="35" t="str">
        <f>IFERROR(VLOOKUP($CH290,tblBD_PatronMasa[[Código Patrón]:[mN-(mpe–U95)]],13,FALSE),"")</f>
        <v/>
      </c>
      <c r="CL290" s="34" t="str">
        <f>IF(tblTrazabilidad[[#This Row],[Clase]]="F2",IFERROR(IF(VLOOKUP($CH290,tblBD_PatronMasa[[Código Patrón]:[mN-(mpe–U95)]],12,FALSE)=0,"",VLOOKUP($CH290,tblBD_PatronMasa[[Código Patrón]:[mN-(mpe–U95)]],12,FALSE)+731),""),IF(tblTrazabilidad[[#This Row],[Clase]]="F1",IFERROR(IF(VLOOKUP($CH290,tblBD_PatronMasa[[Código Patrón]:[mN-(mpe–U95)]],12,FALSE)=0,"",VLOOKUP($CH290,tblBD_PatronMasa[[Código Patrón]:[mN-(mpe–U95)]],12,FALSE)+731),""),IFERROR(IF(VLOOKUP($CH290,tblBD_PatronMasa[[Código Patrón]:[mN-(mpe–U95)]],12,FALSE)=0,"",VLOOKUP($CH290,tblBD_PatronMasa[[Código Patrón]:[mN-(mpe–U95)]],12,FALSE)+366),"")))</f>
        <v/>
      </c>
      <c r="CM290" s="33" t="str">
        <f>IFERROR(VLOOKUP($CH290,tblBD_PatronMasa[[Código Patrón]:[mN-(mpe–U95)]],3,FALSE),"")</f>
        <v/>
      </c>
      <c r="CS290" s="32"/>
      <c r="CU290"/>
      <c r="DC290" s="1"/>
      <c r="DD290" s="1"/>
      <c r="DF290"/>
      <c r="DG290"/>
    </row>
    <row r="291" spans="85:111" x14ac:dyDescent="0.3">
      <c r="CG291" s="38">
        <v>285</v>
      </c>
      <c r="CH291" s="35">
        <f t="shared" si="15"/>
        <v>0</v>
      </c>
      <c r="CI291" s="35" t="str">
        <f>IF(tblTrazabilidad[[#This Row],[Código]]=0,"",IFERROR(IF(SEARCH("JM",tblTrazabilidad[[#This Row],[Código]])&gt;0,"Juego de pesas",),"Pesa"))</f>
        <v/>
      </c>
      <c r="CJ291" s="35" t="str">
        <f>IFERROR(VLOOKUP($CH291,tblBD_PatronMasa[[Código Patrón]:[mN-(mpe–U95)]],2,FALSE),"")</f>
        <v/>
      </c>
      <c r="CK291" s="35" t="str">
        <f>IFERROR(VLOOKUP($CH291,tblBD_PatronMasa[[Código Patrón]:[mN-(mpe–U95)]],13,FALSE),"")</f>
        <v/>
      </c>
      <c r="CL291" s="34" t="str">
        <f>IF(tblTrazabilidad[[#This Row],[Clase]]="F2",IFERROR(IF(VLOOKUP($CH291,tblBD_PatronMasa[[Código Patrón]:[mN-(mpe–U95)]],12,FALSE)=0,"",VLOOKUP($CH291,tblBD_PatronMasa[[Código Patrón]:[mN-(mpe–U95)]],12,FALSE)+731),""),IF(tblTrazabilidad[[#This Row],[Clase]]="F1",IFERROR(IF(VLOOKUP($CH291,tblBD_PatronMasa[[Código Patrón]:[mN-(mpe–U95)]],12,FALSE)=0,"",VLOOKUP($CH291,tblBD_PatronMasa[[Código Patrón]:[mN-(mpe–U95)]],12,FALSE)+731),""),IFERROR(IF(VLOOKUP($CH291,tblBD_PatronMasa[[Código Patrón]:[mN-(mpe–U95)]],12,FALSE)=0,"",VLOOKUP($CH291,tblBD_PatronMasa[[Código Patrón]:[mN-(mpe–U95)]],12,FALSE)+366),"")))</f>
        <v/>
      </c>
      <c r="CM291" s="33" t="str">
        <f>IFERROR(VLOOKUP($CH291,tblBD_PatronMasa[[Código Patrón]:[mN-(mpe–U95)]],3,FALSE),"")</f>
        <v/>
      </c>
      <c r="CS291" s="32"/>
      <c r="CU291"/>
      <c r="DC291" s="1"/>
      <c r="DD291" s="1"/>
      <c r="DF291"/>
      <c r="DG291"/>
    </row>
    <row r="292" spans="85:111" x14ac:dyDescent="0.3">
      <c r="CG292" s="38">
        <v>286</v>
      </c>
      <c r="CH292" s="35">
        <f t="shared" si="15"/>
        <v>0</v>
      </c>
      <c r="CI292" s="35" t="str">
        <f>IF(tblTrazabilidad[[#This Row],[Código]]=0,"",IFERROR(IF(SEARCH("JM",tblTrazabilidad[[#This Row],[Código]])&gt;0,"Juego de pesas",),"Pesa"))</f>
        <v/>
      </c>
      <c r="CJ292" s="35" t="str">
        <f>IFERROR(VLOOKUP($CH292,tblBD_PatronMasa[[Código Patrón]:[mN-(mpe–U95)]],2,FALSE),"")</f>
        <v/>
      </c>
      <c r="CK292" s="35" t="str">
        <f>IFERROR(VLOOKUP($CH292,tblBD_PatronMasa[[Código Patrón]:[mN-(mpe–U95)]],13,FALSE),"")</f>
        <v/>
      </c>
      <c r="CL292" s="34" t="str">
        <f>IF(tblTrazabilidad[[#This Row],[Clase]]="F2",IFERROR(IF(VLOOKUP($CH292,tblBD_PatronMasa[[Código Patrón]:[mN-(mpe–U95)]],12,FALSE)=0,"",VLOOKUP($CH292,tblBD_PatronMasa[[Código Patrón]:[mN-(mpe–U95)]],12,FALSE)+731),""),IF(tblTrazabilidad[[#This Row],[Clase]]="F1",IFERROR(IF(VLOOKUP($CH292,tblBD_PatronMasa[[Código Patrón]:[mN-(mpe–U95)]],12,FALSE)=0,"",VLOOKUP($CH292,tblBD_PatronMasa[[Código Patrón]:[mN-(mpe–U95)]],12,FALSE)+731),""),IFERROR(IF(VLOOKUP($CH292,tblBD_PatronMasa[[Código Patrón]:[mN-(mpe–U95)]],12,FALSE)=0,"",VLOOKUP($CH292,tblBD_PatronMasa[[Código Patrón]:[mN-(mpe–U95)]],12,FALSE)+366),"")))</f>
        <v/>
      </c>
      <c r="CM292" s="33" t="str">
        <f>IFERROR(VLOOKUP($CH292,tblBD_PatronMasa[[Código Patrón]:[mN-(mpe–U95)]],3,FALSE),"")</f>
        <v/>
      </c>
      <c r="CS292" s="32"/>
      <c r="CU292"/>
      <c r="DC292" s="1"/>
      <c r="DD292" s="1"/>
      <c r="DF292"/>
      <c r="DG292"/>
    </row>
    <row r="293" spans="85:111" x14ac:dyDescent="0.3">
      <c r="CG293" s="38">
        <v>287</v>
      </c>
      <c r="CH293" s="35">
        <f t="shared" si="15"/>
        <v>0</v>
      </c>
      <c r="CI293" s="35" t="str">
        <f>IF(tblTrazabilidad[[#This Row],[Código]]=0,"",IFERROR(IF(SEARCH("JM",tblTrazabilidad[[#This Row],[Código]])&gt;0,"Juego de pesas",),"Pesa"))</f>
        <v/>
      </c>
      <c r="CJ293" s="35" t="str">
        <f>IFERROR(VLOOKUP($CH293,tblBD_PatronMasa[[Código Patrón]:[mN-(mpe–U95)]],2,FALSE),"")</f>
        <v/>
      </c>
      <c r="CK293" s="35" t="str">
        <f>IFERROR(VLOOKUP($CH293,tblBD_PatronMasa[[Código Patrón]:[mN-(mpe–U95)]],13,FALSE),"")</f>
        <v/>
      </c>
      <c r="CL293" s="34" t="str">
        <f>IF(tblTrazabilidad[[#This Row],[Clase]]="F2",IFERROR(IF(VLOOKUP($CH293,tblBD_PatronMasa[[Código Patrón]:[mN-(mpe–U95)]],12,FALSE)=0,"",VLOOKUP($CH293,tblBD_PatronMasa[[Código Patrón]:[mN-(mpe–U95)]],12,FALSE)+731),""),IF(tblTrazabilidad[[#This Row],[Clase]]="F1",IFERROR(IF(VLOOKUP($CH293,tblBD_PatronMasa[[Código Patrón]:[mN-(mpe–U95)]],12,FALSE)=0,"",VLOOKUP($CH293,tblBD_PatronMasa[[Código Patrón]:[mN-(mpe–U95)]],12,FALSE)+731),""),IFERROR(IF(VLOOKUP($CH293,tblBD_PatronMasa[[Código Patrón]:[mN-(mpe–U95)]],12,FALSE)=0,"",VLOOKUP($CH293,tblBD_PatronMasa[[Código Patrón]:[mN-(mpe–U95)]],12,FALSE)+366),"")))</f>
        <v/>
      </c>
      <c r="CM293" s="33" t="str">
        <f>IFERROR(VLOOKUP($CH293,tblBD_PatronMasa[[Código Patrón]:[mN-(mpe–U95)]],3,FALSE),"")</f>
        <v/>
      </c>
      <c r="CS293" s="32"/>
      <c r="CU293"/>
      <c r="DC293" s="1"/>
      <c r="DD293" s="1"/>
      <c r="DF293"/>
      <c r="DG293"/>
    </row>
    <row r="294" spans="85:111" x14ac:dyDescent="0.3">
      <c r="CG294" s="38">
        <v>288</v>
      </c>
      <c r="CH294" s="35">
        <f t="shared" si="15"/>
        <v>0</v>
      </c>
      <c r="CI294" s="35" t="str">
        <f>IF(tblTrazabilidad[[#This Row],[Código]]=0,"",IFERROR(IF(SEARCH("JM",tblTrazabilidad[[#This Row],[Código]])&gt;0,"Juego de pesas",),"Pesa"))</f>
        <v/>
      </c>
      <c r="CJ294" s="35" t="str">
        <f>IFERROR(VLOOKUP($CH294,tblBD_PatronMasa[[Código Patrón]:[mN-(mpe–U95)]],2,FALSE),"")</f>
        <v/>
      </c>
      <c r="CK294" s="35" t="str">
        <f>IFERROR(VLOOKUP($CH294,tblBD_PatronMasa[[Código Patrón]:[mN-(mpe–U95)]],13,FALSE),"")</f>
        <v/>
      </c>
      <c r="CL294" s="34" t="str">
        <f>IF(tblTrazabilidad[[#This Row],[Clase]]="F2",IFERROR(IF(VLOOKUP($CH294,tblBD_PatronMasa[[Código Patrón]:[mN-(mpe–U95)]],12,FALSE)=0,"",VLOOKUP($CH294,tblBD_PatronMasa[[Código Patrón]:[mN-(mpe–U95)]],12,FALSE)+731),""),IF(tblTrazabilidad[[#This Row],[Clase]]="F1",IFERROR(IF(VLOOKUP($CH294,tblBD_PatronMasa[[Código Patrón]:[mN-(mpe–U95)]],12,FALSE)=0,"",VLOOKUP($CH294,tblBD_PatronMasa[[Código Patrón]:[mN-(mpe–U95)]],12,FALSE)+731),""),IFERROR(IF(VLOOKUP($CH294,tblBD_PatronMasa[[Código Patrón]:[mN-(mpe–U95)]],12,FALSE)=0,"",VLOOKUP($CH294,tblBD_PatronMasa[[Código Patrón]:[mN-(mpe–U95)]],12,FALSE)+366),"")))</f>
        <v/>
      </c>
      <c r="CM294" s="33" t="str">
        <f>IFERROR(VLOOKUP($CH294,tblBD_PatronMasa[[Código Patrón]:[mN-(mpe–U95)]],3,FALSE),"")</f>
        <v/>
      </c>
      <c r="CS294" s="32"/>
      <c r="CU294"/>
      <c r="DC294" s="1"/>
      <c r="DD294" s="1"/>
      <c r="DF294"/>
      <c r="DG294"/>
    </row>
    <row r="295" spans="85:111" x14ac:dyDescent="0.3">
      <c r="CG295" s="38">
        <v>289</v>
      </c>
      <c r="CH295" s="35">
        <f t="shared" si="15"/>
        <v>0</v>
      </c>
      <c r="CI295" s="35" t="str">
        <f>IF(tblTrazabilidad[[#This Row],[Código]]=0,"",IFERROR(IF(SEARCH("JM",tblTrazabilidad[[#This Row],[Código]])&gt;0,"Juego de pesas",),"Pesa"))</f>
        <v/>
      </c>
      <c r="CJ295" s="35" t="str">
        <f>IFERROR(VLOOKUP($CH295,tblBD_PatronMasa[[Código Patrón]:[mN-(mpe–U95)]],2,FALSE),"")</f>
        <v/>
      </c>
      <c r="CK295" s="35" t="str">
        <f>IFERROR(VLOOKUP($CH295,tblBD_PatronMasa[[Código Patrón]:[mN-(mpe–U95)]],13,FALSE),"")</f>
        <v/>
      </c>
      <c r="CL295" s="34" t="str">
        <f>IF(tblTrazabilidad[[#This Row],[Clase]]="F2",IFERROR(IF(VLOOKUP($CH295,tblBD_PatronMasa[[Código Patrón]:[mN-(mpe–U95)]],12,FALSE)=0,"",VLOOKUP($CH295,tblBD_PatronMasa[[Código Patrón]:[mN-(mpe–U95)]],12,FALSE)+731),""),IF(tblTrazabilidad[[#This Row],[Clase]]="F1",IFERROR(IF(VLOOKUP($CH295,tblBD_PatronMasa[[Código Patrón]:[mN-(mpe–U95)]],12,FALSE)=0,"",VLOOKUP($CH295,tblBD_PatronMasa[[Código Patrón]:[mN-(mpe–U95)]],12,FALSE)+731),""),IFERROR(IF(VLOOKUP($CH295,tblBD_PatronMasa[[Código Patrón]:[mN-(mpe–U95)]],12,FALSE)=0,"",VLOOKUP($CH295,tblBD_PatronMasa[[Código Patrón]:[mN-(mpe–U95)]],12,FALSE)+366),"")))</f>
        <v/>
      </c>
      <c r="CM295" s="33" t="str">
        <f>IFERROR(VLOOKUP($CH295,tblBD_PatronMasa[[Código Patrón]:[mN-(mpe–U95)]],3,FALSE),"")</f>
        <v/>
      </c>
      <c r="CS295" s="32"/>
      <c r="CU295"/>
      <c r="DC295" s="1"/>
      <c r="DD295" s="1"/>
      <c r="DF295"/>
      <c r="DG295"/>
    </row>
    <row r="296" spans="85:111" x14ac:dyDescent="0.3">
      <c r="CG296" s="38">
        <v>290</v>
      </c>
      <c r="CH296" s="35">
        <f t="shared" si="15"/>
        <v>0</v>
      </c>
      <c r="CI296" s="35" t="str">
        <f>IF(tblTrazabilidad[[#This Row],[Código]]=0,"",IFERROR(IF(SEARCH("JM",tblTrazabilidad[[#This Row],[Código]])&gt;0,"Juego de pesas",),"Pesa"))</f>
        <v/>
      </c>
      <c r="CJ296" s="35" t="str">
        <f>IFERROR(VLOOKUP($CH296,tblBD_PatronMasa[[Código Patrón]:[mN-(mpe–U95)]],2,FALSE),"")</f>
        <v/>
      </c>
      <c r="CK296" s="35" t="str">
        <f>IFERROR(VLOOKUP($CH296,tblBD_PatronMasa[[Código Patrón]:[mN-(mpe–U95)]],13,FALSE),"")</f>
        <v/>
      </c>
      <c r="CL296" s="34" t="str">
        <f>IF(tblTrazabilidad[[#This Row],[Clase]]="F2",IFERROR(IF(VLOOKUP($CH296,tblBD_PatronMasa[[Código Patrón]:[mN-(mpe–U95)]],12,FALSE)=0,"",VLOOKUP($CH296,tblBD_PatronMasa[[Código Patrón]:[mN-(mpe–U95)]],12,FALSE)+731),""),IF(tblTrazabilidad[[#This Row],[Clase]]="F1",IFERROR(IF(VLOOKUP($CH296,tblBD_PatronMasa[[Código Patrón]:[mN-(mpe–U95)]],12,FALSE)=0,"",VLOOKUP($CH296,tblBD_PatronMasa[[Código Patrón]:[mN-(mpe–U95)]],12,FALSE)+731),""),IFERROR(IF(VLOOKUP($CH296,tblBD_PatronMasa[[Código Patrón]:[mN-(mpe–U95)]],12,FALSE)=0,"",VLOOKUP($CH296,tblBD_PatronMasa[[Código Patrón]:[mN-(mpe–U95)]],12,FALSE)+366),"")))</f>
        <v/>
      </c>
      <c r="CM296" s="33" t="str">
        <f>IFERROR(VLOOKUP($CH296,tblBD_PatronMasa[[Código Patrón]:[mN-(mpe–U95)]],3,FALSE),"")</f>
        <v/>
      </c>
      <c r="CS296" s="32"/>
      <c r="CU296"/>
      <c r="DC296" s="1"/>
      <c r="DD296" s="1"/>
      <c r="DF296"/>
      <c r="DG296"/>
    </row>
    <row r="297" spans="85:111" x14ac:dyDescent="0.3">
      <c r="CG297" s="38">
        <v>291</v>
      </c>
      <c r="CH297" s="35">
        <f t="shared" si="15"/>
        <v>0</v>
      </c>
      <c r="CI297" s="35" t="str">
        <f>IF(tblTrazabilidad[[#This Row],[Código]]=0,"",IFERROR(IF(SEARCH("JM",tblTrazabilidad[[#This Row],[Código]])&gt;0,"Juego de pesas",),"Pesa"))</f>
        <v/>
      </c>
      <c r="CJ297" s="35" t="str">
        <f>IFERROR(VLOOKUP($CH297,tblBD_PatronMasa[[Código Patrón]:[mN-(mpe–U95)]],2,FALSE),"")</f>
        <v/>
      </c>
      <c r="CK297" s="35" t="str">
        <f>IFERROR(VLOOKUP($CH297,tblBD_PatronMasa[[Código Patrón]:[mN-(mpe–U95)]],13,FALSE),"")</f>
        <v/>
      </c>
      <c r="CL297" s="34" t="str">
        <f>IF(tblTrazabilidad[[#This Row],[Clase]]="F2",IFERROR(IF(VLOOKUP($CH297,tblBD_PatronMasa[[Código Patrón]:[mN-(mpe–U95)]],12,FALSE)=0,"",VLOOKUP($CH297,tblBD_PatronMasa[[Código Patrón]:[mN-(mpe–U95)]],12,FALSE)+731),""),IF(tblTrazabilidad[[#This Row],[Clase]]="F1",IFERROR(IF(VLOOKUP($CH297,tblBD_PatronMasa[[Código Patrón]:[mN-(mpe–U95)]],12,FALSE)=0,"",VLOOKUP($CH297,tblBD_PatronMasa[[Código Patrón]:[mN-(mpe–U95)]],12,FALSE)+731),""),IFERROR(IF(VLOOKUP($CH297,tblBD_PatronMasa[[Código Patrón]:[mN-(mpe–U95)]],12,FALSE)=0,"",VLOOKUP($CH297,tblBD_PatronMasa[[Código Patrón]:[mN-(mpe–U95)]],12,FALSE)+366),"")))</f>
        <v/>
      </c>
      <c r="CM297" s="33" t="str">
        <f>IFERROR(VLOOKUP($CH297,tblBD_PatronMasa[[Código Patrón]:[mN-(mpe–U95)]],3,FALSE),"")</f>
        <v/>
      </c>
      <c r="CS297" s="32"/>
      <c r="CU297"/>
      <c r="DC297" s="1"/>
      <c r="DD297" s="1"/>
      <c r="DF297"/>
      <c r="DG297"/>
    </row>
    <row r="298" spans="85:111" x14ac:dyDescent="0.3">
      <c r="CG298" s="38">
        <v>292</v>
      </c>
      <c r="CH298" s="35">
        <f t="shared" si="15"/>
        <v>0</v>
      </c>
      <c r="CI298" s="35" t="str">
        <f>IF(tblTrazabilidad[[#This Row],[Código]]=0,"",IFERROR(IF(SEARCH("JM",tblTrazabilidad[[#This Row],[Código]])&gt;0,"Juego de pesas",),"Pesa"))</f>
        <v/>
      </c>
      <c r="CJ298" s="35" t="str">
        <f>IFERROR(VLOOKUP($CH298,tblBD_PatronMasa[[Código Patrón]:[mN-(mpe–U95)]],2,FALSE),"")</f>
        <v/>
      </c>
      <c r="CK298" s="35" t="str">
        <f>IFERROR(VLOOKUP($CH298,tblBD_PatronMasa[[Código Patrón]:[mN-(mpe–U95)]],13,FALSE),"")</f>
        <v/>
      </c>
      <c r="CL298" s="34" t="str">
        <f>IF(tblTrazabilidad[[#This Row],[Clase]]="F2",IFERROR(IF(VLOOKUP($CH298,tblBD_PatronMasa[[Código Patrón]:[mN-(mpe–U95)]],12,FALSE)=0,"",VLOOKUP($CH298,tblBD_PatronMasa[[Código Patrón]:[mN-(mpe–U95)]],12,FALSE)+731),""),IF(tblTrazabilidad[[#This Row],[Clase]]="F1",IFERROR(IF(VLOOKUP($CH298,tblBD_PatronMasa[[Código Patrón]:[mN-(mpe–U95)]],12,FALSE)=0,"",VLOOKUP($CH298,tblBD_PatronMasa[[Código Patrón]:[mN-(mpe–U95)]],12,FALSE)+731),""),IFERROR(IF(VLOOKUP($CH298,tblBD_PatronMasa[[Código Patrón]:[mN-(mpe–U95)]],12,FALSE)=0,"",VLOOKUP($CH298,tblBD_PatronMasa[[Código Patrón]:[mN-(mpe–U95)]],12,FALSE)+366),"")))</f>
        <v/>
      </c>
      <c r="CM298" s="33" t="str">
        <f>IFERROR(VLOOKUP($CH298,tblBD_PatronMasa[[Código Patrón]:[mN-(mpe–U95)]],3,FALSE),"")</f>
        <v/>
      </c>
      <c r="CS298" s="32"/>
      <c r="CU298"/>
      <c r="DC298" s="1"/>
      <c r="DD298" s="1"/>
      <c r="DF298"/>
      <c r="DG298"/>
    </row>
    <row r="299" spans="85:111" x14ac:dyDescent="0.3">
      <c r="CG299" s="38">
        <v>293</v>
      </c>
      <c r="CH299" s="35">
        <f t="shared" si="15"/>
        <v>0</v>
      </c>
      <c r="CI299" s="35" t="str">
        <f>IF(tblTrazabilidad[[#This Row],[Código]]=0,"",IFERROR(IF(SEARCH("JM",tblTrazabilidad[[#This Row],[Código]])&gt;0,"Juego de pesas",),"Pesa"))</f>
        <v/>
      </c>
      <c r="CJ299" s="35" t="str">
        <f>IFERROR(VLOOKUP($CH299,tblBD_PatronMasa[[Código Patrón]:[mN-(mpe–U95)]],2,FALSE),"")</f>
        <v/>
      </c>
      <c r="CK299" s="35" t="str">
        <f>IFERROR(VLOOKUP($CH299,tblBD_PatronMasa[[Código Patrón]:[mN-(mpe–U95)]],13,FALSE),"")</f>
        <v/>
      </c>
      <c r="CL299" s="34" t="str">
        <f>IF(tblTrazabilidad[[#This Row],[Clase]]="F2",IFERROR(IF(VLOOKUP($CH299,tblBD_PatronMasa[[Código Patrón]:[mN-(mpe–U95)]],12,FALSE)=0,"",VLOOKUP($CH299,tblBD_PatronMasa[[Código Patrón]:[mN-(mpe–U95)]],12,FALSE)+731),""),IF(tblTrazabilidad[[#This Row],[Clase]]="F1",IFERROR(IF(VLOOKUP($CH299,tblBD_PatronMasa[[Código Patrón]:[mN-(mpe–U95)]],12,FALSE)=0,"",VLOOKUP($CH299,tblBD_PatronMasa[[Código Patrón]:[mN-(mpe–U95)]],12,FALSE)+731),""),IFERROR(IF(VLOOKUP($CH299,tblBD_PatronMasa[[Código Patrón]:[mN-(mpe–U95)]],12,FALSE)=0,"",VLOOKUP($CH299,tblBD_PatronMasa[[Código Patrón]:[mN-(mpe–U95)]],12,FALSE)+366),"")))</f>
        <v/>
      </c>
      <c r="CM299" s="33" t="str">
        <f>IFERROR(VLOOKUP($CH299,tblBD_PatronMasa[[Código Patrón]:[mN-(mpe–U95)]],3,FALSE),"")</f>
        <v/>
      </c>
      <c r="CS299" s="32"/>
      <c r="CU299"/>
      <c r="DC299" s="1"/>
      <c r="DD299" s="1"/>
      <c r="DF299"/>
      <c r="DG299"/>
    </row>
    <row r="300" spans="85:111" x14ac:dyDescent="0.3">
      <c r="CG300" s="38">
        <v>294</v>
      </c>
      <c r="CH300" s="35">
        <f t="shared" si="15"/>
        <v>0</v>
      </c>
      <c r="CI300" s="35" t="str">
        <f>IF(tblTrazabilidad[[#This Row],[Código]]=0,"",IFERROR(IF(SEARCH("JM",tblTrazabilidad[[#This Row],[Código]])&gt;0,"Juego de pesas",),"Pesa"))</f>
        <v/>
      </c>
      <c r="CJ300" s="35" t="str">
        <f>IFERROR(VLOOKUP($CH300,tblBD_PatronMasa[[Código Patrón]:[mN-(mpe–U95)]],2,FALSE),"")</f>
        <v/>
      </c>
      <c r="CK300" s="35" t="str">
        <f>IFERROR(VLOOKUP($CH300,tblBD_PatronMasa[[Código Patrón]:[mN-(mpe–U95)]],13,FALSE),"")</f>
        <v/>
      </c>
      <c r="CL300" s="34" t="str">
        <f>IF(tblTrazabilidad[[#This Row],[Clase]]="F2",IFERROR(IF(VLOOKUP($CH300,tblBD_PatronMasa[[Código Patrón]:[mN-(mpe–U95)]],12,FALSE)=0,"",VLOOKUP($CH300,tblBD_PatronMasa[[Código Patrón]:[mN-(mpe–U95)]],12,FALSE)+731),""),IF(tblTrazabilidad[[#This Row],[Clase]]="F1",IFERROR(IF(VLOOKUP($CH300,tblBD_PatronMasa[[Código Patrón]:[mN-(mpe–U95)]],12,FALSE)=0,"",VLOOKUP($CH300,tblBD_PatronMasa[[Código Patrón]:[mN-(mpe–U95)]],12,FALSE)+731),""),IFERROR(IF(VLOOKUP($CH300,tblBD_PatronMasa[[Código Patrón]:[mN-(mpe–U95)]],12,FALSE)=0,"",VLOOKUP($CH300,tblBD_PatronMasa[[Código Patrón]:[mN-(mpe–U95)]],12,FALSE)+366),"")))</f>
        <v/>
      </c>
      <c r="CM300" s="33" t="str">
        <f>IFERROR(VLOOKUP($CH300,tblBD_PatronMasa[[Código Patrón]:[mN-(mpe–U95)]],3,FALSE),"")</f>
        <v/>
      </c>
      <c r="CS300" s="32"/>
      <c r="CU300"/>
      <c r="DC300" s="1"/>
      <c r="DD300" s="1"/>
      <c r="DF300"/>
      <c r="DG300"/>
    </row>
    <row r="301" spans="85:111" x14ac:dyDescent="0.3">
      <c r="CG301" s="38">
        <v>295</v>
      </c>
      <c r="CH301" s="35">
        <f t="shared" si="15"/>
        <v>0</v>
      </c>
      <c r="CI301" s="35" t="str">
        <f>IF(tblTrazabilidad[[#This Row],[Código]]=0,"",IFERROR(IF(SEARCH("JM",tblTrazabilidad[[#This Row],[Código]])&gt;0,"Juego de pesas",),"Pesa"))</f>
        <v/>
      </c>
      <c r="CJ301" s="35" t="str">
        <f>IFERROR(VLOOKUP($CH301,tblBD_PatronMasa[[Código Patrón]:[mN-(mpe–U95)]],2,FALSE),"")</f>
        <v/>
      </c>
      <c r="CK301" s="35" t="str">
        <f>IFERROR(VLOOKUP($CH301,tblBD_PatronMasa[[Código Patrón]:[mN-(mpe–U95)]],13,FALSE),"")</f>
        <v/>
      </c>
      <c r="CL301" s="34" t="str">
        <f>IF(tblTrazabilidad[[#This Row],[Clase]]="F2",IFERROR(IF(VLOOKUP($CH301,tblBD_PatronMasa[[Código Patrón]:[mN-(mpe–U95)]],12,FALSE)=0,"",VLOOKUP($CH301,tblBD_PatronMasa[[Código Patrón]:[mN-(mpe–U95)]],12,FALSE)+731),""),IF(tblTrazabilidad[[#This Row],[Clase]]="F1",IFERROR(IF(VLOOKUP($CH301,tblBD_PatronMasa[[Código Patrón]:[mN-(mpe–U95)]],12,FALSE)=0,"",VLOOKUP($CH301,tblBD_PatronMasa[[Código Patrón]:[mN-(mpe–U95)]],12,FALSE)+731),""),IFERROR(IF(VLOOKUP($CH301,tblBD_PatronMasa[[Código Patrón]:[mN-(mpe–U95)]],12,FALSE)=0,"",VLOOKUP($CH301,tblBD_PatronMasa[[Código Patrón]:[mN-(mpe–U95)]],12,FALSE)+366),"")))</f>
        <v/>
      </c>
      <c r="CM301" s="33" t="str">
        <f>IFERROR(VLOOKUP($CH301,tblBD_PatronMasa[[Código Patrón]:[mN-(mpe–U95)]],3,FALSE),"")</f>
        <v/>
      </c>
      <c r="CS301" s="32"/>
      <c r="CU301"/>
      <c r="DC301" s="1"/>
      <c r="DD301" s="1"/>
      <c r="DF301"/>
      <c r="DG301"/>
    </row>
    <row r="302" spans="85:111" x14ac:dyDescent="0.3">
      <c r="CG302" s="38">
        <v>296</v>
      </c>
      <c r="CH302" s="35">
        <f t="shared" si="15"/>
        <v>0</v>
      </c>
      <c r="CI302" s="35" t="str">
        <f>IF(tblTrazabilidad[[#This Row],[Código]]=0,"",IFERROR(IF(SEARCH("JM",tblTrazabilidad[[#This Row],[Código]])&gt;0,"Juego de pesas",),"Pesa"))</f>
        <v/>
      </c>
      <c r="CJ302" s="35" t="str">
        <f>IFERROR(VLOOKUP($CH302,tblBD_PatronMasa[[Código Patrón]:[mN-(mpe–U95)]],2,FALSE),"")</f>
        <v/>
      </c>
      <c r="CK302" s="35" t="str">
        <f>IFERROR(VLOOKUP($CH302,tblBD_PatronMasa[[Código Patrón]:[mN-(mpe–U95)]],13,FALSE),"")</f>
        <v/>
      </c>
      <c r="CL302" s="34" t="str">
        <f>IF(tblTrazabilidad[[#This Row],[Clase]]="F2",IFERROR(IF(VLOOKUP($CH302,tblBD_PatronMasa[[Código Patrón]:[mN-(mpe–U95)]],12,FALSE)=0,"",VLOOKUP($CH302,tblBD_PatronMasa[[Código Patrón]:[mN-(mpe–U95)]],12,FALSE)+731),""),IF(tblTrazabilidad[[#This Row],[Clase]]="F1",IFERROR(IF(VLOOKUP($CH302,tblBD_PatronMasa[[Código Patrón]:[mN-(mpe–U95)]],12,FALSE)=0,"",VLOOKUP($CH302,tblBD_PatronMasa[[Código Patrón]:[mN-(mpe–U95)]],12,FALSE)+731),""),IFERROR(IF(VLOOKUP($CH302,tblBD_PatronMasa[[Código Patrón]:[mN-(mpe–U95)]],12,FALSE)=0,"",VLOOKUP($CH302,tblBD_PatronMasa[[Código Patrón]:[mN-(mpe–U95)]],12,FALSE)+366),"")))</f>
        <v/>
      </c>
      <c r="CM302" s="33" t="str">
        <f>IFERROR(VLOOKUP($CH302,tblBD_PatronMasa[[Código Patrón]:[mN-(mpe–U95)]],3,FALSE),"")</f>
        <v/>
      </c>
      <c r="CS302" s="32"/>
      <c r="CU302"/>
      <c r="DC302" s="1"/>
      <c r="DD302" s="1"/>
      <c r="DF302"/>
      <c r="DG302"/>
    </row>
    <row r="303" spans="85:111" x14ac:dyDescent="0.3">
      <c r="CG303" s="38">
        <v>297</v>
      </c>
      <c r="CH303" s="35">
        <f t="shared" si="15"/>
        <v>0</v>
      </c>
      <c r="CI303" s="35" t="str">
        <f>IF(tblTrazabilidad[[#This Row],[Código]]=0,"",IFERROR(IF(SEARCH("JM",tblTrazabilidad[[#This Row],[Código]])&gt;0,"Juego de pesas",),"Pesa"))</f>
        <v/>
      </c>
      <c r="CJ303" s="35" t="str">
        <f>IFERROR(VLOOKUP($CH303,tblBD_PatronMasa[[Código Patrón]:[mN-(mpe–U95)]],2,FALSE),"")</f>
        <v/>
      </c>
      <c r="CK303" s="35" t="str">
        <f>IFERROR(VLOOKUP($CH303,tblBD_PatronMasa[[Código Patrón]:[mN-(mpe–U95)]],13,FALSE),"")</f>
        <v/>
      </c>
      <c r="CL303" s="34" t="str">
        <f>IF(tblTrazabilidad[[#This Row],[Clase]]="F2",IFERROR(IF(VLOOKUP($CH303,tblBD_PatronMasa[[Código Patrón]:[mN-(mpe–U95)]],12,FALSE)=0,"",VLOOKUP($CH303,tblBD_PatronMasa[[Código Patrón]:[mN-(mpe–U95)]],12,FALSE)+731),""),IF(tblTrazabilidad[[#This Row],[Clase]]="F1",IFERROR(IF(VLOOKUP($CH303,tblBD_PatronMasa[[Código Patrón]:[mN-(mpe–U95)]],12,FALSE)=0,"",VLOOKUP($CH303,tblBD_PatronMasa[[Código Patrón]:[mN-(mpe–U95)]],12,FALSE)+731),""),IFERROR(IF(VLOOKUP($CH303,tblBD_PatronMasa[[Código Patrón]:[mN-(mpe–U95)]],12,FALSE)=0,"",VLOOKUP($CH303,tblBD_PatronMasa[[Código Patrón]:[mN-(mpe–U95)]],12,FALSE)+366),"")))</f>
        <v/>
      </c>
      <c r="CM303" s="33" t="str">
        <f>IFERROR(VLOOKUP($CH303,tblBD_PatronMasa[[Código Patrón]:[mN-(mpe–U95)]],3,FALSE),"")</f>
        <v/>
      </c>
      <c r="CS303" s="32"/>
      <c r="CU303"/>
      <c r="DC303" s="1"/>
      <c r="DD303" s="1"/>
      <c r="DF303"/>
      <c r="DG303"/>
    </row>
    <row r="304" spans="85:111" x14ac:dyDescent="0.3">
      <c r="CG304" s="38">
        <v>298</v>
      </c>
      <c r="CH304" s="35">
        <f t="shared" si="15"/>
        <v>0</v>
      </c>
      <c r="CI304" s="35" t="str">
        <f>IF(tblTrazabilidad[[#This Row],[Código]]=0,"",IFERROR(IF(SEARCH("JM",tblTrazabilidad[[#This Row],[Código]])&gt;0,"Juego de pesas",),"Pesa"))</f>
        <v/>
      </c>
      <c r="CJ304" s="35" t="str">
        <f>IFERROR(VLOOKUP($CH304,tblBD_PatronMasa[[Código Patrón]:[mN-(mpe–U95)]],2,FALSE),"")</f>
        <v/>
      </c>
      <c r="CK304" s="35" t="str">
        <f>IFERROR(VLOOKUP($CH304,tblBD_PatronMasa[[Código Patrón]:[mN-(mpe–U95)]],13,FALSE),"")</f>
        <v/>
      </c>
      <c r="CL304" s="34" t="str">
        <f>IF(tblTrazabilidad[[#This Row],[Clase]]="F2",IFERROR(IF(VLOOKUP($CH304,tblBD_PatronMasa[[Código Patrón]:[mN-(mpe–U95)]],12,FALSE)=0,"",VLOOKUP($CH304,tblBD_PatronMasa[[Código Patrón]:[mN-(mpe–U95)]],12,FALSE)+731),""),IF(tblTrazabilidad[[#This Row],[Clase]]="F1",IFERROR(IF(VLOOKUP($CH304,tblBD_PatronMasa[[Código Patrón]:[mN-(mpe–U95)]],12,FALSE)=0,"",VLOOKUP($CH304,tblBD_PatronMasa[[Código Patrón]:[mN-(mpe–U95)]],12,FALSE)+731),""),IFERROR(IF(VLOOKUP($CH304,tblBD_PatronMasa[[Código Patrón]:[mN-(mpe–U95)]],12,FALSE)=0,"",VLOOKUP($CH304,tblBD_PatronMasa[[Código Patrón]:[mN-(mpe–U95)]],12,FALSE)+366),"")))</f>
        <v/>
      </c>
      <c r="CM304" s="33" t="str">
        <f>IFERROR(VLOOKUP($CH304,tblBD_PatronMasa[[Código Patrón]:[mN-(mpe–U95)]],3,FALSE),"")</f>
        <v/>
      </c>
      <c r="CS304" s="32"/>
      <c r="CU304"/>
      <c r="DC304" s="1"/>
      <c r="DD304" s="1"/>
      <c r="DF304"/>
      <c r="DG304"/>
    </row>
    <row r="305" spans="85:111" x14ac:dyDescent="0.3">
      <c r="CG305" s="38">
        <v>299</v>
      </c>
      <c r="CH305" s="35">
        <f t="shared" si="15"/>
        <v>0</v>
      </c>
      <c r="CI305" s="35" t="str">
        <f>IF(tblTrazabilidad[[#This Row],[Código]]=0,"",IFERROR(IF(SEARCH("JM",tblTrazabilidad[[#This Row],[Código]])&gt;0,"Juego de pesas",),"Pesa"))</f>
        <v/>
      </c>
      <c r="CJ305" s="35" t="str">
        <f>IFERROR(VLOOKUP($CH305,tblBD_PatronMasa[[Código Patrón]:[mN-(mpe–U95)]],2,FALSE),"")</f>
        <v/>
      </c>
      <c r="CK305" s="35" t="str">
        <f>IFERROR(VLOOKUP($CH305,tblBD_PatronMasa[[Código Patrón]:[mN-(mpe–U95)]],13,FALSE),"")</f>
        <v/>
      </c>
      <c r="CL305" s="34" t="str">
        <f>IF(tblTrazabilidad[[#This Row],[Clase]]="F2",IFERROR(IF(VLOOKUP($CH305,tblBD_PatronMasa[[Código Patrón]:[mN-(mpe–U95)]],12,FALSE)=0,"",VLOOKUP($CH305,tblBD_PatronMasa[[Código Patrón]:[mN-(mpe–U95)]],12,FALSE)+731),""),IF(tblTrazabilidad[[#This Row],[Clase]]="F1",IFERROR(IF(VLOOKUP($CH305,tblBD_PatronMasa[[Código Patrón]:[mN-(mpe–U95)]],12,FALSE)=0,"",VLOOKUP($CH305,tblBD_PatronMasa[[Código Patrón]:[mN-(mpe–U95)]],12,FALSE)+731),""),IFERROR(IF(VLOOKUP($CH305,tblBD_PatronMasa[[Código Patrón]:[mN-(mpe–U95)]],12,FALSE)=0,"",VLOOKUP($CH305,tblBD_PatronMasa[[Código Patrón]:[mN-(mpe–U95)]],12,FALSE)+366),"")))</f>
        <v/>
      </c>
      <c r="CM305" s="33" t="str">
        <f>IFERROR(VLOOKUP($CH305,tblBD_PatronMasa[[Código Patrón]:[mN-(mpe–U95)]],3,FALSE),"")</f>
        <v/>
      </c>
      <c r="CS305" s="32"/>
      <c r="CU305"/>
      <c r="DC305" s="1"/>
      <c r="DD305" s="1"/>
      <c r="DF305"/>
      <c r="DG305"/>
    </row>
    <row r="306" spans="85:111" x14ac:dyDescent="0.3">
      <c r="CG306" s="38">
        <v>300</v>
      </c>
      <c r="CH306" s="35">
        <f t="shared" si="15"/>
        <v>0</v>
      </c>
      <c r="CI306" s="35" t="str">
        <f>IF(tblTrazabilidad[[#This Row],[Código]]=0,"",IFERROR(IF(SEARCH("JM",tblTrazabilidad[[#This Row],[Código]])&gt;0,"Juego de pesas",),"Pesa"))</f>
        <v/>
      </c>
      <c r="CJ306" s="35" t="str">
        <f>IFERROR(VLOOKUP($CH306,tblBD_PatronMasa[[Código Patrón]:[mN-(mpe–U95)]],2,FALSE),"")</f>
        <v/>
      </c>
      <c r="CK306" s="35" t="str">
        <f>IFERROR(VLOOKUP($CH306,tblBD_PatronMasa[[Código Patrón]:[mN-(mpe–U95)]],13,FALSE),"")</f>
        <v/>
      </c>
      <c r="CL306" s="34" t="str">
        <f>IF(tblTrazabilidad[[#This Row],[Clase]]="F2",IFERROR(IF(VLOOKUP($CH306,tblBD_PatronMasa[[Código Patrón]:[mN-(mpe–U95)]],12,FALSE)=0,"",VLOOKUP($CH306,tblBD_PatronMasa[[Código Patrón]:[mN-(mpe–U95)]],12,FALSE)+731),""),IF(tblTrazabilidad[[#This Row],[Clase]]="F1",IFERROR(IF(VLOOKUP($CH306,tblBD_PatronMasa[[Código Patrón]:[mN-(mpe–U95)]],12,FALSE)=0,"",VLOOKUP($CH306,tblBD_PatronMasa[[Código Patrón]:[mN-(mpe–U95)]],12,FALSE)+731),""),IFERROR(IF(VLOOKUP($CH306,tblBD_PatronMasa[[Código Patrón]:[mN-(mpe–U95)]],12,FALSE)=0,"",VLOOKUP($CH306,tblBD_PatronMasa[[Código Patrón]:[mN-(mpe–U95)]],12,FALSE)+366),"")))</f>
        <v/>
      </c>
      <c r="CM306" s="33" t="str">
        <f>IFERROR(VLOOKUP($CH306,tblBD_PatronMasa[[Código Patrón]:[mN-(mpe–U95)]],3,FALSE),"")</f>
        <v/>
      </c>
      <c r="CS306" s="32"/>
      <c r="CU306"/>
      <c r="DC306" s="1"/>
      <c r="DD306" s="1"/>
      <c r="DF306"/>
      <c r="DG306"/>
    </row>
    <row r="307" spans="85:111" x14ac:dyDescent="0.3">
      <c r="CG307" s="38">
        <v>301</v>
      </c>
      <c r="CH307" s="35">
        <f t="shared" ref="CH307:CH338" si="16">BC5</f>
        <v>0</v>
      </c>
      <c r="CI307" s="35" t="str">
        <f>IF(tblTrazabilidad[[#This Row],[Código]]=0,"",IFERROR(IF(SEARCH("JM",tblTrazabilidad[[#This Row],[Código]])&gt;0,"Juego de pesas",),"Pesa"))</f>
        <v/>
      </c>
      <c r="CJ307" s="35" t="str">
        <f>IFERROR(VLOOKUP($CH307,tblBD_PatronMasa[[Código Patrón]:[mN-(mpe–U95)]],2,FALSE),"")</f>
        <v/>
      </c>
      <c r="CK307" s="35" t="str">
        <f>IFERROR(VLOOKUP($CH307,tblBD_PatronMasa[[Código Patrón]:[mN-(mpe–U95)]],13,FALSE),"")</f>
        <v/>
      </c>
      <c r="CL307" s="34" t="str">
        <f>IF(tblTrazabilidad[[#This Row],[Clase]]="F2",IFERROR(IF(VLOOKUP($CH307,tblBD_PatronMasa[[Código Patrón]:[mN-(mpe–U95)]],12,FALSE)=0,"",VLOOKUP($CH307,tblBD_PatronMasa[[Código Patrón]:[mN-(mpe–U95)]],12,FALSE)+731),""),IF(tblTrazabilidad[[#This Row],[Clase]]="F1",IFERROR(IF(VLOOKUP($CH307,tblBD_PatronMasa[[Código Patrón]:[mN-(mpe–U95)]],12,FALSE)=0,"",VLOOKUP($CH307,tblBD_PatronMasa[[Código Patrón]:[mN-(mpe–U95)]],12,FALSE)+731),""),IFERROR(IF(VLOOKUP($CH307,tblBD_PatronMasa[[Código Patrón]:[mN-(mpe–U95)]],12,FALSE)=0,"",VLOOKUP($CH307,tblBD_PatronMasa[[Código Patrón]:[mN-(mpe–U95)]],12,FALSE)+366),"")))</f>
        <v/>
      </c>
      <c r="CM307" s="33" t="str">
        <f>IFERROR(VLOOKUP($CH307,tblBD_PatronMasa[[Código Patrón]:[mN-(mpe–U95)]],3,FALSE),"")</f>
        <v/>
      </c>
      <c r="CS307" s="32"/>
      <c r="CU307"/>
      <c r="DC307" s="1"/>
      <c r="DD307" s="1"/>
      <c r="DF307"/>
      <c r="DG307"/>
    </row>
    <row r="308" spans="85:111" x14ac:dyDescent="0.3">
      <c r="CG308" s="38">
        <v>302</v>
      </c>
      <c r="CH308" s="35">
        <f t="shared" si="16"/>
        <v>0</v>
      </c>
      <c r="CI308" s="35" t="str">
        <f>IF(tblTrazabilidad[[#This Row],[Código]]=0,"",IFERROR(IF(SEARCH("JM",tblTrazabilidad[[#This Row],[Código]])&gt;0,"Juego de pesas",),"Pesa"))</f>
        <v/>
      </c>
      <c r="CJ308" s="35" t="str">
        <f>IFERROR(VLOOKUP($CH308,tblBD_PatronMasa[[Código Patrón]:[mN-(mpe–U95)]],2,FALSE),"")</f>
        <v/>
      </c>
      <c r="CK308" s="35" t="str">
        <f>IFERROR(VLOOKUP($CH308,tblBD_PatronMasa[[Código Patrón]:[mN-(mpe–U95)]],13,FALSE),"")</f>
        <v/>
      </c>
      <c r="CL308" s="34" t="str">
        <f>IF(tblTrazabilidad[[#This Row],[Clase]]="F2",IFERROR(IF(VLOOKUP($CH308,tblBD_PatronMasa[[Código Patrón]:[mN-(mpe–U95)]],12,FALSE)=0,"",VLOOKUP($CH308,tblBD_PatronMasa[[Código Patrón]:[mN-(mpe–U95)]],12,FALSE)+731),""),IF(tblTrazabilidad[[#This Row],[Clase]]="F1",IFERROR(IF(VLOOKUP($CH308,tblBD_PatronMasa[[Código Patrón]:[mN-(mpe–U95)]],12,FALSE)=0,"",VLOOKUP($CH308,tblBD_PatronMasa[[Código Patrón]:[mN-(mpe–U95)]],12,FALSE)+731),""),IFERROR(IF(VLOOKUP($CH308,tblBD_PatronMasa[[Código Patrón]:[mN-(mpe–U95)]],12,FALSE)=0,"",VLOOKUP($CH308,tblBD_PatronMasa[[Código Patrón]:[mN-(mpe–U95)]],12,FALSE)+366),"")))</f>
        <v/>
      </c>
      <c r="CM308" s="33" t="str">
        <f>IFERROR(VLOOKUP($CH308,tblBD_PatronMasa[[Código Patrón]:[mN-(mpe–U95)]],3,FALSE),"")</f>
        <v/>
      </c>
      <c r="CS308" s="32"/>
      <c r="CU308"/>
      <c r="DC308" s="1"/>
      <c r="DD308" s="1"/>
      <c r="DF308"/>
      <c r="DG308"/>
    </row>
    <row r="309" spans="85:111" x14ac:dyDescent="0.3">
      <c r="CG309" s="38">
        <v>303</v>
      </c>
      <c r="CH309" s="35">
        <f t="shared" si="16"/>
        <v>0</v>
      </c>
      <c r="CI309" s="35" t="str">
        <f>IF(tblTrazabilidad[[#This Row],[Código]]=0,"",IFERROR(IF(SEARCH("JM",tblTrazabilidad[[#This Row],[Código]])&gt;0,"Juego de pesas",),"Pesa"))</f>
        <v/>
      </c>
      <c r="CJ309" s="35" t="str">
        <f>IFERROR(VLOOKUP($CH309,tblBD_PatronMasa[[Código Patrón]:[mN-(mpe–U95)]],2,FALSE),"")</f>
        <v/>
      </c>
      <c r="CK309" s="35" t="str">
        <f>IFERROR(VLOOKUP($CH309,tblBD_PatronMasa[[Código Patrón]:[mN-(mpe–U95)]],13,FALSE),"")</f>
        <v/>
      </c>
      <c r="CL309" s="34" t="str">
        <f>IF(tblTrazabilidad[[#This Row],[Clase]]="F2",IFERROR(IF(VLOOKUP($CH309,tblBD_PatronMasa[[Código Patrón]:[mN-(mpe–U95)]],12,FALSE)=0,"",VLOOKUP($CH309,tblBD_PatronMasa[[Código Patrón]:[mN-(mpe–U95)]],12,FALSE)+731),""),IF(tblTrazabilidad[[#This Row],[Clase]]="F1",IFERROR(IF(VLOOKUP($CH309,tblBD_PatronMasa[[Código Patrón]:[mN-(mpe–U95)]],12,FALSE)=0,"",VLOOKUP($CH309,tblBD_PatronMasa[[Código Patrón]:[mN-(mpe–U95)]],12,FALSE)+731),""),IFERROR(IF(VLOOKUP($CH309,tblBD_PatronMasa[[Código Patrón]:[mN-(mpe–U95)]],12,FALSE)=0,"",VLOOKUP($CH309,tblBD_PatronMasa[[Código Patrón]:[mN-(mpe–U95)]],12,FALSE)+366),"")))</f>
        <v/>
      </c>
      <c r="CM309" s="33" t="str">
        <f>IFERROR(VLOOKUP($CH309,tblBD_PatronMasa[[Código Patrón]:[mN-(mpe–U95)]],3,FALSE),"")</f>
        <v/>
      </c>
      <c r="CS309" s="32"/>
      <c r="CU309"/>
      <c r="DC309" s="1"/>
      <c r="DD309" s="1"/>
      <c r="DF309"/>
      <c r="DG309"/>
    </row>
    <row r="310" spans="85:111" x14ac:dyDescent="0.3">
      <c r="CG310" s="38">
        <v>304</v>
      </c>
      <c r="CH310" s="35">
        <f t="shared" si="16"/>
        <v>0</v>
      </c>
      <c r="CI310" s="35" t="str">
        <f>IF(tblTrazabilidad[[#This Row],[Código]]=0,"",IFERROR(IF(SEARCH("JM",tblTrazabilidad[[#This Row],[Código]])&gt;0,"Juego de pesas",),"Pesa"))</f>
        <v/>
      </c>
      <c r="CJ310" s="35" t="str">
        <f>IFERROR(VLOOKUP($CH310,tblBD_PatronMasa[[Código Patrón]:[mN-(mpe–U95)]],2,FALSE),"")</f>
        <v/>
      </c>
      <c r="CK310" s="35" t="str">
        <f>IFERROR(VLOOKUP($CH310,tblBD_PatronMasa[[Código Patrón]:[mN-(mpe–U95)]],13,FALSE),"")</f>
        <v/>
      </c>
      <c r="CL310" s="34" t="str">
        <f>IF(tblTrazabilidad[[#This Row],[Clase]]="F2",IFERROR(IF(VLOOKUP($CH310,tblBD_PatronMasa[[Código Patrón]:[mN-(mpe–U95)]],12,FALSE)=0,"",VLOOKUP($CH310,tblBD_PatronMasa[[Código Patrón]:[mN-(mpe–U95)]],12,FALSE)+731),""),IF(tblTrazabilidad[[#This Row],[Clase]]="F1",IFERROR(IF(VLOOKUP($CH310,tblBD_PatronMasa[[Código Patrón]:[mN-(mpe–U95)]],12,FALSE)=0,"",VLOOKUP($CH310,tblBD_PatronMasa[[Código Patrón]:[mN-(mpe–U95)]],12,FALSE)+731),""),IFERROR(IF(VLOOKUP($CH310,tblBD_PatronMasa[[Código Patrón]:[mN-(mpe–U95)]],12,FALSE)=0,"",VLOOKUP($CH310,tblBD_PatronMasa[[Código Patrón]:[mN-(mpe–U95)]],12,FALSE)+366),"")))</f>
        <v/>
      </c>
      <c r="CM310" s="33" t="str">
        <f>IFERROR(VLOOKUP($CH310,tblBD_PatronMasa[[Código Patrón]:[mN-(mpe–U95)]],3,FALSE),"")</f>
        <v/>
      </c>
      <c r="CS310" s="32"/>
      <c r="CU310"/>
      <c r="DC310" s="1"/>
      <c r="DD310" s="1"/>
      <c r="DF310"/>
      <c r="DG310"/>
    </row>
    <row r="311" spans="85:111" x14ac:dyDescent="0.3">
      <c r="CG311" s="38">
        <v>305</v>
      </c>
      <c r="CH311" s="35">
        <f t="shared" si="16"/>
        <v>0</v>
      </c>
      <c r="CI311" s="35" t="str">
        <f>IF(tblTrazabilidad[[#This Row],[Código]]=0,"",IFERROR(IF(SEARCH("JM",tblTrazabilidad[[#This Row],[Código]])&gt;0,"Juego de pesas",),"Pesa"))</f>
        <v/>
      </c>
      <c r="CJ311" s="35" t="str">
        <f>IFERROR(VLOOKUP($CH311,tblBD_PatronMasa[[Código Patrón]:[mN-(mpe–U95)]],2,FALSE),"")</f>
        <v/>
      </c>
      <c r="CK311" s="35" t="str">
        <f>IFERROR(VLOOKUP($CH311,tblBD_PatronMasa[[Código Patrón]:[mN-(mpe–U95)]],13,FALSE),"")</f>
        <v/>
      </c>
      <c r="CL311" s="34" t="str">
        <f>IF(tblTrazabilidad[[#This Row],[Clase]]="F2",IFERROR(IF(VLOOKUP($CH311,tblBD_PatronMasa[[Código Patrón]:[mN-(mpe–U95)]],12,FALSE)=0,"",VLOOKUP($CH311,tblBD_PatronMasa[[Código Patrón]:[mN-(mpe–U95)]],12,FALSE)+731),""),IF(tblTrazabilidad[[#This Row],[Clase]]="F1",IFERROR(IF(VLOOKUP($CH311,tblBD_PatronMasa[[Código Patrón]:[mN-(mpe–U95)]],12,FALSE)=0,"",VLOOKUP($CH311,tblBD_PatronMasa[[Código Patrón]:[mN-(mpe–U95)]],12,FALSE)+731),""),IFERROR(IF(VLOOKUP($CH311,tblBD_PatronMasa[[Código Patrón]:[mN-(mpe–U95)]],12,FALSE)=0,"",VLOOKUP($CH311,tblBD_PatronMasa[[Código Patrón]:[mN-(mpe–U95)]],12,FALSE)+366),"")))</f>
        <v/>
      </c>
      <c r="CM311" s="33" t="str">
        <f>IFERROR(VLOOKUP($CH311,tblBD_PatronMasa[[Código Patrón]:[mN-(mpe–U95)]],3,FALSE),"")</f>
        <v/>
      </c>
      <c r="CS311" s="32"/>
      <c r="CU311"/>
      <c r="DC311" s="1"/>
      <c r="DD311" s="1"/>
      <c r="DF311"/>
      <c r="DG311"/>
    </row>
    <row r="312" spans="85:111" x14ac:dyDescent="0.3">
      <c r="CG312" s="38">
        <v>306</v>
      </c>
      <c r="CH312" s="35">
        <f t="shared" si="16"/>
        <v>0</v>
      </c>
      <c r="CI312" s="35" t="str">
        <f>IF(tblTrazabilidad[[#This Row],[Código]]=0,"",IFERROR(IF(SEARCH("JM",tblTrazabilidad[[#This Row],[Código]])&gt;0,"Juego de pesas",),"Pesa"))</f>
        <v/>
      </c>
      <c r="CJ312" s="35" t="str">
        <f>IFERROR(VLOOKUP($CH312,tblBD_PatronMasa[[Código Patrón]:[mN-(mpe–U95)]],2,FALSE),"")</f>
        <v/>
      </c>
      <c r="CK312" s="35" t="str">
        <f>IFERROR(VLOOKUP($CH312,tblBD_PatronMasa[[Código Patrón]:[mN-(mpe–U95)]],13,FALSE),"")</f>
        <v/>
      </c>
      <c r="CL312" s="34" t="str">
        <f>IF(tblTrazabilidad[[#This Row],[Clase]]="F2",IFERROR(IF(VLOOKUP($CH312,tblBD_PatronMasa[[Código Patrón]:[mN-(mpe–U95)]],12,FALSE)=0,"",VLOOKUP($CH312,tblBD_PatronMasa[[Código Patrón]:[mN-(mpe–U95)]],12,FALSE)+731),""),IF(tblTrazabilidad[[#This Row],[Clase]]="F1",IFERROR(IF(VLOOKUP($CH312,tblBD_PatronMasa[[Código Patrón]:[mN-(mpe–U95)]],12,FALSE)=0,"",VLOOKUP($CH312,tblBD_PatronMasa[[Código Patrón]:[mN-(mpe–U95)]],12,FALSE)+731),""),IFERROR(IF(VLOOKUP($CH312,tblBD_PatronMasa[[Código Patrón]:[mN-(mpe–U95)]],12,FALSE)=0,"",VLOOKUP($CH312,tblBD_PatronMasa[[Código Patrón]:[mN-(mpe–U95)]],12,FALSE)+366),"")))</f>
        <v/>
      </c>
      <c r="CM312" s="33" t="str">
        <f>IFERROR(VLOOKUP($CH312,tblBD_PatronMasa[[Código Patrón]:[mN-(mpe–U95)]],3,FALSE),"")</f>
        <v/>
      </c>
      <c r="CS312" s="32"/>
      <c r="CU312"/>
      <c r="DC312" s="1"/>
      <c r="DD312" s="1"/>
      <c r="DF312"/>
      <c r="DG312"/>
    </row>
    <row r="313" spans="85:111" x14ac:dyDescent="0.3">
      <c r="CG313" s="38">
        <v>307</v>
      </c>
      <c r="CH313" s="35">
        <f t="shared" si="16"/>
        <v>0</v>
      </c>
      <c r="CI313" s="35" t="str">
        <f>IF(tblTrazabilidad[[#This Row],[Código]]=0,"",IFERROR(IF(SEARCH("JM",tblTrazabilidad[[#This Row],[Código]])&gt;0,"Juego de pesas",),"Pesa"))</f>
        <v/>
      </c>
      <c r="CJ313" s="35" t="str">
        <f>IFERROR(VLOOKUP($CH313,tblBD_PatronMasa[[Código Patrón]:[mN-(mpe–U95)]],2,FALSE),"")</f>
        <v/>
      </c>
      <c r="CK313" s="35" t="str">
        <f>IFERROR(VLOOKUP($CH313,tblBD_PatronMasa[[Código Patrón]:[mN-(mpe–U95)]],13,FALSE),"")</f>
        <v/>
      </c>
      <c r="CL313" s="34" t="str">
        <f>IF(tblTrazabilidad[[#This Row],[Clase]]="F2",IFERROR(IF(VLOOKUP($CH313,tblBD_PatronMasa[[Código Patrón]:[mN-(mpe–U95)]],12,FALSE)=0,"",VLOOKUP($CH313,tblBD_PatronMasa[[Código Patrón]:[mN-(mpe–U95)]],12,FALSE)+731),""),IF(tblTrazabilidad[[#This Row],[Clase]]="F1",IFERROR(IF(VLOOKUP($CH313,tblBD_PatronMasa[[Código Patrón]:[mN-(mpe–U95)]],12,FALSE)=0,"",VLOOKUP($CH313,tblBD_PatronMasa[[Código Patrón]:[mN-(mpe–U95)]],12,FALSE)+731),""),IFERROR(IF(VLOOKUP($CH313,tblBD_PatronMasa[[Código Patrón]:[mN-(mpe–U95)]],12,FALSE)=0,"",VLOOKUP($CH313,tblBD_PatronMasa[[Código Patrón]:[mN-(mpe–U95)]],12,FALSE)+366),"")))</f>
        <v/>
      </c>
      <c r="CM313" s="33" t="str">
        <f>IFERROR(VLOOKUP($CH313,tblBD_PatronMasa[[Código Patrón]:[mN-(mpe–U95)]],3,FALSE),"")</f>
        <v/>
      </c>
      <c r="CS313" s="32"/>
      <c r="CU313"/>
      <c r="DC313" s="1"/>
      <c r="DD313" s="1"/>
      <c r="DF313"/>
      <c r="DG313"/>
    </row>
    <row r="314" spans="85:111" x14ac:dyDescent="0.3">
      <c r="CG314" s="38">
        <v>308</v>
      </c>
      <c r="CH314" s="35">
        <f t="shared" si="16"/>
        <v>0</v>
      </c>
      <c r="CI314" s="35" t="str">
        <f>IF(tblTrazabilidad[[#This Row],[Código]]=0,"",IFERROR(IF(SEARCH("JM",tblTrazabilidad[[#This Row],[Código]])&gt;0,"Juego de pesas",),"Pesa"))</f>
        <v/>
      </c>
      <c r="CJ314" s="35" t="str">
        <f>IFERROR(VLOOKUP($CH314,tblBD_PatronMasa[[Código Patrón]:[mN-(mpe–U95)]],2,FALSE),"")</f>
        <v/>
      </c>
      <c r="CK314" s="35" t="str">
        <f>IFERROR(VLOOKUP($CH314,tblBD_PatronMasa[[Código Patrón]:[mN-(mpe–U95)]],13,FALSE),"")</f>
        <v/>
      </c>
      <c r="CL314" s="34" t="str">
        <f>IF(tblTrazabilidad[[#This Row],[Clase]]="F2",IFERROR(IF(VLOOKUP($CH314,tblBD_PatronMasa[[Código Patrón]:[mN-(mpe–U95)]],12,FALSE)=0,"",VLOOKUP($CH314,tblBD_PatronMasa[[Código Patrón]:[mN-(mpe–U95)]],12,FALSE)+731),""),IF(tblTrazabilidad[[#This Row],[Clase]]="F1",IFERROR(IF(VLOOKUP($CH314,tblBD_PatronMasa[[Código Patrón]:[mN-(mpe–U95)]],12,FALSE)=0,"",VLOOKUP($CH314,tblBD_PatronMasa[[Código Patrón]:[mN-(mpe–U95)]],12,FALSE)+731),""),IFERROR(IF(VLOOKUP($CH314,tblBD_PatronMasa[[Código Patrón]:[mN-(mpe–U95)]],12,FALSE)=0,"",VLOOKUP($CH314,tblBD_PatronMasa[[Código Patrón]:[mN-(mpe–U95)]],12,FALSE)+366),"")))</f>
        <v/>
      </c>
      <c r="CM314" s="33" t="str">
        <f>IFERROR(VLOOKUP($CH314,tblBD_PatronMasa[[Código Patrón]:[mN-(mpe–U95)]],3,FALSE),"")</f>
        <v/>
      </c>
      <c r="CS314" s="32"/>
      <c r="CU314"/>
      <c r="DC314" s="1"/>
      <c r="DD314" s="1"/>
      <c r="DF314"/>
      <c r="DG314"/>
    </row>
    <row r="315" spans="85:111" x14ac:dyDescent="0.3">
      <c r="CG315" s="38">
        <v>309</v>
      </c>
      <c r="CH315" s="35">
        <f t="shared" si="16"/>
        <v>0</v>
      </c>
      <c r="CI315" s="35" t="str">
        <f>IF(tblTrazabilidad[[#This Row],[Código]]=0,"",IFERROR(IF(SEARCH("JM",tblTrazabilidad[[#This Row],[Código]])&gt;0,"Juego de pesas",),"Pesa"))</f>
        <v/>
      </c>
      <c r="CJ315" s="35" t="str">
        <f>IFERROR(VLOOKUP($CH315,tblBD_PatronMasa[[Código Patrón]:[mN-(mpe–U95)]],2,FALSE),"")</f>
        <v/>
      </c>
      <c r="CK315" s="35" t="str">
        <f>IFERROR(VLOOKUP($CH315,tblBD_PatronMasa[[Código Patrón]:[mN-(mpe–U95)]],13,FALSE),"")</f>
        <v/>
      </c>
      <c r="CL315" s="34" t="str">
        <f>IF(tblTrazabilidad[[#This Row],[Clase]]="F2",IFERROR(IF(VLOOKUP($CH315,tblBD_PatronMasa[[Código Patrón]:[mN-(mpe–U95)]],12,FALSE)=0,"",VLOOKUP($CH315,tblBD_PatronMasa[[Código Patrón]:[mN-(mpe–U95)]],12,FALSE)+731),""),IF(tblTrazabilidad[[#This Row],[Clase]]="F1",IFERROR(IF(VLOOKUP($CH315,tblBD_PatronMasa[[Código Patrón]:[mN-(mpe–U95)]],12,FALSE)=0,"",VLOOKUP($CH315,tblBD_PatronMasa[[Código Patrón]:[mN-(mpe–U95)]],12,FALSE)+731),""),IFERROR(IF(VLOOKUP($CH315,tblBD_PatronMasa[[Código Patrón]:[mN-(mpe–U95)]],12,FALSE)=0,"",VLOOKUP($CH315,tblBD_PatronMasa[[Código Patrón]:[mN-(mpe–U95)]],12,FALSE)+366),"")))</f>
        <v/>
      </c>
      <c r="CM315" s="33" t="str">
        <f>IFERROR(VLOOKUP($CH315,tblBD_PatronMasa[[Código Patrón]:[mN-(mpe–U95)]],3,FALSE),"")</f>
        <v/>
      </c>
      <c r="CS315" s="32"/>
      <c r="CU315"/>
      <c r="DC315" s="1"/>
      <c r="DD315" s="1"/>
      <c r="DF315"/>
      <c r="DG315"/>
    </row>
    <row r="316" spans="85:111" x14ac:dyDescent="0.3">
      <c r="CG316" s="38">
        <v>310</v>
      </c>
      <c r="CH316" s="35">
        <f t="shared" si="16"/>
        <v>0</v>
      </c>
      <c r="CI316" s="35" t="str">
        <f>IF(tblTrazabilidad[[#This Row],[Código]]=0,"",IFERROR(IF(SEARCH("JM",tblTrazabilidad[[#This Row],[Código]])&gt;0,"Juego de pesas",),"Pesa"))</f>
        <v/>
      </c>
      <c r="CJ316" s="35" t="str">
        <f>IFERROR(VLOOKUP($CH316,tblBD_PatronMasa[[Código Patrón]:[mN-(mpe–U95)]],2,FALSE),"")</f>
        <v/>
      </c>
      <c r="CK316" s="35" t="str">
        <f>IFERROR(VLOOKUP($CH316,tblBD_PatronMasa[[Código Patrón]:[mN-(mpe–U95)]],13,FALSE),"")</f>
        <v/>
      </c>
      <c r="CL316" s="34" t="str">
        <f>IF(tblTrazabilidad[[#This Row],[Clase]]="F2",IFERROR(IF(VLOOKUP($CH316,tblBD_PatronMasa[[Código Patrón]:[mN-(mpe–U95)]],12,FALSE)=0,"",VLOOKUP($CH316,tblBD_PatronMasa[[Código Patrón]:[mN-(mpe–U95)]],12,FALSE)+731),""),IF(tblTrazabilidad[[#This Row],[Clase]]="F1",IFERROR(IF(VLOOKUP($CH316,tblBD_PatronMasa[[Código Patrón]:[mN-(mpe–U95)]],12,FALSE)=0,"",VLOOKUP($CH316,tblBD_PatronMasa[[Código Patrón]:[mN-(mpe–U95)]],12,FALSE)+731),""),IFERROR(IF(VLOOKUP($CH316,tblBD_PatronMasa[[Código Patrón]:[mN-(mpe–U95)]],12,FALSE)=0,"",VLOOKUP($CH316,tblBD_PatronMasa[[Código Patrón]:[mN-(mpe–U95)]],12,FALSE)+366),"")))</f>
        <v/>
      </c>
      <c r="CM316" s="33" t="str">
        <f>IFERROR(VLOOKUP($CH316,tblBD_PatronMasa[[Código Patrón]:[mN-(mpe–U95)]],3,FALSE),"")</f>
        <v/>
      </c>
      <c r="CS316" s="32"/>
      <c r="CU316"/>
      <c r="DC316" s="1"/>
      <c r="DD316" s="1"/>
      <c r="DF316"/>
      <c r="DG316"/>
    </row>
    <row r="317" spans="85:111" x14ac:dyDescent="0.3">
      <c r="CG317" s="38">
        <v>311</v>
      </c>
      <c r="CH317" s="35">
        <f t="shared" si="16"/>
        <v>0</v>
      </c>
      <c r="CI317" s="35" t="str">
        <f>IF(tblTrazabilidad[[#This Row],[Código]]=0,"",IFERROR(IF(SEARCH("JM",tblTrazabilidad[[#This Row],[Código]])&gt;0,"Juego de pesas",),"Pesa"))</f>
        <v/>
      </c>
      <c r="CJ317" s="35" t="str">
        <f>IFERROR(VLOOKUP($CH317,tblBD_PatronMasa[[Código Patrón]:[mN-(mpe–U95)]],2,FALSE),"")</f>
        <v/>
      </c>
      <c r="CK317" s="35" t="str">
        <f>IFERROR(VLOOKUP($CH317,tblBD_PatronMasa[[Código Patrón]:[mN-(mpe–U95)]],13,FALSE),"")</f>
        <v/>
      </c>
      <c r="CL317" s="34" t="str">
        <f>IF(tblTrazabilidad[[#This Row],[Clase]]="F2",IFERROR(IF(VLOOKUP($CH317,tblBD_PatronMasa[[Código Patrón]:[mN-(mpe–U95)]],12,FALSE)=0,"",VLOOKUP($CH317,tblBD_PatronMasa[[Código Patrón]:[mN-(mpe–U95)]],12,FALSE)+731),""),IF(tblTrazabilidad[[#This Row],[Clase]]="F1",IFERROR(IF(VLOOKUP($CH317,tblBD_PatronMasa[[Código Patrón]:[mN-(mpe–U95)]],12,FALSE)=0,"",VLOOKUP($CH317,tblBD_PatronMasa[[Código Patrón]:[mN-(mpe–U95)]],12,FALSE)+731),""),IFERROR(IF(VLOOKUP($CH317,tblBD_PatronMasa[[Código Patrón]:[mN-(mpe–U95)]],12,FALSE)=0,"",VLOOKUP($CH317,tblBD_PatronMasa[[Código Patrón]:[mN-(mpe–U95)]],12,FALSE)+366),"")))</f>
        <v/>
      </c>
      <c r="CM317" s="33" t="str">
        <f>IFERROR(VLOOKUP($CH317,tblBD_PatronMasa[[Código Patrón]:[mN-(mpe–U95)]],3,FALSE),"")</f>
        <v/>
      </c>
      <c r="CS317" s="32"/>
      <c r="CU317"/>
      <c r="DC317" s="1"/>
      <c r="DD317" s="1"/>
      <c r="DF317"/>
      <c r="DG317"/>
    </row>
    <row r="318" spans="85:111" x14ac:dyDescent="0.3">
      <c r="CG318" s="38">
        <v>312</v>
      </c>
      <c r="CH318" s="35">
        <f t="shared" si="16"/>
        <v>0</v>
      </c>
      <c r="CI318" s="35" t="str">
        <f>IF(tblTrazabilidad[[#This Row],[Código]]=0,"",IFERROR(IF(SEARCH("JM",tblTrazabilidad[[#This Row],[Código]])&gt;0,"Juego de pesas",),"Pesa"))</f>
        <v/>
      </c>
      <c r="CJ318" s="35" t="str">
        <f>IFERROR(VLOOKUP($CH318,tblBD_PatronMasa[[Código Patrón]:[mN-(mpe–U95)]],2,FALSE),"")</f>
        <v/>
      </c>
      <c r="CK318" s="35" t="str">
        <f>IFERROR(VLOOKUP($CH318,tblBD_PatronMasa[[Código Patrón]:[mN-(mpe–U95)]],13,FALSE),"")</f>
        <v/>
      </c>
      <c r="CL318" s="34" t="str">
        <f>IF(tblTrazabilidad[[#This Row],[Clase]]="F2",IFERROR(IF(VLOOKUP($CH318,tblBD_PatronMasa[[Código Patrón]:[mN-(mpe–U95)]],12,FALSE)=0,"",VLOOKUP($CH318,tblBD_PatronMasa[[Código Patrón]:[mN-(mpe–U95)]],12,FALSE)+731),""),IF(tblTrazabilidad[[#This Row],[Clase]]="F1",IFERROR(IF(VLOOKUP($CH318,tblBD_PatronMasa[[Código Patrón]:[mN-(mpe–U95)]],12,FALSE)=0,"",VLOOKUP($CH318,tblBD_PatronMasa[[Código Patrón]:[mN-(mpe–U95)]],12,FALSE)+731),""),IFERROR(IF(VLOOKUP($CH318,tblBD_PatronMasa[[Código Patrón]:[mN-(mpe–U95)]],12,FALSE)=0,"",VLOOKUP($CH318,tblBD_PatronMasa[[Código Patrón]:[mN-(mpe–U95)]],12,FALSE)+366),"")))</f>
        <v/>
      </c>
      <c r="CM318" s="33" t="str">
        <f>IFERROR(VLOOKUP($CH318,tblBD_PatronMasa[[Código Patrón]:[mN-(mpe–U95)]],3,FALSE),"")</f>
        <v/>
      </c>
      <c r="CS318" s="32"/>
      <c r="CU318"/>
      <c r="DC318" s="1"/>
      <c r="DD318" s="1"/>
      <c r="DF318"/>
      <c r="DG318"/>
    </row>
    <row r="319" spans="85:111" x14ac:dyDescent="0.3">
      <c r="CG319" s="38">
        <v>313</v>
      </c>
      <c r="CH319" s="35">
        <f t="shared" si="16"/>
        <v>0</v>
      </c>
      <c r="CI319" s="35" t="str">
        <f>IF(tblTrazabilidad[[#This Row],[Código]]=0,"",IFERROR(IF(SEARCH("JM",tblTrazabilidad[[#This Row],[Código]])&gt;0,"Juego de pesas",),"Pesa"))</f>
        <v/>
      </c>
      <c r="CJ319" s="35" t="str">
        <f>IFERROR(VLOOKUP($CH319,tblBD_PatronMasa[[Código Patrón]:[mN-(mpe–U95)]],2,FALSE),"")</f>
        <v/>
      </c>
      <c r="CK319" s="35" t="str">
        <f>IFERROR(VLOOKUP($CH319,tblBD_PatronMasa[[Código Patrón]:[mN-(mpe–U95)]],13,FALSE),"")</f>
        <v/>
      </c>
      <c r="CL319" s="34" t="str">
        <f>IF(tblTrazabilidad[[#This Row],[Clase]]="F2",IFERROR(IF(VLOOKUP($CH319,tblBD_PatronMasa[[Código Patrón]:[mN-(mpe–U95)]],12,FALSE)=0,"",VLOOKUP($CH319,tblBD_PatronMasa[[Código Patrón]:[mN-(mpe–U95)]],12,FALSE)+731),""),IF(tblTrazabilidad[[#This Row],[Clase]]="F1",IFERROR(IF(VLOOKUP($CH319,tblBD_PatronMasa[[Código Patrón]:[mN-(mpe–U95)]],12,FALSE)=0,"",VLOOKUP($CH319,tblBD_PatronMasa[[Código Patrón]:[mN-(mpe–U95)]],12,FALSE)+731),""),IFERROR(IF(VLOOKUP($CH319,tblBD_PatronMasa[[Código Patrón]:[mN-(mpe–U95)]],12,FALSE)=0,"",VLOOKUP($CH319,tblBD_PatronMasa[[Código Patrón]:[mN-(mpe–U95)]],12,FALSE)+366),"")))</f>
        <v/>
      </c>
      <c r="CM319" s="33" t="str">
        <f>IFERROR(VLOOKUP($CH319,tblBD_PatronMasa[[Código Patrón]:[mN-(mpe–U95)]],3,FALSE),"")</f>
        <v/>
      </c>
      <c r="CS319" s="32"/>
      <c r="CU319"/>
      <c r="DC319" s="1"/>
      <c r="DD319" s="1"/>
      <c r="DF319"/>
      <c r="DG319"/>
    </row>
    <row r="320" spans="85:111" x14ac:dyDescent="0.3">
      <c r="CG320" s="38">
        <v>314</v>
      </c>
      <c r="CH320" s="35">
        <f t="shared" si="16"/>
        <v>0</v>
      </c>
      <c r="CI320" s="35" t="str">
        <f>IF(tblTrazabilidad[[#This Row],[Código]]=0,"",IFERROR(IF(SEARCH("JM",tblTrazabilidad[[#This Row],[Código]])&gt;0,"Juego de pesas",),"Pesa"))</f>
        <v/>
      </c>
      <c r="CJ320" s="35" t="str">
        <f>IFERROR(VLOOKUP($CH320,tblBD_PatronMasa[[Código Patrón]:[mN-(mpe–U95)]],2,FALSE),"")</f>
        <v/>
      </c>
      <c r="CK320" s="35" t="str">
        <f>IFERROR(VLOOKUP($CH320,tblBD_PatronMasa[[Código Patrón]:[mN-(mpe–U95)]],13,FALSE),"")</f>
        <v/>
      </c>
      <c r="CL320" s="34" t="str">
        <f>IF(tblTrazabilidad[[#This Row],[Clase]]="F2",IFERROR(IF(VLOOKUP($CH320,tblBD_PatronMasa[[Código Patrón]:[mN-(mpe–U95)]],12,FALSE)=0,"",VLOOKUP($CH320,tblBD_PatronMasa[[Código Patrón]:[mN-(mpe–U95)]],12,FALSE)+731),""),IF(tblTrazabilidad[[#This Row],[Clase]]="F1",IFERROR(IF(VLOOKUP($CH320,tblBD_PatronMasa[[Código Patrón]:[mN-(mpe–U95)]],12,FALSE)=0,"",VLOOKUP($CH320,tblBD_PatronMasa[[Código Patrón]:[mN-(mpe–U95)]],12,FALSE)+731),""),IFERROR(IF(VLOOKUP($CH320,tblBD_PatronMasa[[Código Patrón]:[mN-(mpe–U95)]],12,FALSE)=0,"",VLOOKUP($CH320,tblBD_PatronMasa[[Código Patrón]:[mN-(mpe–U95)]],12,FALSE)+366),"")))</f>
        <v/>
      </c>
      <c r="CM320" s="33" t="str">
        <f>IFERROR(VLOOKUP($CH320,tblBD_PatronMasa[[Código Patrón]:[mN-(mpe–U95)]],3,FALSE),"")</f>
        <v/>
      </c>
      <c r="CS320" s="32"/>
      <c r="CU320"/>
      <c r="DC320" s="1"/>
      <c r="DD320" s="1"/>
      <c r="DF320"/>
      <c r="DG320"/>
    </row>
    <row r="321" spans="85:111" x14ac:dyDescent="0.3">
      <c r="CG321" s="38">
        <v>315</v>
      </c>
      <c r="CH321" s="35">
        <f t="shared" si="16"/>
        <v>0</v>
      </c>
      <c r="CI321" s="35" t="str">
        <f>IF(tblTrazabilidad[[#This Row],[Código]]=0,"",IFERROR(IF(SEARCH("JM",tblTrazabilidad[[#This Row],[Código]])&gt;0,"Juego de pesas",),"Pesa"))</f>
        <v/>
      </c>
      <c r="CJ321" s="35" t="str">
        <f>IFERROR(VLOOKUP($CH321,tblBD_PatronMasa[[Código Patrón]:[mN-(mpe–U95)]],2,FALSE),"")</f>
        <v/>
      </c>
      <c r="CK321" s="35" t="str">
        <f>IFERROR(VLOOKUP($CH321,tblBD_PatronMasa[[Código Patrón]:[mN-(mpe–U95)]],13,FALSE),"")</f>
        <v/>
      </c>
      <c r="CL321" s="34" t="str">
        <f>IF(tblTrazabilidad[[#This Row],[Clase]]="F2",IFERROR(IF(VLOOKUP($CH321,tblBD_PatronMasa[[Código Patrón]:[mN-(mpe–U95)]],12,FALSE)=0,"",VLOOKUP($CH321,tblBD_PatronMasa[[Código Patrón]:[mN-(mpe–U95)]],12,FALSE)+731),""),IF(tblTrazabilidad[[#This Row],[Clase]]="F1",IFERROR(IF(VLOOKUP($CH321,tblBD_PatronMasa[[Código Patrón]:[mN-(mpe–U95)]],12,FALSE)=0,"",VLOOKUP($CH321,tblBD_PatronMasa[[Código Patrón]:[mN-(mpe–U95)]],12,FALSE)+731),""),IFERROR(IF(VLOOKUP($CH321,tblBD_PatronMasa[[Código Patrón]:[mN-(mpe–U95)]],12,FALSE)=0,"",VLOOKUP($CH321,tblBD_PatronMasa[[Código Patrón]:[mN-(mpe–U95)]],12,FALSE)+366),"")))</f>
        <v/>
      </c>
      <c r="CM321" s="33" t="str">
        <f>IFERROR(VLOOKUP($CH321,tblBD_PatronMasa[[Código Patrón]:[mN-(mpe–U95)]],3,FALSE),"")</f>
        <v/>
      </c>
      <c r="CS321" s="32"/>
      <c r="CU321"/>
      <c r="DC321" s="1"/>
      <c r="DD321" s="1"/>
      <c r="DF321"/>
      <c r="DG321"/>
    </row>
    <row r="322" spans="85:111" x14ac:dyDescent="0.3">
      <c r="CG322" s="38">
        <v>316</v>
      </c>
      <c r="CH322" s="35">
        <f t="shared" si="16"/>
        <v>0</v>
      </c>
      <c r="CI322" s="35" t="str">
        <f>IF(tblTrazabilidad[[#This Row],[Código]]=0,"",IFERROR(IF(SEARCH("JM",tblTrazabilidad[[#This Row],[Código]])&gt;0,"Juego de pesas",),"Pesa"))</f>
        <v/>
      </c>
      <c r="CJ322" s="35" t="str">
        <f>IFERROR(VLOOKUP($CH322,tblBD_PatronMasa[[Código Patrón]:[mN-(mpe–U95)]],2,FALSE),"")</f>
        <v/>
      </c>
      <c r="CK322" s="35" t="str">
        <f>IFERROR(VLOOKUP($CH322,tblBD_PatronMasa[[Código Patrón]:[mN-(mpe–U95)]],13,FALSE),"")</f>
        <v/>
      </c>
      <c r="CL322" s="34" t="str">
        <f>IF(tblTrazabilidad[[#This Row],[Clase]]="F2",IFERROR(IF(VLOOKUP($CH322,tblBD_PatronMasa[[Código Patrón]:[mN-(mpe–U95)]],12,FALSE)=0,"",VLOOKUP($CH322,tblBD_PatronMasa[[Código Patrón]:[mN-(mpe–U95)]],12,FALSE)+731),""),IF(tblTrazabilidad[[#This Row],[Clase]]="F1",IFERROR(IF(VLOOKUP($CH322,tblBD_PatronMasa[[Código Patrón]:[mN-(mpe–U95)]],12,FALSE)=0,"",VLOOKUP($CH322,tblBD_PatronMasa[[Código Patrón]:[mN-(mpe–U95)]],12,FALSE)+731),""),IFERROR(IF(VLOOKUP($CH322,tblBD_PatronMasa[[Código Patrón]:[mN-(mpe–U95)]],12,FALSE)=0,"",VLOOKUP($CH322,tblBD_PatronMasa[[Código Patrón]:[mN-(mpe–U95)]],12,FALSE)+366),"")))</f>
        <v/>
      </c>
      <c r="CM322" s="33" t="str">
        <f>IFERROR(VLOOKUP($CH322,tblBD_PatronMasa[[Código Patrón]:[mN-(mpe–U95)]],3,FALSE),"")</f>
        <v/>
      </c>
      <c r="CS322" s="32"/>
      <c r="CU322"/>
      <c r="DC322" s="1"/>
      <c r="DD322" s="1"/>
      <c r="DF322"/>
      <c r="DG322"/>
    </row>
    <row r="323" spans="85:111" x14ac:dyDescent="0.3">
      <c r="CG323" s="38">
        <v>317</v>
      </c>
      <c r="CH323" s="35">
        <f t="shared" si="16"/>
        <v>0</v>
      </c>
      <c r="CI323" s="35" t="str">
        <f>IF(tblTrazabilidad[[#This Row],[Código]]=0,"",IFERROR(IF(SEARCH("JM",tblTrazabilidad[[#This Row],[Código]])&gt;0,"Juego de pesas",),"Pesa"))</f>
        <v/>
      </c>
      <c r="CJ323" s="35" t="str">
        <f>IFERROR(VLOOKUP($CH323,tblBD_PatronMasa[[Código Patrón]:[mN-(mpe–U95)]],2,FALSE),"")</f>
        <v/>
      </c>
      <c r="CK323" s="35" t="str">
        <f>IFERROR(VLOOKUP($CH323,tblBD_PatronMasa[[Código Patrón]:[mN-(mpe–U95)]],13,FALSE),"")</f>
        <v/>
      </c>
      <c r="CL323" s="34" t="str">
        <f>IF(tblTrazabilidad[[#This Row],[Clase]]="F2",IFERROR(IF(VLOOKUP($CH323,tblBD_PatronMasa[[Código Patrón]:[mN-(mpe–U95)]],12,FALSE)=0,"",VLOOKUP($CH323,tblBD_PatronMasa[[Código Patrón]:[mN-(mpe–U95)]],12,FALSE)+731),""),IF(tblTrazabilidad[[#This Row],[Clase]]="F1",IFERROR(IF(VLOOKUP($CH323,tblBD_PatronMasa[[Código Patrón]:[mN-(mpe–U95)]],12,FALSE)=0,"",VLOOKUP($CH323,tblBD_PatronMasa[[Código Patrón]:[mN-(mpe–U95)]],12,FALSE)+731),""),IFERROR(IF(VLOOKUP($CH323,tblBD_PatronMasa[[Código Patrón]:[mN-(mpe–U95)]],12,FALSE)=0,"",VLOOKUP($CH323,tblBD_PatronMasa[[Código Patrón]:[mN-(mpe–U95)]],12,FALSE)+366),"")))</f>
        <v/>
      </c>
      <c r="CM323" s="33" t="str">
        <f>IFERROR(VLOOKUP($CH323,tblBD_PatronMasa[[Código Patrón]:[mN-(mpe–U95)]],3,FALSE),"")</f>
        <v/>
      </c>
      <c r="CS323" s="32"/>
      <c r="CU323"/>
      <c r="DC323" s="1"/>
      <c r="DD323" s="1"/>
      <c r="DF323"/>
      <c r="DG323"/>
    </row>
    <row r="324" spans="85:111" x14ac:dyDescent="0.3">
      <c r="CG324" s="38">
        <v>318</v>
      </c>
      <c r="CH324" s="35">
        <f t="shared" si="16"/>
        <v>0</v>
      </c>
      <c r="CI324" s="35" t="str">
        <f>IF(tblTrazabilidad[[#This Row],[Código]]=0,"",IFERROR(IF(SEARCH("JM",tblTrazabilidad[[#This Row],[Código]])&gt;0,"Juego de pesas",),"Pesa"))</f>
        <v/>
      </c>
      <c r="CJ324" s="35" t="str">
        <f>IFERROR(VLOOKUP($CH324,tblBD_PatronMasa[[Código Patrón]:[mN-(mpe–U95)]],2,FALSE),"")</f>
        <v/>
      </c>
      <c r="CK324" s="35" t="str">
        <f>IFERROR(VLOOKUP($CH324,tblBD_PatronMasa[[Código Patrón]:[mN-(mpe–U95)]],13,FALSE),"")</f>
        <v/>
      </c>
      <c r="CL324" s="34" t="str">
        <f>IF(tblTrazabilidad[[#This Row],[Clase]]="F2",IFERROR(IF(VLOOKUP($CH324,tblBD_PatronMasa[[Código Patrón]:[mN-(mpe–U95)]],12,FALSE)=0,"",VLOOKUP($CH324,tblBD_PatronMasa[[Código Patrón]:[mN-(mpe–U95)]],12,FALSE)+731),""),IF(tblTrazabilidad[[#This Row],[Clase]]="F1",IFERROR(IF(VLOOKUP($CH324,tblBD_PatronMasa[[Código Patrón]:[mN-(mpe–U95)]],12,FALSE)=0,"",VLOOKUP($CH324,tblBD_PatronMasa[[Código Patrón]:[mN-(mpe–U95)]],12,FALSE)+731),""),IFERROR(IF(VLOOKUP($CH324,tblBD_PatronMasa[[Código Patrón]:[mN-(mpe–U95)]],12,FALSE)=0,"",VLOOKUP($CH324,tblBD_PatronMasa[[Código Patrón]:[mN-(mpe–U95)]],12,FALSE)+366),"")))</f>
        <v/>
      </c>
      <c r="CM324" s="33" t="str">
        <f>IFERROR(VLOOKUP($CH324,tblBD_PatronMasa[[Código Patrón]:[mN-(mpe–U95)]],3,FALSE),"")</f>
        <v/>
      </c>
      <c r="CS324" s="32"/>
      <c r="CU324"/>
      <c r="DC324" s="1"/>
      <c r="DD324" s="1"/>
      <c r="DF324"/>
      <c r="DG324"/>
    </row>
    <row r="325" spans="85:111" x14ac:dyDescent="0.3">
      <c r="CG325" s="38">
        <v>319</v>
      </c>
      <c r="CH325" s="35">
        <f t="shared" si="16"/>
        <v>0</v>
      </c>
      <c r="CI325" s="35" t="str">
        <f>IF(tblTrazabilidad[[#This Row],[Código]]=0,"",IFERROR(IF(SEARCH("JM",tblTrazabilidad[[#This Row],[Código]])&gt;0,"Juego de pesas",),"Pesa"))</f>
        <v/>
      </c>
      <c r="CJ325" s="35" t="str">
        <f>IFERROR(VLOOKUP($CH325,tblBD_PatronMasa[[Código Patrón]:[mN-(mpe–U95)]],2,FALSE),"")</f>
        <v/>
      </c>
      <c r="CK325" s="35" t="str">
        <f>IFERROR(VLOOKUP($CH325,tblBD_PatronMasa[[Código Patrón]:[mN-(mpe–U95)]],13,FALSE),"")</f>
        <v/>
      </c>
      <c r="CL325" s="34" t="str">
        <f>IF(tblTrazabilidad[[#This Row],[Clase]]="F2",IFERROR(IF(VLOOKUP($CH325,tblBD_PatronMasa[[Código Patrón]:[mN-(mpe–U95)]],12,FALSE)=0,"",VLOOKUP($CH325,tblBD_PatronMasa[[Código Patrón]:[mN-(mpe–U95)]],12,FALSE)+731),""),IF(tblTrazabilidad[[#This Row],[Clase]]="F1",IFERROR(IF(VLOOKUP($CH325,tblBD_PatronMasa[[Código Patrón]:[mN-(mpe–U95)]],12,FALSE)=0,"",VLOOKUP($CH325,tblBD_PatronMasa[[Código Patrón]:[mN-(mpe–U95)]],12,FALSE)+731),""),IFERROR(IF(VLOOKUP($CH325,tblBD_PatronMasa[[Código Patrón]:[mN-(mpe–U95)]],12,FALSE)=0,"",VLOOKUP($CH325,tblBD_PatronMasa[[Código Patrón]:[mN-(mpe–U95)]],12,FALSE)+366),"")))</f>
        <v/>
      </c>
      <c r="CM325" s="33" t="str">
        <f>IFERROR(VLOOKUP($CH325,tblBD_PatronMasa[[Código Patrón]:[mN-(mpe–U95)]],3,FALSE),"")</f>
        <v/>
      </c>
      <c r="CS325" s="32"/>
      <c r="CU325"/>
      <c r="DC325" s="1"/>
      <c r="DD325" s="1"/>
      <c r="DF325"/>
      <c r="DG325"/>
    </row>
    <row r="326" spans="85:111" x14ac:dyDescent="0.3">
      <c r="CG326" s="38">
        <v>320</v>
      </c>
      <c r="CH326" s="35">
        <f t="shared" si="16"/>
        <v>0</v>
      </c>
      <c r="CI326" s="35" t="str">
        <f>IF(tblTrazabilidad[[#This Row],[Código]]=0,"",IFERROR(IF(SEARCH("JM",tblTrazabilidad[[#This Row],[Código]])&gt;0,"Juego de pesas",),"Pesa"))</f>
        <v/>
      </c>
      <c r="CJ326" s="35" t="str">
        <f>IFERROR(VLOOKUP($CH326,tblBD_PatronMasa[[Código Patrón]:[mN-(mpe–U95)]],2,FALSE),"")</f>
        <v/>
      </c>
      <c r="CK326" s="35" t="str">
        <f>IFERROR(VLOOKUP($CH326,tblBD_PatronMasa[[Código Patrón]:[mN-(mpe–U95)]],13,FALSE),"")</f>
        <v/>
      </c>
      <c r="CL326" s="34" t="str">
        <f>IF(tblTrazabilidad[[#This Row],[Clase]]="F2",IFERROR(IF(VLOOKUP($CH326,tblBD_PatronMasa[[Código Patrón]:[mN-(mpe–U95)]],12,FALSE)=0,"",VLOOKUP($CH326,tblBD_PatronMasa[[Código Patrón]:[mN-(mpe–U95)]],12,FALSE)+731),""),IF(tblTrazabilidad[[#This Row],[Clase]]="F1",IFERROR(IF(VLOOKUP($CH326,tblBD_PatronMasa[[Código Patrón]:[mN-(mpe–U95)]],12,FALSE)=0,"",VLOOKUP($CH326,tblBD_PatronMasa[[Código Patrón]:[mN-(mpe–U95)]],12,FALSE)+731),""),IFERROR(IF(VLOOKUP($CH326,tblBD_PatronMasa[[Código Patrón]:[mN-(mpe–U95)]],12,FALSE)=0,"",VLOOKUP($CH326,tblBD_PatronMasa[[Código Patrón]:[mN-(mpe–U95)]],12,FALSE)+366),"")))</f>
        <v/>
      </c>
      <c r="CM326" s="33" t="str">
        <f>IFERROR(VLOOKUP($CH326,tblBD_PatronMasa[[Código Patrón]:[mN-(mpe–U95)]],3,FALSE),"")</f>
        <v/>
      </c>
      <c r="CS326" s="32"/>
      <c r="CU326"/>
      <c r="DC326" s="1"/>
      <c r="DD326" s="1"/>
      <c r="DF326"/>
      <c r="DG326"/>
    </row>
    <row r="327" spans="85:111" x14ac:dyDescent="0.3">
      <c r="CG327" s="38">
        <v>321</v>
      </c>
      <c r="CH327" s="35">
        <f t="shared" si="16"/>
        <v>0</v>
      </c>
      <c r="CI327" s="35" t="str">
        <f>IF(tblTrazabilidad[[#This Row],[Código]]=0,"",IFERROR(IF(SEARCH("JM",tblTrazabilidad[[#This Row],[Código]])&gt;0,"Juego de pesas",),"Pesa"))</f>
        <v/>
      </c>
      <c r="CJ327" s="35" t="str">
        <f>IFERROR(VLOOKUP($CH327,tblBD_PatronMasa[[Código Patrón]:[mN-(mpe–U95)]],2,FALSE),"")</f>
        <v/>
      </c>
      <c r="CK327" s="35" t="str">
        <f>IFERROR(VLOOKUP($CH327,tblBD_PatronMasa[[Código Patrón]:[mN-(mpe–U95)]],13,FALSE),"")</f>
        <v/>
      </c>
      <c r="CL327" s="34" t="str">
        <f>IF(tblTrazabilidad[[#This Row],[Clase]]="F2",IFERROR(IF(VLOOKUP($CH327,tblBD_PatronMasa[[Código Patrón]:[mN-(mpe–U95)]],12,FALSE)=0,"",VLOOKUP($CH327,tblBD_PatronMasa[[Código Patrón]:[mN-(mpe–U95)]],12,FALSE)+731),""),IF(tblTrazabilidad[[#This Row],[Clase]]="F1",IFERROR(IF(VLOOKUP($CH327,tblBD_PatronMasa[[Código Patrón]:[mN-(mpe–U95)]],12,FALSE)=0,"",VLOOKUP($CH327,tblBD_PatronMasa[[Código Patrón]:[mN-(mpe–U95)]],12,FALSE)+731),""),IFERROR(IF(VLOOKUP($CH327,tblBD_PatronMasa[[Código Patrón]:[mN-(mpe–U95)]],12,FALSE)=0,"",VLOOKUP($CH327,tblBD_PatronMasa[[Código Patrón]:[mN-(mpe–U95)]],12,FALSE)+366),"")))</f>
        <v/>
      </c>
      <c r="CM327" s="33" t="str">
        <f>IFERROR(VLOOKUP($CH327,tblBD_PatronMasa[[Código Patrón]:[mN-(mpe–U95)]],3,FALSE),"")</f>
        <v/>
      </c>
      <c r="CS327" s="32"/>
      <c r="CU327"/>
      <c r="DC327" s="1"/>
      <c r="DD327" s="1"/>
      <c r="DF327"/>
      <c r="DG327"/>
    </row>
    <row r="328" spans="85:111" x14ac:dyDescent="0.3">
      <c r="CG328" s="38">
        <v>322</v>
      </c>
      <c r="CH328" s="35">
        <f t="shared" si="16"/>
        <v>0</v>
      </c>
      <c r="CI328" s="35" t="str">
        <f>IF(tblTrazabilidad[[#This Row],[Código]]=0,"",IFERROR(IF(SEARCH("JM",tblTrazabilidad[[#This Row],[Código]])&gt;0,"Juego de pesas",),"Pesa"))</f>
        <v/>
      </c>
      <c r="CJ328" s="35" t="str">
        <f>IFERROR(VLOOKUP($CH328,tblBD_PatronMasa[[Código Patrón]:[mN-(mpe–U95)]],2,FALSE),"")</f>
        <v/>
      </c>
      <c r="CK328" s="35" t="str">
        <f>IFERROR(VLOOKUP($CH328,tblBD_PatronMasa[[Código Patrón]:[mN-(mpe–U95)]],13,FALSE),"")</f>
        <v/>
      </c>
      <c r="CL328" s="34" t="str">
        <f>IF(tblTrazabilidad[[#This Row],[Clase]]="F2",IFERROR(IF(VLOOKUP($CH328,tblBD_PatronMasa[[Código Patrón]:[mN-(mpe–U95)]],12,FALSE)=0,"",VLOOKUP($CH328,tblBD_PatronMasa[[Código Patrón]:[mN-(mpe–U95)]],12,FALSE)+731),""),IF(tblTrazabilidad[[#This Row],[Clase]]="F1",IFERROR(IF(VLOOKUP($CH328,tblBD_PatronMasa[[Código Patrón]:[mN-(mpe–U95)]],12,FALSE)=0,"",VLOOKUP($CH328,tblBD_PatronMasa[[Código Patrón]:[mN-(mpe–U95)]],12,FALSE)+731),""),IFERROR(IF(VLOOKUP($CH328,tblBD_PatronMasa[[Código Patrón]:[mN-(mpe–U95)]],12,FALSE)=0,"",VLOOKUP($CH328,tblBD_PatronMasa[[Código Patrón]:[mN-(mpe–U95)]],12,FALSE)+366),"")))</f>
        <v/>
      </c>
      <c r="CM328" s="33" t="str">
        <f>IFERROR(VLOOKUP($CH328,tblBD_PatronMasa[[Código Patrón]:[mN-(mpe–U95)]],3,FALSE),"")</f>
        <v/>
      </c>
      <c r="CS328" s="32"/>
      <c r="CU328"/>
      <c r="DC328" s="1"/>
      <c r="DD328" s="1"/>
      <c r="DF328"/>
      <c r="DG328"/>
    </row>
    <row r="329" spans="85:111" x14ac:dyDescent="0.3">
      <c r="CG329" s="38">
        <v>323</v>
      </c>
      <c r="CH329" s="35">
        <f t="shared" si="16"/>
        <v>0</v>
      </c>
      <c r="CI329" s="35" t="str">
        <f>IF(tblTrazabilidad[[#This Row],[Código]]=0,"",IFERROR(IF(SEARCH("JM",tblTrazabilidad[[#This Row],[Código]])&gt;0,"Juego de pesas",),"Pesa"))</f>
        <v/>
      </c>
      <c r="CJ329" s="35" t="str">
        <f>IFERROR(VLOOKUP($CH329,tblBD_PatronMasa[[Código Patrón]:[mN-(mpe–U95)]],2,FALSE),"")</f>
        <v/>
      </c>
      <c r="CK329" s="35" t="str">
        <f>IFERROR(VLOOKUP($CH329,tblBD_PatronMasa[[Código Patrón]:[mN-(mpe–U95)]],13,FALSE),"")</f>
        <v/>
      </c>
      <c r="CL329" s="34" t="str">
        <f>IF(tblTrazabilidad[[#This Row],[Clase]]="F2",IFERROR(IF(VLOOKUP($CH329,tblBD_PatronMasa[[Código Patrón]:[mN-(mpe–U95)]],12,FALSE)=0,"",VLOOKUP($CH329,tblBD_PatronMasa[[Código Patrón]:[mN-(mpe–U95)]],12,FALSE)+731),""),IF(tblTrazabilidad[[#This Row],[Clase]]="F1",IFERROR(IF(VLOOKUP($CH329,tblBD_PatronMasa[[Código Patrón]:[mN-(mpe–U95)]],12,FALSE)=0,"",VLOOKUP($CH329,tblBD_PatronMasa[[Código Patrón]:[mN-(mpe–U95)]],12,FALSE)+731),""),IFERROR(IF(VLOOKUP($CH329,tblBD_PatronMasa[[Código Patrón]:[mN-(mpe–U95)]],12,FALSE)=0,"",VLOOKUP($CH329,tblBD_PatronMasa[[Código Patrón]:[mN-(mpe–U95)]],12,FALSE)+366),"")))</f>
        <v/>
      </c>
      <c r="CM329" s="33" t="str">
        <f>IFERROR(VLOOKUP($CH329,tblBD_PatronMasa[[Código Patrón]:[mN-(mpe–U95)]],3,FALSE),"")</f>
        <v/>
      </c>
      <c r="CS329" s="32"/>
      <c r="CU329"/>
      <c r="DC329" s="1"/>
      <c r="DD329" s="1"/>
      <c r="DF329"/>
      <c r="DG329"/>
    </row>
    <row r="330" spans="85:111" x14ac:dyDescent="0.3">
      <c r="CG330" s="38">
        <v>324</v>
      </c>
      <c r="CH330" s="35">
        <f t="shared" si="16"/>
        <v>0</v>
      </c>
      <c r="CI330" s="35" t="str">
        <f>IF(tblTrazabilidad[[#This Row],[Código]]=0,"",IFERROR(IF(SEARCH("JM",tblTrazabilidad[[#This Row],[Código]])&gt;0,"Juego de pesas",),"Pesa"))</f>
        <v/>
      </c>
      <c r="CJ330" s="35" t="str">
        <f>IFERROR(VLOOKUP($CH330,tblBD_PatronMasa[[Código Patrón]:[mN-(mpe–U95)]],2,FALSE),"")</f>
        <v/>
      </c>
      <c r="CK330" s="35" t="str">
        <f>IFERROR(VLOOKUP($CH330,tblBD_PatronMasa[[Código Patrón]:[mN-(mpe–U95)]],13,FALSE),"")</f>
        <v/>
      </c>
      <c r="CL330" s="34" t="str">
        <f>IF(tblTrazabilidad[[#This Row],[Clase]]="F2",IFERROR(IF(VLOOKUP($CH330,tblBD_PatronMasa[[Código Patrón]:[mN-(mpe–U95)]],12,FALSE)=0,"",VLOOKUP($CH330,tblBD_PatronMasa[[Código Patrón]:[mN-(mpe–U95)]],12,FALSE)+731),""),IF(tblTrazabilidad[[#This Row],[Clase]]="F1",IFERROR(IF(VLOOKUP($CH330,tblBD_PatronMasa[[Código Patrón]:[mN-(mpe–U95)]],12,FALSE)=0,"",VLOOKUP($CH330,tblBD_PatronMasa[[Código Patrón]:[mN-(mpe–U95)]],12,FALSE)+731),""),IFERROR(IF(VLOOKUP($CH330,tblBD_PatronMasa[[Código Patrón]:[mN-(mpe–U95)]],12,FALSE)=0,"",VLOOKUP($CH330,tblBD_PatronMasa[[Código Patrón]:[mN-(mpe–U95)]],12,FALSE)+366),"")))</f>
        <v/>
      </c>
      <c r="CM330" s="33" t="str">
        <f>IFERROR(VLOOKUP($CH330,tblBD_PatronMasa[[Código Patrón]:[mN-(mpe–U95)]],3,FALSE),"")</f>
        <v/>
      </c>
      <c r="CS330" s="32"/>
      <c r="CU330"/>
      <c r="DC330" s="1"/>
      <c r="DD330" s="1"/>
      <c r="DF330"/>
      <c r="DG330"/>
    </row>
    <row r="331" spans="85:111" x14ac:dyDescent="0.3">
      <c r="CG331" s="38">
        <v>325</v>
      </c>
      <c r="CH331" s="35">
        <f t="shared" si="16"/>
        <v>0</v>
      </c>
      <c r="CI331" s="35" t="str">
        <f>IF(tblTrazabilidad[[#This Row],[Código]]=0,"",IFERROR(IF(SEARCH("JM",tblTrazabilidad[[#This Row],[Código]])&gt;0,"Juego de pesas",),"Pesa"))</f>
        <v/>
      </c>
      <c r="CJ331" s="35" t="str">
        <f>IFERROR(VLOOKUP($CH331,tblBD_PatronMasa[[Código Patrón]:[mN-(mpe–U95)]],2,FALSE),"")</f>
        <v/>
      </c>
      <c r="CK331" s="35" t="str">
        <f>IFERROR(VLOOKUP($CH331,tblBD_PatronMasa[[Código Patrón]:[mN-(mpe–U95)]],13,FALSE),"")</f>
        <v/>
      </c>
      <c r="CL331" s="34" t="str">
        <f>IF(tblTrazabilidad[[#This Row],[Clase]]="F2",IFERROR(IF(VLOOKUP($CH331,tblBD_PatronMasa[[Código Patrón]:[mN-(mpe–U95)]],12,FALSE)=0,"",VLOOKUP($CH331,tblBD_PatronMasa[[Código Patrón]:[mN-(mpe–U95)]],12,FALSE)+731),""),IF(tblTrazabilidad[[#This Row],[Clase]]="F1",IFERROR(IF(VLOOKUP($CH331,tblBD_PatronMasa[[Código Patrón]:[mN-(mpe–U95)]],12,FALSE)=0,"",VLOOKUP($CH331,tblBD_PatronMasa[[Código Patrón]:[mN-(mpe–U95)]],12,FALSE)+731),""),IFERROR(IF(VLOOKUP($CH331,tblBD_PatronMasa[[Código Patrón]:[mN-(mpe–U95)]],12,FALSE)=0,"",VLOOKUP($CH331,tblBD_PatronMasa[[Código Patrón]:[mN-(mpe–U95)]],12,FALSE)+366),"")))</f>
        <v/>
      </c>
      <c r="CM331" s="33" t="str">
        <f>IFERROR(VLOOKUP($CH331,tblBD_PatronMasa[[Código Patrón]:[mN-(mpe–U95)]],3,FALSE),"")</f>
        <v/>
      </c>
      <c r="CS331" s="32"/>
      <c r="CU331"/>
      <c r="DC331" s="1"/>
      <c r="DD331" s="1"/>
      <c r="DF331"/>
      <c r="DG331"/>
    </row>
    <row r="332" spans="85:111" x14ac:dyDescent="0.3">
      <c r="CG332" s="38">
        <v>326</v>
      </c>
      <c r="CH332" s="35">
        <f t="shared" si="16"/>
        <v>0</v>
      </c>
      <c r="CI332" s="35" t="str">
        <f>IF(tblTrazabilidad[[#This Row],[Código]]=0,"",IFERROR(IF(SEARCH("JM",tblTrazabilidad[[#This Row],[Código]])&gt;0,"Juego de pesas",),"Pesa"))</f>
        <v/>
      </c>
      <c r="CJ332" s="35" t="str">
        <f>IFERROR(VLOOKUP($CH332,tblBD_PatronMasa[[Código Patrón]:[mN-(mpe–U95)]],2,FALSE),"")</f>
        <v/>
      </c>
      <c r="CK332" s="35" t="str">
        <f>IFERROR(VLOOKUP($CH332,tblBD_PatronMasa[[Código Patrón]:[mN-(mpe–U95)]],13,FALSE),"")</f>
        <v/>
      </c>
      <c r="CL332" s="34" t="str">
        <f>IF(tblTrazabilidad[[#This Row],[Clase]]="F2",IFERROR(IF(VLOOKUP($CH332,tblBD_PatronMasa[[Código Patrón]:[mN-(mpe–U95)]],12,FALSE)=0,"",VLOOKUP($CH332,tblBD_PatronMasa[[Código Patrón]:[mN-(mpe–U95)]],12,FALSE)+731),""),IF(tblTrazabilidad[[#This Row],[Clase]]="F1",IFERROR(IF(VLOOKUP($CH332,tblBD_PatronMasa[[Código Patrón]:[mN-(mpe–U95)]],12,FALSE)=0,"",VLOOKUP($CH332,tblBD_PatronMasa[[Código Patrón]:[mN-(mpe–U95)]],12,FALSE)+731),""),IFERROR(IF(VLOOKUP($CH332,tblBD_PatronMasa[[Código Patrón]:[mN-(mpe–U95)]],12,FALSE)=0,"",VLOOKUP($CH332,tblBD_PatronMasa[[Código Patrón]:[mN-(mpe–U95)]],12,FALSE)+366),"")))</f>
        <v/>
      </c>
      <c r="CM332" s="33" t="str">
        <f>IFERROR(VLOOKUP($CH332,tblBD_PatronMasa[[Código Patrón]:[mN-(mpe–U95)]],3,FALSE),"")</f>
        <v/>
      </c>
      <c r="CS332" s="32"/>
      <c r="CU332"/>
      <c r="DC332" s="1"/>
      <c r="DD332" s="1"/>
      <c r="DF332"/>
      <c r="DG332"/>
    </row>
    <row r="333" spans="85:111" x14ac:dyDescent="0.3">
      <c r="CG333" s="38">
        <v>327</v>
      </c>
      <c r="CH333" s="35">
        <f t="shared" si="16"/>
        <v>0</v>
      </c>
      <c r="CI333" s="35" t="str">
        <f>IF(tblTrazabilidad[[#This Row],[Código]]=0,"",IFERROR(IF(SEARCH("JM",tblTrazabilidad[[#This Row],[Código]])&gt;0,"Juego de pesas",),"Pesa"))</f>
        <v/>
      </c>
      <c r="CJ333" s="35" t="str">
        <f>IFERROR(VLOOKUP($CH333,tblBD_PatronMasa[[Código Patrón]:[mN-(mpe–U95)]],2,FALSE),"")</f>
        <v/>
      </c>
      <c r="CK333" s="35" t="str">
        <f>IFERROR(VLOOKUP($CH333,tblBD_PatronMasa[[Código Patrón]:[mN-(mpe–U95)]],13,FALSE),"")</f>
        <v/>
      </c>
      <c r="CL333" s="34" t="str">
        <f>IF(tblTrazabilidad[[#This Row],[Clase]]="F2",IFERROR(IF(VLOOKUP($CH333,tblBD_PatronMasa[[Código Patrón]:[mN-(mpe–U95)]],12,FALSE)=0,"",VLOOKUP($CH333,tblBD_PatronMasa[[Código Patrón]:[mN-(mpe–U95)]],12,FALSE)+731),""),IF(tblTrazabilidad[[#This Row],[Clase]]="F1",IFERROR(IF(VLOOKUP($CH333,tblBD_PatronMasa[[Código Patrón]:[mN-(mpe–U95)]],12,FALSE)=0,"",VLOOKUP($CH333,tblBD_PatronMasa[[Código Patrón]:[mN-(mpe–U95)]],12,FALSE)+731),""),IFERROR(IF(VLOOKUP($CH333,tblBD_PatronMasa[[Código Patrón]:[mN-(mpe–U95)]],12,FALSE)=0,"",VLOOKUP($CH333,tblBD_PatronMasa[[Código Patrón]:[mN-(mpe–U95)]],12,FALSE)+366),"")))</f>
        <v/>
      </c>
      <c r="CM333" s="33" t="str">
        <f>IFERROR(VLOOKUP($CH333,tblBD_PatronMasa[[Código Patrón]:[mN-(mpe–U95)]],3,FALSE),"")</f>
        <v/>
      </c>
      <c r="CS333" s="32"/>
      <c r="CU333"/>
      <c r="DC333" s="1"/>
      <c r="DD333" s="1"/>
      <c r="DF333"/>
      <c r="DG333"/>
    </row>
    <row r="334" spans="85:111" x14ac:dyDescent="0.3">
      <c r="CG334" s="38">
        <v>328</v>
      </c>
      <c r="CH334" s="35">
        <f t="shared" si="16"/>
        <v>0</v>
      </c>
      <c r="CI334" s="35" t="str">
        <f>IF(tblTrazabilidad[[#This Row],[Código]]=0,"",IFERROR(IF(SEARCH("JM",tblTrazabilidad[[#This Row],[Código]])&gt;0,"Juego de pesas",),"Pesa"))</f>
        <v/>
      </c>
      <c r="CJ334" s="35" t="str">
        <f>IFERROR(VLOOKUP($CH334,tblBD_PatronMasa[[Código Patrón]:[mN-(mpe–U95)]],2,FALSE),"")</f>
        <v/>
      </c>
      <c r="CK334" s="35" t="str">
        <f>IFERROR(VLOOKUP($CH334,tblBD_PatronMasa[[Código Patrón]:[mN-(mpe–U95)]],13,FALSE),"")</f>
        <v/>
      </c>
      <c r="CL334" s="34" t="str">
        <f>IF(tblTrazabilidad[[#This Row],[Clase]]="F2",IFERROR(IF(VLOOKUP($CH334,tblBD_PatronMasa[[Código Patrón]:[mN-(mpe–U95)]],12,FALSE)=0,"",VLOOKUP($CH334,tblBD_PatronMasa[[Código Patrón]:[mN-(mpe–U95)]],12,FALSE)+731),""),IF(tblTrazabilidad[[#This Row],[Clase]]="F1",IFERROR(IF(VLOOKUP($CH334,tblBD_PatronMasa[[Código Patrón]:[mN-(mpe–U95)]],12,FALSE)=0,"",VLOOKUP($CH334,tblBD_PatronMasa[[Código Patrón]:[mN-(mpe–U95)]],12,FALSE)+731),""),IFERROR(IF(VLOOKUP($CH334,tblBD_PatronMasa[[Código Patrón]:[mN-(mpe–U95)]],12,FALSE)=0,"",VLOOKUP($CH334,tblBD_PatronMasa[[Código Patrón]:[mN-(mpe–U95)]],12,FALSE)+366),"")))</f>
        <v/>
      </c>
      <c r="CM334" s="33" t="str">
        <f>IFERROR(VLOOKUP($CH334,tblBD_PatronMasa[[Código Patrón]:[mN-(mpe–U95)]],3,FALSE),"")</f>
        <v/>
      </c>
      <c r="CS334" s="32"/>
      <c r="CU334"/>
      <c r="DC334" s="1"/>
      <c r="DD334" s="1"/>
      <c r="DF334"/>
      <c r="DG334"/>
    </row>
    <row r="335" spans="85:111" x14ac:dyDescent="0.3">
      <c r="CG335" s="38">
        <v>329</v>
      </c>
      <c r="CH335" s="35">
        <f t="shared" si="16"/>
        <v>0</v>
      </c>
      <c r="CI335" s="35" t="str">
        <f>IF(tblTrazabilidad[[#This Row],[Código]]=0,"",IFERROR(IF(SEARCH("JM",tblTrazabilidad[[#This Row],[Código]])&gt;0,"Juego de pesas",),"Pesa"))</f>
        <v/>
      </c>
      <c r="CJ335" s="35" t="str">
        <f>IFERROR(VLOOKUP($CH335,tblBD_PatronMasa[[Código Patrón]:[mN-(mpe–U95)]],2,FALSE),"")</f>
        <v/>
      </c>
      <c r="CK335" s="35" t="str">
        <f>IFERROR(VLOOKUP($CH335,tblBD_PatronMasa[[Código Patrón]:[mN-(mpe–U95)]],13,FALSE),"")</f>
        <v/>
      </c>
      <c r="CL335" s="34" t="str">
        <f>IF(tblTrazabilidad[[#This Row],[Clase]]="F2",IFERROR(IF(VLOOKUP($CH335,tblBD_PatronMasa[[Código Patrón]:[mN-(mpe–U95)]],12,FALSE)=0,"",VLOOKUP($CH335,tblBD_PatronMasa[[Código Patrón]:[mN-(mpe–U95)]],12,FALSE)+731),""),IF(tblTrazabilidad[[#This Row],[Clase]]="F1",IFERROR(IF(VLOOKUP($CH335,tblBD_PatronMasa[[Código Patrón]:[mN-(mpe–U95)]],12,FALSE)=0,"",VLOOKUP($CH335,tblBD_PatronMasa[[Código Patrón]:[mN-(mpe–U95)]],12,FALSE)+731),""),IFERROR(IF(VLOOKUP($CH335,tblBD_PatronMasa[[Código Patrón]:[mN-(mpe–U95)]],12,FALSE)=0,"",VLOOKUP($CH335,tblBD_PatronMasa[[Código Patrón]:[mN-(mpe–U95)]],12,FALSE)+366),"")))</f>
        <v/>
      </c>
      <c r="CM335" s="33" t="str">
        <f>IFERROR(VLOOKUP($CH335,tblBD_PatronMasa[[Código Patrón]:[mN-(mpe–U95)]],3,FALSE),"")</f>
        <v/>
      </c>
      <c r="CS335" s="32"/>
      <c r="CU335"/>
      <c r="DC335" s="1"/>
      <c r="DD335" s="1"/>
      <c r="DF335"/>
      <c r="DG335"/>
    </row>
    <row r="336" spans="85:111" x14ac:dyDescent="0.3">
      <c r="CG336" s="38">
        <v>330</v>
      </c>
      <c r="CH336" s="35">
        <f t="shared" si="16"/>
        <v>0</v>
      </c>
      <c r="CI336" s="35" t="str">
        <f>IF(tblTrazabilidad[[#This Row],[Código]]=0,"",IFERROR(IF(SEARCH("JM",tblTrazabilidad[[#This Row],[Código]])&gt;0,"Juego de pesas",),"Pesa"))</f>
        <v/>
      </c>
      <c r="CJ336" s="35" t="str">
        <f>IFERROR(VLOOKUP($CH336,tblBD_PatronMasa[[Código Patrón]:[mN-(mpe–U95)]],2,FALSE),"")</f>
        <v/>
      </c>
      <c r="CK336" s="35" t="str">
        <f>IFERROR(VLOOKUP($CH336,tblBD_PatronMasa[[Código Patrón]:[mN-(mpe–U95)]],13,FALSE),"")</f>
        <v/>
      </c>
      <c r="CL336" s="34" t="str">
        <f>IF(tblTrazabilidad[[#This Row],[Clase]]="F2",IFERROR(IF(VLOOKUP($CH336,tblBD_PatronMasa[[Código Patrón]:[mN-(mpe–U95)]],12,FALSE)=0,"",VLOOKUP($CH336,tblBD_PatronMasa[[Código Patrón]:[mN-(mpe–U95)]],12,FALSE)+731),""),IF(tblTrazabilidad[[#This Row],[Clase]]="F1",IFERROR(IF(VLOOKUP($CH336,tblBD_PatronMasa[[Código Patrón]:[mN-(mpe–U95)]],12,FALSE)=0,"",VLOOKUP($CH336,tblBD_PatronMasa[[Código Patrón]:[mN-(mpe–U95)]],12,FALSE)+731),""),IFERROR(IF(VLOOKUP($CH336,tblBD_PatronMasa[[Código Patrón]:[mN-(mpe–U95)]],12,FALSE)=0,"",VLOOKUP($CH336,tblBD_PatronMasa[[Código Patrón]:[mN-(mpe–U95)]],12,FALSE)+366),"")))</f>
        <v/>
      </c>
      <c r="CM336" s="33" t="str">
        <f>IFERROR(VLOOKUP($CH336,tblBD_PatronMasa[[Código Patrón]:[mN-(mpe–U95)]],3,FALSE),"")</f>
        <v/>
      </c>
      <c r="CS336" s="32"/>
      <c r="CU336"/>
      <c r="DC336" s="1"/>
      <c r="DD336" s="1"/>
      <c r="DF336"/>
      <c r="DG336"/>
    </row>
    <row r="337" spans="85:111" x14ac:dyDescent="0.3">
      <c r="CG337" s="38">
        <v>331</v>
      </c>
      <c r="CH337" s="35">
        <f t="shared" si="16"/>
        <v>0</v>
      </c>
      <c r="CI337" s="35" t="str">
        <f>IF(tblTrazabilidad[[#This Row],[Código]]=0,"",IFERROR(IF(SEARCH("JM",tblTrazabilidad[[#This Row],[Código]])&gt;0,"Juego de pesas",),"Pesa"))</f>
        <v/>
      </c>
      <c r="CJ337" s="35" t="str">
        <f>IFERROR(VLOOKUP($CH337,tblBD_PatronMasa[[Código Patrón]:[mN-(mpe–U95)]],2,FALSE),"")</f>
        <v/>
      </c>
      <c r="CK337" s="35" t="str">
        <f>IFERROR(VLOOKUP($CH337,tblBD_PatronMasa[[Código Patrón]:[mN-(mpe–U95)]],13,FALSE),"")</f>
        <v/>
      </c>
      <c r="CL337" s="34" t="str">
        <f>IF(tblTrazabilidad[[#This Row],[Clase]]="F2",IFERROR(IF(VLOOKUP($CH337,tblBD_PatronMasa[[Código Patrón]:[mN-(mpe–U95)]],12,FALSE)=0,"",VLOOKUP($CH337,tblBD_PatronMasa[[Código Patrón]:[mN-(mpe–U95)]],12,FALSE)+731),""),IF(tblTrazabilidad[[#This Row],[Clase]]="F1",IFERROR(IF(VLOOKUP($CH337,tblBD_PatronMasa[[Código Patrón]:[mN-(mpe–U95)]],12,FALSE)=0,"",VLOOKUP($CH337,tblBD_PatronMasa[[Código Patrón]:[mN-(mpe–U95)]],12,FALSE)+731),""),IFERROR(IF(VLOOKUP($CH337,tblBD_PatronMasa[[Código Patrón]:[mN-(mpe–U95)]],12,FALSE)=0,"",VLOOKUP($CH337,tblBD_PatronMasa[[Código Patrón]:[mN-(mpe–U95)]],12,FALSE)+366),"")))</f>
        <v/>
      </c>
      <c r="CM337" s="33" t="str">
        <f>IFERROR(VLOOKUP($CH337,tblBD_PatronMasa[[Código Patrón]:[mN-(mpe–U95)]],3,FALSE),"")</f>
        <v/>
      </c>
      <c r="CS337" s="32"/>
      <c r="CU337"/>
      <c r="DC337" s="1"/>
      <c r="DD337" s="1"/>
      <c r="DF337"/>
      <c r="DG337"/>
    </row>
    <row r="338" spans="85:111" x14ac:dyDescent="0.3">
      <c r="CG338" s="38">
        <v>332</v>
      </c>
      <c r="CH338" s="35">
        <f t="shared" si="16"/>
        <v>0</v>
      </c>
      <c r="CI338" s="35" t="str">
        <f>IF(tblTrazabilidad[[#This Row],[Código]]=0,"",IFERROR(IF(SEARCH("JM",tblTrazabilidad[[#This Row],[Código]])&gt;0,"Juego de pesas",),"Pesa"))</f>
        <v/>
      </c>
      <c r="CJ338" s="35" t="str">
        <f>IFERROR(VLOOKUP($CH338,tblBD_PatronMasa[[Código Patrón]:[mN-(mpe–U95)]],2,FALSE),"")</f>
        <v/>
      </c>
      <c r="CK338" s="35" t="str">
        <f>IFERROR(VLOOKUP($CH338,tblBD_PatronMasa[[Código Patrón]:[mN-(mpe–U95)]],13,FALSE),"")</f>
        <v/>
      </c>
      <c r="CL338" s="34" t="str">
        <f>IF(tblTrazabilidad[[#This Row],[Clase]]="F2",IFERROR(IF(VLOOKUP($CH338,tblBD_PatronMasa[[Código Patrón]:[mN-(mpe–U95)]],12,FALSE)=0,"",VLOOKUP($CH338,tblBD_PatronMasa[[Código Patrón]:[mN-(mpe–U95)]],12,FALSE)+731),""),IF(tblTrazabilidad[[#This Row],[Clase]]="F1",IFERROR(IF(VLOOKUP($CH338,tblBD_PatronMasa[[Código Patrón]:[mN-(mpe–U95)]],12,FALSE)=0,"",VLOOKUP($CH338,tblBD_PatronMasa[[Código Patrón]:[mN-(mpe–U95)]],12,FALSE)+731),""),IFERROR(IF(VLOOKUP($CH338,tblBD_PatronMasa[[Código Patrón]:[mN-(mpe–U95)]],12,FALSE)=0,"",VLOOKUP($CH338,tblBD_PatronMasa[[Código Patrón]:[mN-(mpe–U95)]],12,FALSE)+366),"")))</f>
        <v/>
      </c>
      <c r="CM338" s="33" t="str">
        <f>IFERROR(VLOOKUP($CH338,tblBD_PatronMasa[[Código Patrón]:[mN-(mpe–U95)]],3,FALSE),"")</f>
        <v/>
      </c>
      <c r="CS338" s="32"/>
      <c r="CU338"/>
      <c r="DC338" s="1"/>
      <c r="DD338" s="1"/>
      <c r="DF338"/>
      <c r="DG338"/>
    </row>
    <row r="339" spans="85:111" x14ac:dyDescent="0.3">
      <c r="CG339" s="38">
        <v>333</v>
      </c>
      <c r="CH339" s="35">
        <f t="shared" ref="CH339:CH356" si="17">BC37</f>
        <v>0</v>
      </c>
      <c r="CI339" s="35" t="str">
        <f>IF(tblTrazabilidad[[#This Row],[Código]]=0,"",IFERROR(IF(SEARCH("JM",tblTrazabilidad[[#This Row],[Código]])&gt;0,"Juego de pesas",),"Pesa"))</f>
        <v/>
      </c>
      <c r="CJ339" s="35" t="str">
        <f>IFERROR(VLOOKUP($CH339,tblBD_PatronMasa[[Código Patrón]:[mN-(mpe–U95)]],2,FALSE),"")</f>
        <v/>
      </c>
      <c r="CK339" s="35" t="str">
        <f>IFERROR(VLOOKUP($CH339,tblBD_PatronMasa[[Código Patrón]:[mN-(mpe–U95)]],13,FALSE),"")</f>
        <v/>
      </c>
      <c r="CL339" s="34" t="str">
        <f>IF(tblTrazabilidad[[#This Row],[Clase]]="F2",IFERROR(IF(VLOOKUP($CH339,tblBD_PatronMasa[[Código Patrón]:[mN-(mpe–U95)]],12,FALSE)=0,"",VLOOKUP($CH339,tblBD_PatronMasa[[Código Patrón]:[mN-(mpe–U95)]],12,FALSE)+731),""),IF(tblTrazabilidad[[#This Row],[Clase]]="F1",IFERROR(IF(VLOOKUP($CH339,tblBD_PatronMasa[[Código Patrón]:[mN-(mpe–U95)]],12,FALSE)=0,"",VLOOKUP($CH339,tblBD_PatronMasa[[Código Patrón]:[mN-(mpe–U95)]],12,FALSE)+731),""),IFERROR(IF(VLOOKUP($CH339,tblBD_PatronMasa[[Código Patrón]:[mN-(mpe–U95)]],12,FALSE)=0,"",VLOOKUP($CH339,tblBD_PatronMasa[[Código Patrón]:[mN-(mpe–U95)]],12,FALSE)+366),"")))</f>
        <v/>
      </c>
      <c r="CM339" s="33" t="str">
        <f>IFERROR(VLOOKUP($CH339,tblBD_PatronMasa[[Código Patrón]:[mN-(mpe–U95)]],3,FALSE),"")</f>
        <v/>
      </c>
      <c r="CS339" s="32"/>
      <c r="CU339"/>
      <c r="DC339" s="1"/>
      <c r="DD339" s="1"/>
      <c r="DF339"/>
      <c r="DG339"/>
    </row>
    <row r="340" spans="85:111" x14ac:dyDescent="0.3">
      <c r="CG340" s="38">
        <v>334</v>
      </c>
      <c r="CH340" s="35">
        <f t="shared" si="17"/>
        <v>0</v>
      </c>
      <c r="CI340" s="35" t="str">
        <f>IF(tblTrazabilidad[[#This Row],[Código]]=0,"",IFERROR(IF(SEARCH("JM",tblTrazabilidad[[#This Row],[Código]])&gt;0,"Juego de pesas",),"Pesa"))</f>
        <v/>
      </c>
      <c r="CJ340" s="35" t="str">
        <f>IFERROR(VLOOKUP($CH340,tblBD_PatronMasa[[Código Patrón]:[mN-(mpe–U95)]],2,FALSE),"")</f>
        <v/>
      </c>
      <c r="CK340" s="35" t="str">
        <f>IFERROR(VLOOKUP($CH340,tblBD_PatronMasa[[Código Patrón]:[mN-(mpe–U95)]],13,FALSE),"")</f>
        <v/>
      </c>
      <c r="CL340" s="34" t="str">
        <f>IF(tblTrazabilidad[[#This Row],[Clase]]="F2",IFERROR(IF(VLOOKUP($CH340,tblBD_PatronMasa[[Código Patrón]:[mN-(mpe–U95)]],12,FALSE)=0,"",VLOOKUP($CH340,tblBD_PatronMasa[[Código Patrón]:[mN-(mpe–U95)]],12,FALSE)+731),""),IF(tblTrazabilidad[[#This Row],[Clase]]="F1",IFERROR(IF(VLOOKUP($CH340,tblBD_PatronMasa[[Código Patrón]:[mN-(mpe–U95)]],12,FALSE)=0,"",VLOOKUP($CH340,tblBD_PatronMasa[[Código Patrón]:[mN-(mpe–U95)]],12,FALSE)+731),""),IFERROR(IF(VLOOKUP($CH340,tblBD_PatronMasa[[Código Patrón]:[mN-(mpe–U95)]],12,FALSE)=0,"",VLOOKUP($CH340,tblBD_PatronMasa[[Código Patrón]:[mN-(mpe–U95)]],12,FALSE)+366),"")))</f>
        <v/>
      </c>
      <c r="CM340" s="33" t="str">
        <f>IFERROR(VLOOKUP($CH340,tblBD_PatronMasa[[Código Patrón]:[mN-(mpe–U95)]],3,FALSE),"")</f>
        <v/>
      </c>
      <c r="CS340" s="32"/>
      <c r="CU340"/>
      <c r="DC340" s="1"/>
      <c r="DD340" s="1"/>
      <c r="DF340"/>
      <c r="DG340"/>
    </row>
    <row r="341" spans="85:111" x14ac:dyDescent="0.3">
      <c r="CG341" s="38">
        <v>335</v>
      </c>
      <c r="CH341" s="35">
        <f t="shared" si="17"/>
        <v>0</v>
      </c>
      <c r="CI341" s="35" t="str">
        <f>IF(tblTrazabilidad[[#This Row],[Código]]=0,"",IFERROR(IF(SEARCH("JM",tblTrazabilidad[[#This Row],[Código]])&gt;0,"Juego de pesas",),"Pesa"))</f>
        <v/>
      </c>
      <c r="CJ341" s="35" t="str">
        <f>IFERROR(VLOOKUP($CH341,tblBD_PatronMasa[[Código Patrón]:[mN-(mpe–U95)]],2,FALSE),"")</f>
        <v/>
      </c>
      <c r="CK341" s="35" t="str">
        <f>IFERROR(VLOOKUP($CH341,tblBD_PatronMasa[[Código Patrón]:[mN-(mpe–U95)]],13,FALSE),"")</f>
        <v/>
      </c>
      <c r="CL341" s="34" t="str">
        <f>IF(tblTrazabilidad[[#This Row],[Clase]]="F2",IFERROR(IF(VLOOKUP($CH341,tblBD_PatronMasa[[Código Patrón]:[mN-(mpe–U95)]],12,FALSE)=0,"",VLOOKUP($CH341,tblBD_PatronMasa[[Código Patrón]:[mN-(mpe–U95)]],12,FALSE)+731),""),IF(tblTrazabilidad[[#This Row],[Clase]]="F1",IFERROR(IF(VLOOKUP($CH341,tblBD_PatronMasa[[Código Patrón]:[mN-(mpe–U95)]],12,FALSE)=0,"",VLOOKUP($CH341,tblBD_PatronMasa[[Código Patrón]:[mN-(mpe–U95)]],12,FALSE)+731),""),IFERROR(IF(VLOOKUP($CH341,tblBD_PatronMasa[[Código Patrón]:[mN-(mpe–U95)]],12,FALSE)=0,"",VLOOKUP($CH341,tblBD_PatronMasa[[Código Patrón]:[mN-(mpe–U95)]],12,FALSE)+366),"")))</f>
        <v/>
      </c>
      <c r="CM341" s="33" t="str">
        <f>IFERROR(VLOOKUP($CH341,tblBD_PatronMasa[[Código Patrón]:[mN-(mpe–U95)]],3,FALSE),"")</f>
        <v/>
      </c>
      <c r="CS341" s="32"/>
      <c r="CU341"/>
      <c r="DC341" s="1"/>
      <c r="DD341" s="1"/>
      <c r="DF341"/>
      <c r="DG341"/>
    </row>
    <row r="342" spans="85:111" x14ac:dyDescent="0.3">
      <c r="CG342" s="38">
        <v>336</v>
      </c>
      <c r="CH342" s="35">
        <f t="shared" si="17"/>
        <v>0</v>
      </c>
      <c r="CI342" s="35" t="str">
        <f>IF(tblTrazabilidad[[#This Row],[Código]]=0,"",IFERROR(IF(SEARCH("JM",tblTrazabilidad[[#This Row],[Código]])&gt;0,"Juego de pesas",),"Pesa"))</f>
        <v/>
      </c>
      <c r="CJ342" s="35" t="str">
        <f>IFERROR(VLOOKUP($CH342,tblBD_PatronMasa[[Código Patrón]:[mN-(mpe–U95)]],2,FALSE),"")</f>
        <v/>
      </c>
      <c r="CK342" s="35" t="str">
        <f>IFERROR(VLOOKUP($CH342,tblBD_PatronMasa[[Código Patrón]:[mN-(mpe–U95)]],13,FALSE),"")</f>
        <v/>
      </c>
      <c r="CL342" s="34" t="str">
        <f>IF(tblTrazabilidad[[#This Row],[Clase]]="F2",IFERROR(IF(VLOOKUP($CH342,tblBD_PatronMasa[[Código Patrón]:[mN-(mpe–U95)]],12,FALSE)=0,"",VLOOKUP($CH342,tblBD_PatronMasa[[Código Patrón]:[mN-(mpe–U95)]],12,FALSE)+731),""),IF(tblTrazabilidad[[#This Row],[Clase]]="F1",IFERROR(IF(VLOOKUP($CH342,tblBD_PatronMasa[[Código Patrón]:[mN-(mpe–U95)]],12,FALSE)=0,"",VLOOKUP($CH342,tblBD_PatronMasa[[Código Patrón]:[mN-(mpe–U95)]],12,FALSE)+731),""),IFERROR(IF(VLOOKUP($CH342,tblBD_PatronMasa[[Código Patrón]:[mN-(mpe–U95)]],12,FALSE)=0,"",VLOOKUP($CH342,tblBD_PatronMasa[[Código Patrón]:[mN-(mpe–U95)]],12,FALSE)+366),"")))</f>
        <v/>
      </c>
      <c r="CM342" s="33" t="str">
        <f>IFERROR(VLOOKUP($CH342,tblBD_PatronMasa[[Código Patrón]:[mN-(mpe–U95)]],3,FALSE),"")</f>
        <v/>
      </c>
      <c r="CS342" s="32"/>
      <c r="CU342"/>
      <c r="DC342" s="1"/>
      <c r="DD342" s="1"/>
      <c r="DF342"/>
      <c r="DG342"/>
    </row>
    <row r="343" spans="85:111" x14ac:dyDescent="0.3">
      <c r="CG343" s="38">
        <v>337</v>
      </c>
      <c r="CH343" s="35">
        <f t="shared" si="17"/>
        <v>0</v>
      </c>
      <c r="CI343" s="35" t="str">
        <f>IF(tblTrazabilidad[[#This Row],[Código]]=0,"",IFERROR(IF(SEARCH("JM",tblTrazabilidad[[#This Row],[Código]])&gt;0,"Juego de pesas",),"Pesa"))</f>
        <v/>
      </c>
      <c r="CJ343" s="35" t="str">
        <f>IFERROR(VLOOKUP($CH343,tblBD_PatronMasa[[Código Patrón]:[mN-(mpe–U95)]],2,FALSE),"")</f>
        <v/>
      </c>
      <c r="CK343" s="35" t="str">
        <f>IFERROR(VLOOKUP($CH343,tblBD_PatronMasa[[Código Patrón]:[mN-(mpe–U95)]],13,FALSE),"")</f>
        <v/>
      </c>
      <c r="CL343" s="34" t="str">
        <f>IF(tblTrazabilidad[[#This Row],[Clase]]="F2",IFERROR(IF(VLOOKUP($CH343,tblBD_PatronMasa[[Código Patrón]:[mN-(mpe–U95)]],12,FALSE)=0,"",VLOOKUP($CH343,tblBD_PatronMasa[[Código Patrón]:[mN-(mpe–U95)]],12,FALSE)+731),""),IF(tblTrazabilidad[[#This Row],[Clase]]="F1",IFERROR(IF(VLOOKUP($CH343,tblBD_PatronMasa[[Código Patrón]:[mN-(mpe–U95)]],12,FALSE)=0,"",VLOOKUP($CH343,tblBD_PatronMasa[[Código Patrón]:[mN-(mpe–U95)]],12,FALSE)+731),""),IFERROR(IF(VLOOKUP($CH343,tblBD_PatronMasa[[Código Patrón]:[mN-(mpe–U95)]],12,FALSE)=0,"",VLOOKUP($CH343,tblBD_PatronMasa[[Código Patrón]:[mN-(mpe–U95)]],12,FALSE)+366),"")))</f>
        <v/>
      </c>
      <c r="CM343" s="33" t="str">
        <f>IFERROR(VLOOKUP($CH343,tblBD_PatronMasa[[Código Patrón]:[mN-(mpe–U95)]],3,FALSE),"")</f>
        <v/>
      </c>
      <c r="CS343" s="32"/>
      <c r="CU343"/>
      <c r="DC343" s="1"/>
      <c r="DD343" s="1"/>
      <c r="DF343"/>
      <c r="DG343"/>
    </row>
    <row r="344" spans="85:111" x14ac:dyDescent="0.3">
      <c r="CG344" s="38">
        <v>338</v>
      </c>
      <c r="CH344" s="35">
        <f t="shared" si="17"/>
        <v>0</v>
      </c>
      <c r="CI344" s="35" t="str">
        <f>IF(tblTrazabilidad[[#This Row],[Código]]=0,"",IFERROR(IF(SEARCH("JM",tblTrazabilidad[[#This Row],[Código]])&gt;0,"Juego de pesas",),"Pesa"))</f>
        <v/>
      </c>
      <c r="CJ344" s="35" t="str">
        <f>IFERROR(VLOOKUP($CH344,tblBD_PatronMasa[[Código Patrón]:[mN-(mpe–U95)]],2,FALSE),"")</f>
        <v/>
      </c>
      <c r="CK344" s="35" t="str">
        <f>IFERROR(VLOOKUP($CH344,tblBD_PatronMasa[[Código Patrón]:[mN-(mpe–U95)]],13,FALSE),"")</f>
        <v/>
      </c>
      <c r="CL344" s="34" t="str">
        <f>IF(tblTrazabilidad[[#This Row],[Clase]]="F2",IFERROR(IF(VLOOKUP($CH344,tblBD_PatronMasa[[Código Patrón]:[mN-(mpe–U95)]],12,FALSE)=0,"",VLOOKUP($CH344,tblBD_PatronMasa[[Código Patrón]:[mN-(mpe–U95)]],12,FALSE)+731),""),IF(tblTrazabilidad[[#This Row],[Clase]]="F1",IFERROR(IF(VLOOKUP($CH344,tblBD_PatronMasa[[Código Patrón]:[mN-(mpe–U95)]],12,FALSE)=0,"",VLOOKUP($CH344,tblBD_PatronMasa[[Código Patrón]:[mN-(mpe–U95)]],12,FALSE)+731),""),IFERROR(IF(VLOOKUP($CH344,tblBD_PatronMasa[[Código Patrón]:[mN-(mpe–U95)]],12,FALSE)=0,"",VLOOKUP($CH344,tblBD_PatronMasa[[Código Patrón]:[mN-(mpe–U95)]],12,FALSE)+366),"")))</f>
        <v/>
      </c>
      <c r="CM344" s="33" t="str">
        <f>IFERROR(VLOOKUP($CH344,tblBD_PatronMasa[[Código Patrón]:[mN-(mpe–U95)]],3,FALSE),"")</f>
        <v/>
      </c>
      <c r="CS344" s="32"/>
      <c r="CU344"/>
      <c r="DC344" s="1"/>
      <c r="DD344" s="1"/>
      <c r="DF344"/>
      <c r="DG344"/>
    </row>
    <row r="345" spans="85:111" x14ac:dyDescent="0.3">
      <c r="CG345" s="38">
        <v>339</v>
      </c>
      <c r="CH345" s="35">
        <f t="shared" si="17"/>
        <v>0</v>
      </c>
      <c r="CI345" s="35" t="str">
        <f>IF(tblTrazabilidad[[#This Row],[Código]]=0,"",IFERROR(IF(SEARCH("JM",tblTrazabilidad[[#This Row],[Código]])&gt;0,"Juego de pesas",),"Pesa"))</f>
        <v/>
      </c>
      <c r="CJ345" s="35" t="str">
        <f>IFERROR(VLOOKUP($CH345,tblBD_PatronMasa[[Código Patrón]:[mN-(mpe–U95)]],2,FALSE),"")</f>
        <v/>
      </c>
      <c r="CK345" s="35" t="str">
        <f>IFERROR(VLOOKUP($CH345,tblBD_PatronMasa[[Código Patrón]:[mN-(mpe–U95)]],13,FALSE),"")</f>
        <v/>
      </c>
      <c r="CL345" s="34" t="str">
        <f>IF(tblTrazabilidad[[#This Row],[Clase]]="F2",IFERROR(IF(VLOOKUP($CH345,tblBD_PatronMasa[[Código Patrón]:[mN-(mpe–U95)]],12,FALSE)=0,"",VLOOKUP($CH345,tblBD_PatronMasa[[Código Patrón]:[mN-(mpe–U95)]],12,FALSE)+731),""),IF(tblTrazabilidad[[#This Row],[Clase]]="F1",IFERROR(IF(VLOOKUP($CH345,tblBD_PatronMasa[[Código Patrón]:[mN-(mpe–U95)]],12,FALSE)=0,"",VLOOKUP($CH345,tblBD_PatronMasa[[Código Patrón]:[mN-(mpe–U95)]],12,FALSE)+731),""),IFERROR(IF(VLOOKUP($CH345,tblBD_PatronMasa[[Código Patrón]:[mN-(mpe–U95)]],12,FALSE)=0,"",VLOOKUP($CH345,tblBD_PatronMasa[[Código Patrón]:[mN-(mpe–U95)]],12,FALSE)+366),"")))</f>
        <v/>
      </c>
      <c r="CM345" s="33" t="str">
        <f>IFERROR(VLOOKUP($CH345,tblBD_PatronMasa[[Código Patrón]:[mN-(mpe–U95)]],3,FALSE),"")</f>
        <v/>
      </c>
      <c r="CS345" s="32"/>
      <c r="CU345"/>
      <c r="DC345" s="1"/>
      <c r="DD345" s="1"/>
      <c r="DF345"/>
      <c r="DG345"/>
    </row>
    <row r="346" spans="85:111" x14ac:dyDescent="0.3">
      <c r="CG346" s="38">
        <v>340</v>
      </c>
      <c r="CH346" s="35">
        <f t="shared" si="17"/>
        <v>0</v>
      </c>
      <c r="CI346" s="35" t="str">
        <f>IF(tblTrazabilidad[[#This Row],[Código]]=0,"",IFERROR(IF(SEARCH("JM",tblTrazabilidad[[#This Row],[Código]])&gt;0,"Juego de pesas",),"Pesa"))</f>
        <v/>
      </c>
      <c r="CJ346" s="35" t="str">
        <f>IFERROR(VLOOKUP($CH346,tblBD_PatronMasa[[Código Patrón]:[mN-(mpe–U95)]],2,FALSE),"")</f>
        <v/>
      </c>
      <c r="CK346" s="35" t="str">
        <f>IFERROR(VLOOKUP($CH346,tblBD_PatronMasa[[Código Patrón]:[mN-(mpe–U95)]],13,FALSE),"")</f>
        <v/>
      </c>
      <c r="CL346" s="34" t="str">
        <f>IF(tblTrazabilidad[[#This Row],[Clase]]="F2",IFERROR(IF(VLOOKUP($CH346,tblBD_PatronMasa[[Código Patrón]:[mN-(mpe–U95)]],12,FALSE)=0,"",VLOOKUP($CH346,tblBD_PatronMasa[[Código Patrón]:[mN-(mpe–U95)]],12,FALSE)+731),""),IF(tblTrazabilidad[[#This Row],[Clase]]="F1",IFERROR(IF(VLOOKUP($CH346,tblBD_PatronMasa[[Código Patrón]:[mN-(mpe–U95)]],12,FALSE)=0,"",VLOOKUP($CH346,tblBD_PatronMasa[[Código Patrón]:[mN-(mpe–U95)]],12,FALSE)+731),""),IFERROR(IF(VLOOKUP($CH346,tblBD_PatronMasa[[Código Patrón]:[mN-(mpe–U95)]],12,FALSE)=0,"",VLOOKUP($CH346,tblBD_PatronMasa[[Código Patrón]:[mN-(mpe–U95)]],12,FALSE)+366),"")))</f>
        <v/>
      </c>
      <c r="CM346" s="33" t="str">
        <f>IFERROR(VLOOKUP($CH346,tblBD_PatronMasa[[Código Patrón]:[mN-(mpe–U95)]],3,FALSE),"")</f>
        <v/>
      </c>
      <c r="CS346" s="32"/>
      <c r="CU346"/>
      <c r="DC346" s="1"/>
      <c r="DD346" s="1"/>
      <c r="DF346"/>
      <c r="DG346"/>
    </row>
    <row r="347" spans="85:111" x14ac:dyDescent="0.3">
      <c r="CG347" s="38">
        <v>341</v>
      </c>
      <c r="CH347" s="35">
        <f t="shared" si="17"/>
        <v>0</v>
      </c>
      <c r="CI347" s="35" t="str">
        <f>IF(tblTrazabilidad[[#This Row],[Código]]=0,"",IFERROR(IF(SEARCH("JM",tblTrazabilidad[[#This Row],[Código]])&gt;0,"Juego de pesas",),"Pesa"))</f>
        <v/>
      </c>
      <c r="CJ347" s="35" t="str">
        <f>IFERROR(VLOOKUP($CH347,tblBD_PatronMasa[[Código Patrón]:[mN-(mpe–U95)]],2,FALSE),"")</f>
        <v/>
      </c>
      <c r="CK347" s="35" t="str">
        <f>IFERROR(VLOOKUP($CH347,tblBD_PatronMasa[[Código Patrón]:[mN-(mpe–U95)]],13,FALSE),"")</f>
        <v/>
      </c>
      <c r="CL347" s="34" t="str">
        <f>IF(tblTrazabilidad[[#This Row],[Clase]]="F2",IFERROR(IF(VLOOKUP($CH347,tblBD_PatronMasa[[Código Patrón]:[mN-(mpe–U95)]],12,FALSE)=0,"",VLOOKUP($CH347,tblBD_PatronMasa[[Código Patrón]:[mN-(mpe–U95)]],12,FALSE)+731),""),IF(tblTrazabilidad[[#This Row],[Clase]]="F1",IFERROR(IF(VLOOKUP($CH347,tblBD_PatronMasa[[Código Patrón]:[mN-(mpe–U95)]],12,FALSE)=0,"",VLOOKUP($CH347,tblBD_PatronMasa[[Código Patrón]:[mN-(mpe–U95)]],12,FALSE)+731),""),IFERROR(IF(VLOOKUP($CH347,tblBD_PatronMasa[[Código Patrón]:[mN-(mpe–U95)]],12,FALSE)=0,"",VLOOKUP($CH347,tblBD_PatronMasa[[Código Patrón]:[mN-(mpe–U95)]],12,FALSE)+366),"")))</f>
        <v/>
      </c>
      <c r="CM347" s="33" t="str">
        <f>IFERROR(VLOOKUP($CH347,tblBD_PatronMasa[[Código Patrón]:[mN-(mpe–U95)]],3,FALSE),"")</f>
        <v/>
      </c>
      <c r="CS347" s="32"/>
      <c r="CU347"/>
      <c r="DC347" s="1"/>
      <c r="DD347" s="1"/>
      <c r="DF347"/>
      <c r="DG347"/>
    </row>
    <row r="348" spans="85:111" x14ac:dyDescent="0.3">
      <c r="CG348" s="38">
        <v>342</v>
      </c>
      <c r="CH348" s="35">
        <f t="shared" si="17"/>
        <v>0</v>
      </c>
      <c r="CI348" s="35" t="str">
        <f>IF(tblTrazabilidad[[#This Row],[Código]]=0,"",IFERROR(IF(SEARCH("JM",tblTrazabilidad[[#This Row],[Código]])&gt;0,"Juego de pesas",),"Pesa"))</f>
        <v/>
      </c>
      <c r="CJ348" s="35" t="str">
        <f>IFERROR(VLOOKUP($CH348,tblBD_PatronMasa[[Código Patrón]:[mN-(mpe–U95)]],2,FALSE),"")</f>
        <v/>
      </c>
      <c r="CK348" s="35" t="str">
        <f>IFERROR(VLOOKUP($CH348,tblBD_PatronMasa[[Código Patrón]:[mN-(mpe–U95)]],13,FALSE),"")</f>
        <v/>
      </c>
      <c r="CL348" s="34" t="str">
        <f>IF(tblTrazabilidad[[#This Row],[Clase]]="F2",IFERROR(IF(VLOOKUP($CH348,tblBD_PatronMasa[[Código Patrón]:[mN-(mpe–U95)]],12,FALSE)=0,"",VLOOKUP($CH348,tblBD_PatronMasa[[Código Patrón]:[mN-(mpe–U95)]],12,FALSE)+731),""),IF(tblTrazabilidad[[#This Row],[Clase]]="F1",IFERROR(IF(VLOOKUP($CH348,tblBD_PatronMasa[[Código Patrón]:[mN-(mpe–U95)]],12,FALSE)=0,"",VLOOKUP($CH348,tblBD_PatronMasa[[Código Patrón]:[mN-(mpe–U95)]],12,FALSE)+731),""),IFERROR(IF(VLOOKUP($CH348,tblBD_PatronMasa[[Código Patrón]:[mN-(mpe–U95)]],12,FALSE)=0,"",VLOOKUP($CH348,tblBD_PatronMasa[[Código Patrón]:[mN-(mpe–U95)]],12,FALSE)+366),"")))</f>
        <v/>
      </c>
      <c r="CM348" s="33" t="str">
        <f>IFERROR(VLOOKUP($CH348,tblBD_PatronMasa[[Código Patrón]:[mN-(mpe–U95)]],3,FALSE),"")</f>
        <v/>
      </c>
      <c r="CS348" s="32"/>
      <c r="CU348"/>
      <c r="DC348" s="1"/>
      <c r="DD348" s="1"/>
      <c r="DF348"/>
      <c r="DG348"/>
    </row>
    <row r="349" spans="85:111" x14ac:dyDescent="0.3">
      <c r="CG349" s="38">
        <v>343</v>
      </c>
      <c r="CH349" s="35">
        <f t="shared" si="17"/>
        <v>0</v>
      </c>
      <c r="CI349" s="35" t="str">
        <f>IF(tblTrazabilidad[[#This Row],[Código]]=0,"",IFERROR(IF(SEARCH("JM",tblTrazabilidad[[#This Row],[Código]])&gt;0,"Juego de pesas",),"Pesa"))</f>
        <v/>
      </c>
      <c r="CJ349" s="35" t="str">
        <f>IFERROR(VLOOKUP($CH349,tblBD_PatronMasa[[Código Patrón]:[mN-(mpe–U95)]],2,FALSE),"")</f>
        <v/>
      </c>
      <c r="CK349" s="35" t="str">
        <f>IFERROR(VLOOKUP($CH349,tblBD_PatronMasa[[Código Patrón]:[mN-(mpe–U95)]],13,FALSE),"")</f>
        <v/>
      </c>
      <c r="CL349" s="34" t="str">
        <f>IF(tblTrazabilidad[[#This Row],[Clase]]="F2",IFERROR(IF(VLOOKUP($CH349,tblBD_PatronMasa[[Código Patrón]:[mN-(mpe–U95)]],12,FALSE)=0,"",VLOOKUP($CH349,tblBD_PatronMasa[[Código Patrón]:[mN-(mpe–U95)]],12,FALSE)+731),""),IF(tblTrazabilidad[[#This Row],[Clase]]="F1",IFERROR(IF(VLOOKUP($CH349,tblBD_PatronMasa[[Código Patrón]:[mN-(mpe–U95)]],12,FALSE)=0,"",VLOOKUP($CH349,tblBD_PatronMasa[[Código Patrón]:[mN-(mpe–U95)]],12,FALSE)+731),""),IFERROR(IF(VLOOKUP($CH349,tblBD_PatronMasa[[Código Patrón]:[mN-(mpe–U95)]],12,FALSE)=0,"",VLOOKUP($CH349,tblBD_PatronMasa[[Código Patrón]:[mN-(mpe–U95)]],12,FALSE)+366),"")))</f>
        <v/>
      </c>
      <c r="CM349" s="33" t="str">
        <f>IFERROR(VLOOKUP($CH349,tblBD_PatronMasa[[Código Patrón]:[mN-(mpe–U95)]],3,FALSE),"")</f>
        <v/>
      </c>
      <c r="CS349" s="32"/>
      <c r="CU349"/>
      <c r="DC349" s="1"/>
      <c r="DD349" s="1"/>
      <c r="DF349"/>
      <c r="DG349"/>
    </row>
    <row r="350" spans="85:111" x14ac:dyDescent="0.3">
      <c r="CG350" s="38">
        <v>344</v>
      </c>
      <c r="CH350" s="35">
        <f t="shared" si="17"/>
        <v>0</v>
      </c>
      <c r="CI350" s="35" t="str">
        <f>IF(tblTrazabilidad[[#This Row],[Código]]=0,"",IFERROR(IF(SEARCH("JM",tblTrazabilidad[[#This Row],[Código]])&gt;0,"Juego de pesas",),"Pesa"))</f>
        <v/>
      </c>
      <c r="CJ350" s="35" t="str">
        <f>IFERROR(VLOOKUP($CH350,tblBD_PatronMasa[[Código Patrón]:[mN-(mpe–U95)]],2,FALSE),"")</f>
        <v/>
      </c>
      <c r="CK350" s="35" t="str">
        <f>IFERROR(VLOOKUP($CH350,tblBD_PatronMasa[[Código Patrón]:[mN-(mpe–U95)]],13,FALSE),"")</f>
        <v/>
      </c>
      <c r="CL350" s="34" t="str">
        <f>IF(tblTrazabilidad[[#This Row],[Clase]]="F2",IFERROR(IF(VLOOKUP($CH350,tblBD_PatronMasa[[Código Patrón]:[mN-(mpe–U95)]],12,FALSE)=0,"",VLOOKUP($CH350,tblBD_PatronMasa[[Código Patrón]:[mN-(mpe–U95)]],12,FALSE)+731),""),IF(tblTrazabilidad[[#This Row],[Clase]]="F1",IFERROR(IF(VLOOKUP($CH350,tblBD_PatronMasa[[Código Patrón]:[mN-(mpe–U95)]],12,FALSE)=0,"",VLOOKUP($CH350,tblBD_PatronMasa[[Código Patrón]:[mN-(mpe–U95)]],12,FALSE)+731),""),IFERROR(IF(VLOOKUP($CH350,tblBD_PatronMasa[[Código Patrón]:[mN-(mpe–U95)]],12,FALSE)=0,"",VLOOKUP($CH350,tblBD_PatronMasa[[Código Patrón]:[mN-(mpe–U95)]],12,FALSE)+366),"")))</f>
        <v/>
      </c>
      <c r="CM350" s="33" t="str">
        <f>IFERROR(VLOOKUP($CH350,tblBD_PatronMasa[[Código Patrón]:[mN-(mpe–U95)]],3,FALSE),"")</f>
        <v/>
      </c>
      <c r="CS350" s="32"/>
      <c r="CU350"/>
      <c r="DC350" s="1"/>
      <c r="DD350" s="1"/>
      <c r="DF350"/>
      <c r="DG350"/>
    </row>
    <row r="351" spans="85:111" x14ac:dyDescent="0.3">
      <c r="CG351" s="38">
        <v>345</v>
      </c>
      <c r="CH351" s="35">
        <f t="shared" si="17"/>
        <v>0</v>
      </c>
      <c r="CI351" s="35" t="str">
        <f>IF(tblTrazabilidad[[#This Row],[Código]]=0,"",IFERROR(IF(SEARCH("JM",tblTrazabilidad[[#This Row],[Código]])&gt;0,"Juego de pesas",),"Pesa"))</f>
        <v/>
      </c>
      <c r="CJ351" s="35" t="str">
        <f>IFERROR(VLOOKUP($CH351,tblBD_PatronMasa[[Código Patrón]:[mN-(mpe–U95)]],2,FALSE),"")</f>
        <v/>
      </c>
      <c r="CK351" s="35" t="str">
        <f>IFERROR(VLOOKUP($CH351,tblBD_PatronMasa[[Código Patrón]:[mN-(mpe–U95)]],13,FALSE),"")</f>
        <v/>
      </c>
      <c r="CL351" s="34" t="str">
        <f>IF(tblTrazabilidad[[#This Row],[Clase]]="F2",IFERROR(IF(VLOOKUP($CH351,tblBD_PatronMasa[[Código Patrón]:[mN-(mpe–U95)]],12,FALSE)=0,"",VLOOKUP($CH351,tblBD_PatronMasa[[Código Patrón]:[mN-(mpe–U95)]],12,FALSE)+731),""),IF(tblTrazabilidad[[#This Row],[Clase]]="F1",IFERROR(IF(VLOOKUP($CH351,tblBD_PatronMasa[[Código Patrón]:[mN-(mpe–U95)]],12,FALSE)=0,"",VLOOKUP($CH351,tblBD_PatronMasa[[Código Patrón]:[mN-(mpe–U95)]],12,FALSE)+731),""),IFERROR(IF(VLOOKUP($CH351,tblBD_PatronMasa[[Código Patrón]:[mN-(mpe–U95)]],12,FALSE)=0,"",VLOOKUP($CH351,tblBD_PatronMasa[[Código Patrón]:[mN-(mpe–U95)]],12,FALSE)+366),"")))</f>
        <v/>
      </c>
      <c r="CM351" s="33" t="str">
        <f>IFERROR(VLOOKUP($CH351,tblBD_PatronMasa[[Código Patrón]:[mN-(mpe–U95)]],3,FALSE),"")</f>
        <v/>
      </c>
      <c r="CS351" s="32"/>
      <c r="CU351"/>
      <c r="DC351" s="1"/>
      <c r="DD351" s="1"/>
      <c r="DF351"/>
      <c r="DG351"/>
    </row>
    <row r="352" spans="85:111" x14ac:dyDescent="0.3">
      <c r="CG352" s="38">
        <v>346</v>
      </c>
      <c r="CH352" s="35">
        <f t="shared" si="17"/>
        <v>0</v>
      </c>
      <c r="CI352" s="35" t="str">
        <f>IF(tblTrazabilidad[[#This Row],[Código]]=0,"",IFERROR(IF(SEARCH("JM",tblTrazabilidad[[#This Row],[Código]])&gt;0,"Juego de pesas",),"Pesa"))</f>
        <v/>
      </c>
      <c r="CJ352" s="35" t="str">
        <f>IFERROR(VLOOKUP($CH352,tblBD_PatronMasa[[Código Patrón]:[mN-(mpe–U95)]],2,FALSE),"")</f>
        <v/>
      </c>
      <c r="CK352" s="35" t="str">
        <f>IFERROR(VLOOKUP($CH352,tblBD_PatronMasa[[Código Patrón]:[mN-(mpe–U95)]],13,FALSE),"")</f>
        <v/>
      </c>
      <c r="CL352" s="34" t="str">
        <f>IF(tblTrazabilidad[[#This Row],[Clase]]="F2",IFERROR(IF(VLOOKUP($CH352,tblBD_PatronMasa[[Código Patrón]:[mN-(mpe–U95)]],12,FALSE)=0,"",VLOOKUP($CH352,tblBD_PatronMasa[[Código Patrón]:[mN-(mpe–U95)]],12,FALSE)+731),""),IF(tblTrazabilidad[[#This Row],[Clase]]="F1",IFERROR(IF(VLOOKUP($CH352,tblBD_PatronMasa[[Código Patrón]:[mN-(mpe–U95)]],12,FALSE)=0,"",VLOOKUP($CH352,tblBD_PatronMasa[[Código Patrón]:[mN-(mpe–U95)]],12,FALSE)+731),""),IFERROR(IF(VLOOKUP($CH352,tblBD_PatronMasa[[Código Patrón]:[mN-(mpe–U95)]],12,FALSE)=0,"",VLOOKUP($CH352,tblBD_PatronMasa[[Código Patrón]:[mN-(mpe–U95)]],12,FALSE)+366),"")))</f>
        <v/>
      </c>
      <c r="CM352" s="33" t="str">
        <f>IFERROR(VLOOKUP($CH352,tblBD_PatronMasa[[Código Patrón]:[mN-(mpe–U95)]],3,FALSE),"")</f>
        <v/>
      </c>
      <c r="CS352" s="32"/>
      <c r="CU352"/>
      <c r="DC352" s="1"/>
      <c r="DD352" s="1"/>
      <c r="DF352"/>
      <c r="DG352"/>
    </row>
    <row r="353" spans="85:111" x14ac:dyDescent="0.3">
      <c r="CG353" s="38">
        <v>347</v>
      </c>
      <c r="CH353" s="35">
        <f t="shared" si="17"/>
        <v>0</v>
      </c>
      <c r="CI353" s="35" t="str">
        <f>IF(tblTrazabilidad[[#This Row],[Código]]=0,"",IFERROR(IF(SEARCH("JM",tblTrazabilidad[[#This Row],[Código]])&gt;0,"Juego de pesas",),"Pesa"))</f>
        <v/>
      </c>
      <c r="CJ353" s="35" t="str">
        <f>IFERROR(VLOOKUP($CH353,tblBD_PatronMasa[[Código Patrón]:[mN-(mpe–U95)]],2,FALSE),"")</f>
        <v/>
      </c>
      <c r="CK353" s="35" t="str">
        <f>IFERROR(VLOOKUP($CH353,tblBD_PatronMasa[[Código Patrón]:[mN-(mpe–U95)]],13,FALSE),"")</f>
        <v/>
      </c>
      <c r="CL353" s="34" t="str">
        <f>IF(tblTrazabilidad[[#This Row],[Clase]]="F2",IFERROR(IF(VLOOKUP($CH353,tblBD_PatronMasa[[Código Patrón]:[mN-(mpe–U95)]],12,FALSE)=0,"",VLOOKUP($CH353,tblBD_PatronMasa[[Código Patrón]:[mN-(mpe–U95)]],12,FALSE)+731),""),IF(tblTrazabilidad[[#This Row],[Clase]]="F1",IFERROR(IF(VLOOKUP($CH353,tblBD_PatronMasa[[Código Patrón]:[mN-(mpe–U95)]],12,FALSE)=0,"",VLOOKUP($CH353,tblBD_PatronMasa[[Código Patrón]:[mN-(mpe–U95)]],12,FALSE)+731),""),IFERROR(IF(VLOOKUP($CH353,tblBD_PatronMasa[[Código Patrón]:[mN-(mpe–U95)]],12,FALSE)=0,"",VLOOKUP($CH353,tblBD_PatronMasa[[Código Patrón]:[mN-(mpe–U95)]],12,FALSE)+366),"")))</f>
        <v/>
      </c>
      <c r="CM353" s="33" t="str">
        <f>IFERROR(VLOOKUP($CH353,tblBD_PatronMasa[[Código Patrón]:[mN-(mpe–U95)]],3,FALSE),"")</f>
        <v/>
      </c>
      <c r="CS353" s="32"/>
      <c r="CU353"/>
      <c r="DC353" s="1"/>
      <c r="DD353" s="1"/>
      <c r="DF353"/>
      <c r="DG353"/>
    </row>
    <row r="354" spans="85:111" x14ac:dyDescent="0.3">
      <c r="CG354" s="38">
        <v>348</v>
      </c>
      <c r="CH354" s="35">
        <f t="shared" si="17"/>
        <v>0</v>
      </c>
      <c r="CI354" s="35" t="str">
        <f>IF(tblTrazabilidad[[#This Row],[Código]]=0,"",IFERROR(IF(SEARCH("JM",tblTrazabilidad[[#This Row],[Código]])&gt;0,"Juego de pesas",),"Pesa"))</f>
        <v/>
      </c>
      <c r="CJ354" s="35" t="str">
        <f>IFERROR(VLOOKUP($CH354,tblBD_PatronMasa[[Código Patrón]:[mN-(mpe–U95)]],2,FALSE),"")</f>
        <v/>
      </c>
      <c r="CK354" s="35" t="str">
        <f>IFERROR(VLOOKUP($CH354,tblBD_PatronMasa[[Código Patrón]:[mN-(mpe–U95)]],13,FALSE),"")</f>
        <v/>
      </c>
      <c r="CL354" s="34" t="str">
        <f>IF(tblTrazabilidad[[#This Row],[Clase]]="F2",IFERROR(IF(VLOOKUP($CH354,tblBD_PatronMasa[[Código Patrón]:[mN-(mpe–U95)]],12,FALSE)=0,"",VLOOKUP($CH354,tblBD_PatronMasa[[Código Patrón]:[mN-(mpe–U95)]],12,FALSE)+731),""),IF(tblTrazabilidad[[#This Row],[Clase]]="F1",IFERROR(IF(VLOOKUP($CH354,tblBD_PatronMasa[[Código Patrón]:[mN-(mpe–U95)]],12,FALSE)=0,"",VLOOKUP($CH354,tblBD_PatronMasa[[Código Patrón]:[mN-(mpe–U95)]],12,FALSE)+731),""),IFERROR(IF(VLOOKUP($CH354,tblBD_PatronMasa[[Código Patrón]:[mN-(mpe–U95)]],12,FALSE)=0,"",VLOOKUP($CH354,tblBD_PatronMasa[[Código Patrón]:[mN-(mpe–U95)]],12,FALSE)+366),"")))</f>
        <v/>
      </c>
      <c r="CM354" s="33" t="str">
        <f>IFERROR(VLOOKUP($CH354,tblBD_PatronMasa[[Código Patrón]:[mN-(mpe–U95)]],3,FALSE),"")</f>
        <v/>
      </c>
      <c r="CS354" s="32"/>
      <c r="CU354"/>
      <c r="DC354" s="1"/>
      <c r="DD354" s="1"/>
      <c r="DF354"/>
      <c r="DG354"/>
    </row>
    <row r="355" spans="85:111" x14ac:dyDescent="0.3">
      <c r="CG355" s="38">
        <v>349</v>
      </c>
      <c r="CH355" s="35">
        <f t="shared" si="17"/>
        <v>0</v>
      </c>
      <c r="CI355" s="35" t="str">
        <f>IF(tblTrazabilidad[[#This Row],[Código]]=0,"",IFERROR(IF(SEARCH("JM",tblTrazabilidad[[#This Row],[Código]])&gt;0,"Juego de pesas",),"Pesa"))</f>
        <v/>
      </c>
      <c r="CJ355" s="35" t="str">
        <f>IFERROR(VLOOKUP($CH355,tblBD_PatronMasa[[Código Patrón]:[mN-(mpe–U95)]],2,FALSE),"")</f>
        <v/>
      </c>
      <c r="CK355" s="35" t="str">
        <f>IFERROR(VLOOKUP($CH355,tblBD_PatronMasa[[Código Patrón]:[mN-(mpe–U95)]],13,FALSE),"")</f>
        <v/>
      </c>
      <c r="CL355" s="34" t="str">
        <f>IF(tblTrazabilidad[[#This Row],[Clase]]="F2",IFERROR(IF(VLOOKUP($CH355,tblBD_PatronMasa[[Código Patrón]:[mN-(mpe–U95)]],12,FALSE)=0,"",VLOOKUP($CH355,tblBD_PatronMasa[[Código Patrón]:[mN-(mpe–U95)]],12,FALSE)+731),""),IF(tblTrazabilidad[[#This Row],[Clase]]="F1",IFERROR(IF(VLOOKUP($CH355,tblBD_PatronMasa[[Código Patrón]:[mN-(mpe–U95)]],12,FALSE)=0,"",VLOOKUP($CH355,tblBD_PatronMasa[[Código Patrón]:[mN-(mpe–U95)]],12,FALSE)+731),""),IFERROR(IF(VLOOKUP($CH355,tblBD_PatronMasa[[Código Patrón]:[mN-(mpe–U95)]],12,FALSE)=0,"",VLOOKUP($CH355,tblBD_PatronMasa[[Código Patrón]:[mN-(mpe–U95)]],12,FALSE)+366),"")))</f>
        <v/>
      </c>
      <c r="CM355" s="33" t="str">
        <f>IFERROR(VLOOKUP($CH355,tblBD_PatronMasa[[Código Patrón]:[mN-(mpe–U95)]],3,FALSE),"")</f>
        <v/>
      </c>
      <c r="CS355" s="32"/>
      <c r="CU355"/>
      <c r="DC355" s="1"/>
      <c r="DD355" s="1"/>
      <c r="DF355"/>
      <c r="DG355"/>
    </row>
    <row r="356" spans="85:111" x14ac:dyDescent="0.3">
      <c r="CG356" s="38">
        <v>350</v>
      </c>
      <c r="CH356" s="35">
        <f t="shared" si="17"/>
        <v>0</v>
      </c>
      <c r="CI356" s="35" t="str">
        <f>IF(tblTrazabilidad[[#This Row],[Código]]=0,"",IFERROR(IF(SEARCH("JM",tblTrazabilidad[[#This Row],[Código]])&gt;0,"Juego de pesas",),"Pesa"))</f>
        <v/>
      </c>
      <c r="CJ356" s="35" t="str">
        <f>IFERROR(VLOOKUP($CH356,tblBD_PatronMasa[[Código Patrón]:[mN-(mpe–U95)]],2,FALSE),"")</f>
        <v/>
      </c>
      <c r="CK356" s="35" t="str">
        <f>IFERROR(VLOOKUP($CH356,tblBD_PatronMasa[[Código Patrón]:[mN-(mpe–U95)]],13,FALSE),"")</f>
        <v/>
      </c>
      <c r="CL356" s="34" t="str">
        <f>IF(tblTrazabilidad[[#This Row],[Clase]]="F2",IFERROR(IF(VLOOKUP($CH356,tblBD_PatronMasa[[Código Patrón]:[mN-(mpe–U95)]],12,FALSE)=0,"",VLOOKUP($CH356,tblBD_PatronMasa[[Código Patrón]:[mN-(mpe–U95)]],12,FALSE)+731),""),IF(tblTrazabilidad[[#This Row],[Clase]]="F1",IFERROR(IF(VLOOKUP($CH356,tblBD_PatronMasa[[Código Patrón]:[mN-(mpe–U95)]],12,FALSE)=0,"",VLOOKUP($CH356,tblBD_PatronMasa[[Código Patrón]:[mN-(mpe–U95)]],12,FALSE)+731),""),IFERROR(IF(VLOOKUP($CH356,tblBD_PatronMasa[[Código Patrón]:[mN-(mpe–U95)]],12,FALSE)=0,"",VLOOKUP($CH356,tblBD_PatronMasa[[Código Patrón]:[mN-(mpe–U95)]],12,FALSE)+366),"")))</f>
        <v/>
      </c>
      <c r="CM356" s="33" t="str">
        <f>IFERROR(VLOOKUP($CH356,tblBD_PatronMasa[[Código Patrón]:[mN-(mpe–U95)]],3,FALSE),"")</f>
        <v/>
      </c>
      <c r="CS356" s="32"/>
      <c r="CU356"/>
      <c r="DC356" s="1"/>
      <c r="DD356" s="1"/>
      <c r="DF356"/>
      <c r="DG356"/>
    </row>
    <row r="357" spans="85:111" x14ac:dyDescent="0.3">
      <c r="CG357" s="38">
        <v>351</v>
      </c>
      <c r="CH357" s="35">
        <f t="shared" ref="CH357:CH388" si="18">BX5</f>
        <v>0</v>
      </c>
      <c r="CI357" s="35" t="str">
        <f>IF(tblTrazabilidad[[#This Row],[Código]]=0,"",IFERROR(IF(SEARCH("JM",tblTrazabilidad[[#This Row],[Código]])&gt;0,"Juego de pesas",),"Pesa"))</f>
        <v/>
      </c>
      <c r="CJ357" s="35" t="str">
        <f>IFERROR(VLOOKUP($CH357,tblBD_PatronMasa[[Código Patrón]:[mN-(mpe–U95)]],2,FALSE),"")</f>
        <v/>
      </c>
      <c r="CK357" s="35" t="str">
        <f>IFERROR(VLOOKUP($CH357,tblBD_PatronMasa[[Código Patrón]:[mN-(mpe–U95)]],13,FALSE),"")</f>
        <v/>
      </c>
      <c r="CL357" s="34" t="str">
        <f>IF(tblTrazabilidad[[#This Row],[Clase]]="F2",IFERROR(IF(VLOOKUP($CH357,tblBD_PatronMasa[[Código Patrón]:[mN-(mpe–U95)]],12,FALSE)=0,"",VLOOKUP($CH357,tblBD_PatronMasa[[Código Patrón]:[mN-(mpe–U95)]],12,FALSE)+731),""),IF(tblTrazabilidad[[#This Row],[Clase]]="F1",IFERROR(IF(VLOOKUP($CH357,tblBD_PatronMasa[[Código Patrón]:[mN-(mpe–U95)]],12,FALSE)=0,"",VLOOKUP($CH357,tblBD_PatronMasa[[Código Patrón]:[mN-(mpe–U95)]],12,FALSE)+731),""),IFERROR(IF(VLOOKUP($CH357,tblBD_PatronMasa[[Código Patrón]:[mN-(mpe–U95)]],12,FALSE)=0,"",VLOOKUP($CH357,tblBD_PatronMasa[[Código Patrón]:[mN-(mpe–U95)]],12,FALSE)+366),"")))</f>
        <v/>
      </c>
      <c r="CM357" s="33" t="str">
        <f>IFERROR(VLOOKUP($CH357,tblBD_PatronMasa[[Código Patrón]:[mN-(mpe–U95)]],3,FALSE),"")</f>
        <v/>
      </c>
      <c r="CS357" s="32"/>
      <c r="CU357"/>
      <c r="DC357" s="1"/>
      <c r="DD357" s="1"/>
      <c r="DF357"/>
      <c r="DG357"/>
    </row>
    <row r="358" spans="85:111" x14ac:dyDescent="0.3">
      <c r="CG358" s="38">
        <v>352</v>
      </c>
      <c r="CH358" s="35">
        <f t="shared" si="18"/>
        <v>0</v>
      </c>
      <c r="CI358" s="35" t="str">
        <f>IF(tblTrazabilidad[[#This Row],[Código]]=0,"",IFERROR(IF(SEARCH("JM",tblTrazabilidad[[#This Row],[Código]])&gt;0,"Juego de pesas",),"Pesa"))</f>
        <v/>
      </c>
      <c r="CJ358" s="35" t="str">
        <f>IFERROR(VLOOKUP($CH358,tblBD_PatronMasa[[Código Patrón]:[mN-(mpe–U95)]],2,FALSE),"")</f>
        <v/>
      </c>
      <c r="CK358" s="35" t="str">
        <f>IFERROR(VLOOKUP($CH358,tblBD_PatronMasa[[Código Patrón]:[mN-(mpe–U95)]],13,FALSE),"")</f>
        <v/>
      </c>
      <c r="CL358" s="34" t="str">
        <f>IF(tblTrazabilidad[[#This Row],[Clase]]="F2",IFERROR(IF(VLOOKUP($CH358,tblBD_PatronMasa[[Código Patrón]:[mN-(mpe–U95)]],12,FALSE)=0,"",VLOOKUP($CH358,tblBD_PatronMasa[[Código Patrón]:[mN-(mpe–U95)]],12,FALSE)+731),""),IF(tblTrazabilidad[[#This Row],[Clase]]="F1",IFERROR(IF(VLOOKUP($CH358,tblBD_PatronMasa[[Código Patrón]:[mN-(mpe–U95)]],12,FALSE)=0,"",VLOOKUP($CH358,tblBD_PatronMasa[[Código Patrón]:[mN-(mpe–U95)]],12,FALSE)+731),""),IFERROR(IF(VLOOKUP($CH358,tblBD_PatronMasa[[Código Patrón]:[mN-(mpe–U95)]],12,FALSE)=0,"",VLOOKUP($CH358,tblBD_PatronMasa[[Código Patrón]:[mN-(mpe–U95)]],12,FALSE)+366),"")))</f>
        <v/>
      </c>
      <c r="CM358" s="33" t="str">
        <f>IFERROR(VLOOKUP($CH358,tblBD_PatronMasa[[Código Patrón]:[mN-(mpe–U95)]],3,FALSE),"")</f>
        <v/>
      </c>
      <c r="CS358" s="32"/>
      <c r="CU358"/>
      <c r="DC358" s="1"/>
      <c r="DD358" s="1"/>
      <c r="DF358"/>
      <c r="DG358"/>
    </row>
    <row r="359" spans="85:111" x14ac:dyDescent="0.3">
      <c r="CG359" s="38">
        <v>353</v>
      </c>
      <c r="CH359" s="35">
        <f t="shared" si="18"/>
        <v>0</v>
      </c>
      <c r="CI359" s="35" t="str">
        <f>IF(tblTrazabilidad[[#This Row],[Código]]=0,"",IFERROR(IF(SEARCH("JM",tblTrazabilidad[[#This Row],[Código]])&gt;0,"Juego de pesas",),"Pesa"))</f>
        <v/>
      </c>
      <c r="CJ359" s="35" t="str">
        <f>IFERROR(VLOOKUP($CH359,tblBD_PatronMasa[[Código Patrón]:[mN-(mpe–U95)]],2,FALSE),"")</f>
        <v/>
      </c>
      <c r="CK359" s="35" t="str">
        <f>IFERROR(VLOOKUP($CH359,tblBD_PatronMasa[[Código Patrón]:[mN-(mpe–U95)]],13,FALSE),"")</f>
        <v/>
      </c>
      <c r="CL359" s="34" t="str">
        <f>IF(tblTrazabilidad[[#This Row],[Clase]]="F2",IFERROR(IF(VLOOKUP($CH359,tblBD_PatronMasa[[Código Patrón]:[mN-(mpe–U95)]],12,FALSE)=0,"",VLOOKUP($CH359,tblBD_PatronMasa[[Código Patrón]:[mN-(mpe–U95)]],12,FALSE)+731),""),IF(tblTrazabilidad[[#This Row],[Clase]]="F1",IFERROR(IF(VLOOKUP($CH359,tblBD_PatronMasa[[Código Patrón]:[mN-(mpe–U95)]],12,FALSE)=0,"",VLOOKUP($CH359,tblBD_PatronMasa[[Código Patrón]:[mN-(mpe–U95)]],12,FALSE)+731),""),IFERROR(IF(VLOOKUP($CH359,tblBD_PatronMasa[[Código Patrón]:[mN-(mpe–U95)]],12,FALSE)=0,"",VLOOKUP($CH359,tblBD_PatronMasa[[Código Patrón]:[mN-(mpe–U95)]],12,FALSE)+366),"")))</f>
        <v/>
      </c>
      <c r="CM359" s="33" t="str">
        <f>IFERROR(VLOOKUP($CH359,tblBD_PatronMasa[[Código Patrón]:[mN-(mpe–U95)]],3,FALSE),"")</f>
        <v/>
      </c>
      <c r="CS359" s="32"/>
      <c r="CU359"/>
      <c r="DC359" s="1"/>
      <c r="DD359" s="1"/>
      <c r="DF359"/>
      <c r="DG359"/>
    </row>
    <row r="360" spans="85:111" x14ac:dyDescent="0.3">
      <c r="CG360" s="38">
        <v>354</v>
      </c>
      <c r="CH360" s="35">
        <f t="shared" si="18"/>
        <v>0</v>
      </c>
      <c r="CI360" s="35" t="str">
        <f>IF(tblTrazabilidad[[#This Row],[Código]]=0,"",IFERROR(IF(SEARCH("JM",tblTrazabilidad[[#This Row],[Código]])&gt;0,"Juego de pesas",),"Pesa"))</f>
        <v/>
      </c>
      <c r="CJ360" s="35" t="str">
        <f>IFERROR(VLOOKUP($CH360,tblBD_PatronMasa[[Código Patrón]:[mN-(mpe–U95)]],2,FALSE),"")</f>
        <v/>
      </c>
      <c r="CK360" s="35" t="str">
        <f>IFERROR(VLOOKUP($CH360,tblBD_PatronMasa[[Código Patrón]:[mN-(mpe–U95)]],13,FALSE),"")</f>
        <v/>
      </c>
      <c r="CL360" s="34" t="str">
        <f>IF(tblTrazabilidad[[#This Row],[Clase]]="F2",IFERROR(IF(VLOOKUP($CH360,tblBD_PatronMasa[[Código Patrón]:[mN-(mpe–U95)]],12,FALSE)=0,"",VLOOKUP($CH360,tblBD_PatronMasa[[Código Patrón]:[mN-(mpe–U95)]],12,FALSE)+731),""),IF(tblTrazabilidad[[#This Row],[Clase]]="F1",IFERROR(IF(VLOOKUP($CH360,tblBD_PatronMasa[[Código Patrón]:[mN-(mpe–U95)]],12,FALSE)=0,"",VLOOKUP($CH360,tblBD_PatronMasa[[Código Patrón]:[mN-(mpe–U95)]],12,FALSE)+731),""),IFERROR(IF(VLOOKUP($CH360,tblBD_PatronMasa[[Código Patrón]:[mN-(mpe–U95)]],12,FALSE)=0,"",VLOOKUP($CH360,tblBD_PatronMasa[[Código Patrón]:[mN-(mpe–U95)]],12,FALSE)+366),"")))</f>
        <v/>
      </c>
      <c r="CM360" s="33" t="str">
        <f>IFERROR(VLOOKUP($CH360,tblBD_PatronMasa[[Código Patrón]:[mN-(mpe–U95)]],3,FALSE),"")</f>
        <v/>
      </c>
      <c r="CS360" s="32"/>
      <c r="CU360"/>
      <c r="DC360" s="1"/>
      <c r="DD360" s="1"/>
      <c r="DF360"/>
      <c r="DG360"/>
    </row>
    <row r="361" spans="85:111" x14ac:dyDescent="0.3">
      <c r="CG361" s="38">
        <v>355</v>
      </c>
      <c r="CH361" s="35">
        <f t="shared" si="18"/>
        <v>0</v>
      </c>
      <c r="CI361" s="35" t="str">
        <f>IF(tblTrazabilidad[[#This Row],[Código]]=0,"",IFERROR(IF(SEARCH("JM",tblTrazabilidad[[#This Row],[Código]])&gt;0,"Juego de pesas",),"Pesa"))</f>
        <v/>
      </c>
      <c r="CJ361" s="35" t="str">
        <f>IFERROR(VLOOKUP($CH361,tblBD_PatronMasa[[Código Patrón]:[mN-(mpe–U95)]],2,FALSE),"")</f>
        <v/>
      </c>
      <c r="CK361" s="35" t="str">
        <f>IFERROR(VLOOKUP($CH361,tblBD_PatronMasa[[Código Patrón]:[mN-(mpe–U95)]],13,FALSE),"")</f>
        <v/>
      </c>
      <c r="CL361" s="34" t="str">
        <f>IF(tblTrazabilidad[[#This Row],[Clase]]="F2",IFERROR(IF(VLOOKUP($CH361,tblBD_PatronMasa[[Código Patrón]:[mN-(mpe–U95)]],12,FALSE)=0,"",VLOOKUP($CH361,tblBD_PatronMasa[[Código Patrón]:[mN-(mpe–U95)]],12,FALSE)+731),""),IF(tblTrazabilidad[[#This Row],[Clase]]="F1",IFERROR(IF(VLOOKUP($CH361,tblBD_PatronMasa[[Código Patrón]:[mN-(mpe–U95)]],12,FALSE)=0,"",VLOOKUP($CH361,tblBD_PatronMasa[[Código Patrón]:[mN-(mpe–U95)]],12,FALSE)+731),""),IFERROR(IF(VLOOKUP($CH361,tblBD_PatronMasa[[Código Patrón]:[mN-(mpe–U95)]],12,FALSE)=0,"",VLOOKUP($CH361,tblBD_PatronMasa[[Código Patrón]:[mN-(mpe–U95)]],12,FALSE)+366),"")))</f>
        <v/>
      </c>
      <c r="CM361" s="33" t="str">
        <f>IFERROR(VLOOKUP($CH361,tblBD_PatronMasa[[Código Patrón]:[mN-(mpe–U95)]],3,FALSE),"")</f>
        <v/>
      </c>
      <c r="CS361" s="32"/>
      <c r="CU361"/>
      <c r="DC361" s="1"/>
      <c r="DD361" s="1"/>
      <c r="DF361"/>
      <c r="DG361"/>
    </row>
    <row r="362" spans="85:111" x14ac:dyDescent="0.3">
      <c r="CG362" s="38">
        <v>356</v>
      </c>
      <c r="CH362" s="35">
        <f t="shared" si="18"/>
        <v>0</v>
      </c>
      <c r="CI362" s="35" t="str">
        <f>IF(tblTrazabilidad[[#This Row],[Código]]=0,"",IFERROR(IF(SEARCH("JM",tblTrazabilidad[[#This Row],[Código]])&gt;0,"Juego de pesas",),"Pesa"))</f>
        <v/>
      </c>
      <c r="CJ362" s="35" t="str">
        <f>IFERROR(VLOOKUP($CH362,tblBD_PatronMasa[[Código Patrón]:[mN-(mpe–U95)]],2,FALSE),"")</f>
        <v/>
      </c>
      <c r="CK362" s="35" t="str">
        <f>IFERROR(VLOOKUP($CH362,tblBD_PatronMasa[[Código Patrón]:[mN-(mpe–U95)]],13,FALSE),"")</f>
        <v/>
      </c>
      <c r="CL362" s="34" t="str">
        <f>IF(tblTrazabilidad[[#This Row],[Clase]]="F2",IFERROR(IF(VLOOKUP($CH362,tblBD_PatronMasa[[Código Patrón]:[mN-(mpe–U95)]],12,FALSE)=0,"",VLOOKUP($CH362,tblBD_PatronMasa[[Código Patrón]:[mN-(mpe–U95)]],12,FALSE)+731),""),IF(tblTrazabilidad[[#This Row],[Clase]]="F1",IFERROR(IF(VLOOKUP($CH362,tblBD_PatronMasa[[Código Patrón]:[mN-(mpe–U95)]],12,FALSE)=0,"",VLOOKUP($CH362,tblBD_PatronMasa[[Código Patrón]:[mN-(mpe–U95)]],12,FALSE)+731),""),IFERROR(IF(VLOOKUP($CH362,tblBD_PatronMasa[[Código Patrón]:[mN-(mpe–U95)]],12,FALSE)=0,"",VLOOKUP($CH362,tblBD_PatronMasa[[Código Patrón]:[mN-(mpe–U95)]],12,FALSE)+366),"")))</f>
        <v/>
      </c>
      <c r="CM362" s="33" t="str">
        <f>IFERROR(VLOOKUP($CH362,tblBD_PatronMasa[[Código Patrón]:[mN-(mpe–U95)]],3,FALSE),"")</f>
        <v/>
      </c>
      <c r="CS362" s="32"/>
      <c r="CU362"/>
      <c r="DC362" s="1"/>
      <c r="DD362" s="1"/>
      <c r="DF362"/>
      <c r="DG362"/>
    </row>
    <row r="363" spans="85:111" x14ac:dyDescent="0.3">
      <c r="CG363" s="38">
        <v>357</v>
      </c>
      <c r="CH363" s="35">
        <f t="shared" si="18"/>
        <v>0</v>
      </c>
      <c r="CI363" s="35" t="str">
        <f>IF(tblTrazabilidad[[#This Row],[Código]]=0,"",IFERROR(IF(SEARCH("JM",tblTrazabilidad[[#This Row],[Código]])&gt;0,"Juego de pesas",),"Pesa"))</f>
        <v/>
      </c>
      <c r="CJ363" s="35" t="str">
        <f>IFERROR(VLOOKUP($CH363,tblBD_PatronMasa[[Código Patrón]:[mN-(mpe–U95)]],2,FALSE),"")</f>
        <v/>
      </c>
      <c r="CK363" s="35" t="str">
        <f>IFERROR(VLOOKUP($CH363,tblBD_PatronMasa[[Código Patrón]:[mN-(mpe–U95)]],13,FALSE),"")</f>
        <v/>
      </c>
      <c r="CL363" s="34" t="str">
        <f>IF(tblTrazabilidad[[#This Row],[Clase]]="F2",IFERROR(IF(VLOOKUP($CH363,tblBD_PatronMasa[[Código Patrón]:[mN-(mpe–U95)]],12,FALSE)=0,"",VLOOKUP($CH363,tblBD_PatronMasa[[Código Patrón]:[mN-(mpe–U95)]],12,FALSE)+731),""),IF(tblTrazabilidad[[#This Row],[Clase]]="F1",IFERROR(IF(VLOOKUP($CH363,tblBD_PatronMasa[[Código Patrón]:[mN-(mpe–U95)]],12,FALSE)=0,"",VLOOKUP($CH363,tblBD_PatronMasa[[Código Patrón]:[mN-(mpe–U95)]],12,FALSE)+731),""),IFERROR(IF(VLOOKUP($CH363,tblBD_PatronMasa[[Código Patrón]:[mN-(mpe–U95)]],12,FALSE)=0,"",VLOOKUP($CH363,tblBD_PatronMasa[[Código Patrón]:[mN-(mpe–U95)]],12,FALSE)+366),"")))</f>
        <v/>
      </c>
      <c r="CM363" s="33" t="str">
        <f>IFERROR(VLOOKUP($CH363,tblBD_PatronMasa[[Código Patrón]:[mN-(mpe–U95)]],3,FALSE),"")</f>
        <v/>
      </c>
      <c r="CS363" s="32"/>
      <c r="CU363"/>
      <c r="DC363" s="1"/>
      <c r="DD363" s="1"/>
      <c r="DF363"/>
      <c r="DG363"/>
    </row>
    <row r="364" spans="85:111" x14ac:dyDescent="0.3">
      <c r="CG364" s="38">
        <v>358</v>
      </c>
      <c r="CH364" s="35">
        <f t="shared" si="18"/>
        <v>0</v>
      </c>
      <c r="CI364" s="35" t="str">
        <f>IF(tblTrazabilidad[[#This Row],[Código]]=0,"",IFERROR(IF(SEARCH("JM",tblTrazabilidad[[#This Row],[Código]])&gt;0,"Juego de pesas",),"Pesa"))</f>
        <v/>
      </c>
      <c r="CJ364" s="35" t="str">
        <f>IFERROR(VLOOKUP($CH364,tblBD_PatronMasa[[Código Patrón]:[mN-(mpe–U95)]],2,FALSE),"")</f>
        <v/>
      </c>
      <c r="CK364" s="35" t="str">
        <f>IFERROR(VLOOKUP($CH364,tblBD_PatronMasa[[Código Patrón]:[mN-(mpe–U95)]],13,FALSE),"")</f>
        <v/>
      </c>
      <c r="CL364" s="34" t="str">
        <f>IF(tblTrazabilidad[[#This Row],[Clase]]="F2",IFERROR(IF(VLOOKUP($CH364,tblBD_PatronMasa[[Código Patrón]:[mN-(mpe–U95)]],12,FALSE)=0,"",VLOOKUP($CH364,tblBD_PatronMasa[[Código Patrón]:[mN-(mpe–U95)]],12,FALSE)+731),""),IF(tblTrazabilidad[[#This Row],[Clase]]="F1",IFERROR(IF(VLOOKUP($CH364,tblBD_PatronMasa[[Código Patrón]:[mN-(mpe–U95)]],12,FALSE)=0,"",VLOOKUP($CH364,tblBD_PatronMasa[[Código Patrón]:[mN-(mpe–U95)]],12,FALSE)+731),""),IFERROR(IF(VLOOKUP($CH364,tblBD_PatronMasa[[Código Patrón]:[mN-(mpe–U95)]],12,FALSE)=0,"",VLOOKUP($CH364,tblBD_PatronMasa[[Código Patrón]:[mN-(mpe–U95)]],12,FALSE)+366),"")))</f>
        <v/>
      </c>
      <c r="CM364" s="33" t="str">
        <f>IFERROR(VLOOKUP($CH364,tblBD_PatronMasa[[Código Patrón]:[mN-(mpe–U95)]],3,FALSE),"")</f>
        <v/>
      </c>
      <c r="CS364" s="32"/>
      <c r="CU364"/>
      <c r="DC364" s="1"/>
      <c r="DD364" s="1"/>
      <c r="DF364"/>
      <c r="DG364"/>
    </row>
    <row r="365" spans="85:111" x14ac:dyDescent="0.3">
      <c r="CG365" s="38">
        <v>359</v>
      </c>
      <c r="CH365" s="35">
        <f t="shared" si="18"/>
        <v>0</v>
      </c>
      <c r="CI365" s="35" t="str">
        <f>IF(tblTrazabilidad[[#This Row],[Código]]=0,"",IFERROR(IF(SEARCH("JM",tblTrazabilidad[[#This Row],[Código]])&gt;0,"Juego de pesas",),"Pesa"))</f>
        <v/>
      </c>
      <c r="CJ365" s="35" t="str">
        <f>IFERROR(VLOOKUP($CH365,tblBD_PatronMasa[[Código Patrón]:[mN-(mpe–U95)]],2,FALSE),"")</f>
        <v/>
      </c>
      <c r="CK365" s="35" t="str">
        <f>IFERROR(VLOOKUP($CH365,tblBD_PatronMasa[[Código Patrón]:[mN-(mpe–U95)]],13,FALSE),"")</f>
        <v/>
      </c>
      <c r="CL365" s="34" t="str">
        <f>IF(tblTrazabilidad[[#This Row],[Clase]]="F2",IFERROR(IF(VLOOKUP($CH365,tblBD_PatronMasa[[Código Patrón]:[mN-(mpe–U95)]],12,FALSE)=0,"",VLOOKUP($CH365,tblBD_PatronMasa[[Código Patrón]:[mN-(mpe–U95)]],12,FALSE)+731),""),IF(tblTrazabilidad[[#This Row],[Clase]]="F1",IFERROR(IF(VLOOKUP($CH365,tblBD_PatronMasa[[Código Patrón]:[mN-(mpe–U95)]],12,FALSE)=0,"",VLOOKUP($CH365,tblBD_PatronMasa[[Código Patrón]:[mN-(mpe–U95)]],12,FALSE)+731),""),IFERROR(IF(VLOOKUP($CH365,tblBD_PatronMasa[[Código Patrón]:[mN-(mpe–U95)]],12,FALSE)=0,"",VLOOKUP($CH365,tblBD_PatronMasa[[Código Patrón]:[mN-(mpe–U95)]],12,FALSE)+366),"")))</f>
        <v/>
      </c>
      <c r="CM365" s="33" t="str">
        <f>IFERROR(VLOOKUP($CH365,tblBD_PatronMasa[[Código Patrón]:[mN-(mpe–U95)]],3,FALSE),"")</f>
        <v/>
      </c>
      <c r="CS365" s="32"/>
      <c r="CU365"/>
      <c r="DC365" s="1"/>
      <c r="DD365" s="1"/>
      <c r="DF365"/>
      <c r="DG365"/>
    </row>
    <row r="366" spans="85:111" x14ac:dyDescent="0.3">
      <c r="CG366" s="38">
        <v>360</v>
      </c>
      <c r="CH366" s="35">
        <f t="shared" si="18"/>
        <v>0</v>
      </c>
      <c r="CI366" s="35" t="str">
        <f>IF(tblTrazabilidad[[#This Row],[Código]]=0,"",IFERROR(IF(SEARCH("JM",tblTrazabilidad[[#This Row],[Código]])&gt;0,"Juego de pesas",),"Pesa"))</f>
        <v/>
      </c>
      <c r="CJ366" s="35" t="str">
        <f>IFERROR(VLOOKUP($CH366,tblBD_PatronMasa[[Código Patrón]:[mN-(mpe–U95)]],2,FALSE),"")</f>
        <v/>
      </c>
      <c r="CK366" s="35" t="str">
        <f>IFERROR(VLOOKUP($CH366,tblBD_PatronMasa[[Código Patrón]:[mN-(mpe–U95)]],13,FALSE),"")</f>
        <v/>
      </c>
      <c r="CL366" s="34" t="str">
        <f>IF(tblTrazabilidad[[#This Row],[Clase]]="F2",IFERROR(IF(VLOOKUP($CH366,tblBD_PatronMasa[[Código Patrón]:[mN-(mpe–U95)]],12,FALSE)=0,"",VLOOKUP($CH366,tblBD_PatronMasa[[Código Patrón]:[mN-(mpe–U95)]],12,FALSE)+731),""),IF(tblTrazabilidad[[#This Row],[Clase]]="F1",IFERROR(IF(VLOOKUP($CH366,tblBD_PatronMasa[[Código Patrón]:[mN-(mpe–U95)]],12,FALSE)=0,"",VLOOKUP($CH366,tblBD_PatronMasa[[Código Patrón]:[mN-(mpe–U95)]],12,FALSE)+731),""),IFERROR(IF(VLOOKUP($CH366,tblBD_PatronMasa[[Código Patrón]:[mN-(mpe–U95)]],12,FALSE)=0,"",VLOOKUP($CH366,tblBD_PatronMasa[[Código Patrón]:[mN-(mpe–U95)]],12,FALSE)+366),"")))</f>
        <v/>
      </c>
      <c r="CM366" s="33" t="str">
        <f>IFERROR(VLOOKUP($CH366,tblBD_PatronMasa[[Código Patrón]:[mN-(mpe–U95)]],3,FALSE),"")</f>
        <v/>
      </c>
      <c r="CS366" s="32"/>
      <c r="CU366"/>
      <c r="DC366" s="1"/>
      <c r="DD366" s="1"/>
      <c r="DF366"/>
      <c r="DG366"/>
    </row>
    <row r="367" spans="85:111" x14ac:dyDescent="0.3">
      <c r="CG367" s="38">
        <v>361</v>
      </c>
      <c r="CH367" s="35">
        <f t="shared" si="18"/>
        <v>0</v>
      </c>
      <c r="CI367" s="35" t="str">
        <f>IF(tblTrazabilidad[[#This Row],[Código]]=0,"",IFERROR(IF(SEARCH("JM",tblTrazabilidad[[#This Row],[Código]])&gt;0,"Juego de pesas",),"Pesa"))</f>
        <v/>
      </c>
      <c r="CJ367" s="35" t="str">
        <f>IFERROR(VLOOKUP($CH367,tblBD_PatronMasa[[Código Patrón]:[mN-(mpe–U95)]],2,FALSE),"")</f>
        <v/>
      </c>
      <c r="CK367" s="35" t="str">
        <f>IFERROR(VLOOKUP($CH367,tblBD_PatronMasa[[Código Patrón]:[mN-(mpe–U95)]],13,FALSE),"")</f>
        <v/>
      </c>
      <c r="CL367" s="34" t="str">
        <f>IF(tblTrazabilidad[[#This Row],[Clase]]="F2",IFERROR(IF(VLOOKUP($CH367,tblBD_PatronMasa[[Código Patrón]:[mN-(mpe–U95)]],12,FALSE)=0,"",VLOOKUP($CH367,tblBD_PatronMasa[[Código Patrón]:[mN-(mpe–U95)]],12,FALSE)+731),""),IF(tblTrazabilidad[[#This Row],[Clase]]="F1",IFERROR(IF(VLOOKUP($CH367,tblBD_PatronMasa[[Código Patrón]:[mN-(mpe–U95)]],12,FALSE)=0,"",VLOOKUP($CH367,tblBD_PatronMasa[[Código Patrón]:[mN-(mpe–U95)]],12,FALSE)+731),""),IFERROR(IF(VLOOKUP($CH367,tblBD_PatronMasa[[Código Patrón]:[mN-(mpe–U95)]],12,FALSE)=0,"",VLOOKUP($CH367,tblBD_PatronMasa[[Código Patrón]:[mN-(mpe–U95)]],12,FALSE)+366),"")))</f>
        <v/>
      </c>
      <c r="CM367" s="33" t="str">
        <f>IFERROR(VLOOKUP($CH367,tblBD_PatronMasa[[Código Patrón]:[mN-(mpe–U95)]],3,FALSE),"")</f>
        <v/>
      </c>
      <c r="CS367" s="32"/>
      <c r="CU367"/>
      <c r="DC367" s="1"/>
      <c r="DD367" s="1"/>
      <c r="DF367"/>
      <c r="DG367"/>
    </row>
    <row r="368" spans="85:111" x14ac:dyDescent="0.3">
      <c r="CG368" s="38">
        <v>362</v>
      </c>
      <c r="CH368" s="35">
        <f t="shared" si="18"/>
        <v>0</v>
      </c>
      <c r="CI368" s="35" t="str">
        <f>IF(tblTrazabilidad[[#This Row],[Código]]=0,"",IFERROR(IF(SEARCH("JM",tblTrazabilidad[[#This Row],[Código]])&gt;0,"Juego de pesas",),"Pesa"))</f>
        <v/>
      </c>
      <c r="CJ368" s="35" t="str">
        <f>IFERROR(VLOOKUP($CH368,tblBD_PatronMasa[[Código Patrón]:[mN-(mpe–U95)]],2,FALSE),"")</f>
        <v/>
      </c>
      <c r="CK368" s="35" t="str">
        <f>IFERROR(VLOOKUP($CH368,tblBD_PatronMasa[[Código Patrón]:[mN-(mpe–U95)]],13,FALSE),"")</f>
        <v/>
      </c>
      <c r="CL368" s="34" t="str">
        <f>IF(tblTrazabilidad[[#This Row],[Clase]]="F2",IFERROR(IF(VLOOKUP($CH368,tblBD_PatronMasa[[Código Patrón]:[mN-(mpe–U95)]],12,FALSE)=0,"",VLOOKUP($CH368,tblBD_PatronMasa[[Código Patrón]:[mN-(mpe–U95)]],12,FALSE)+731),""),IF(tblTrazabilidad[[#This Row],[Clase]]="F1",IFERROR(IF(VLOOKUP($CH368,tblBD_PatronMasa[[Código Patrón]:[mN-(mpe–U95)]],12,FALSE)=0,"",VLOOKUP($CH368,tblBD_PatronMasa[[Código Patrón]:[mN-(mpe–U95)]],12,FALSE)+731),""),IFERROR(IF(VLOOKUP($CH368,tblBD_PatronMasa[[Código Patrón]:[mN-(mpe–U95)]],12,FALSE)=0,"",VLOOKUP($CH368,tblBD_PatronMasa[[Código Patrón]:[mN-(mpe–U95)]],12,FALSE)+366),"")))</f>
        <v/>
      </c>
      <c r="CM368" s="33" t="str">
        <f>IFERROR(VLOOKUP($CH368,tblBD_PatronMasa[[Código Patrón]:[mN-(mpe–U95)]],3,FALSE),"")</f>
        <v/>
      </c>
      <c r="CS368" s="32"/>
      <c r="CU368"/>
      <c r="DC368" s="1"/>
      <c r="DD368" s="1"/>
      <c r="DF368"/>
      <c r="DG368"/>
    </row>
    <row r="369" spans="85:111" x14ac:dyDescent="0.3">
      <c r="CG369" s="38">
        <v>363</v>
      </c>
      <c r="CH369" s="35">
        <f t="shared" si="18"/>
        <v>0</v>
      </c>
      <c r="CI369" s="35" t="str">
        <f>IF(tblTrazabilidad[[#This Row],[Código]]=0,"",IFERROR(IF(SEARCH("JM",tblTrazabilidad[[#This Row],[Código]])&gt;0,"Juego de pesas",),"Pesa"))</f>
        <v/>
      </c>
      <c r="CJ369" s="35" t="str">
        <f>IFERROR(VLOOKUP($CH369,tblBD_PatronMasa[[Código Patrón]:[mN-(mpe–U95)]],2,FALSE),"")</f>
        <v/>
      </c>
      <c r="CK369" s="35" t="str">
        <f>IFERROR(VLOOKUP($CH369,tblBD_PatronMasa[[Código Patrón]:[mN-(mpe–U95)]],13,FALSE),"")</f>
        <v/>
      </c>
      <c r="CL369" s="34" t="str">
        <f>IF(tblTrazabilidad[[#This Row],[Clase]]="F2",IFERROR(IF(VLOOKUP($CH369,tblBD_PatronMasa[[Código Patrón]:[mN-(mpe–U95)]],12,FALSE)=0,"",VLOOKUP($CH369,tblBD_PatronMasa[[Código Patrón]:[mN-(mpe–U95)]],12,FALSE)+731),""),IF(tblTrazabilidad[[#This Row],[Clase]]="F1",IFERROR(IF(VLOOKUP($CH369,tblBD_PatronMasa[[Código Patrón]:[mN-(mpe–U95)]],12,FALSE)=0,"",VLOOKUP($CH369,tblBD_PatronMasa[[Código Patrón]:[mN-(mpe–U95)]],12,FALSE)+731),""),IFERROR(IF(VLOOKUP($CH369,tblBD_PatronMasa[[Código Patrón]:[mN-(mpe–U95)]],12,FALSE)=0,"",VLOOKUP($CH369,tblBD_PatronMasa[[Código Patrón]:[mN-(mpe–U95)]],12,FALSE)+366),"")))</f>
        <v/>
      </c>
      <c r="CM369" s="33" t="str">
        <f>IFERROR(VLOOKUP($CH369,tblBD_PatronMasa[[Código Patrón]:[mN-(mpe–U95)]],3,FALSE),"")</f>
        <v/>
      </c>
      <c r="CS369" s="32"/>
      <c r="CU369"/>
      <c r="DC369" s="1"/>
      <c r="DD369" s="1"/>
      <c r="DF369"/>
      <c r="DG369"/>
    </row>
    <row r="370" spans="85:111" x14ac:dyDescent="0.3">
      <c r="CG370" s="38">
        <v>364</v>
      </c>
      <c r="CH370" s="35">
        <f t="shared" si="18"/>
        <v>0</v>
      </c>
      <c r="CI370" s="35" t="str">
        <f>IF(tblTrazabilidad[[#This Row],[Código]]=0,"",IFERROR(IF(SEARCH("JM",tblTrazabilidad[[#This Row],[Código]])&gt;0,"Juego de pesas",),"Pesa"))</f>
        <v/>
      </c>
      <c r="CJ370" s="35" t="str">
        <f>IFERROR(VLOOKUP($CH370,tblBD_PatronMasa[[Código Patrón]:[mN-(mpe–U95)]],2,FALSE),"")</f>
        <v/>
      </c>
      <c r="CK370" s="35" t="str">
        <f>IFERROR(VLOOKUP($CH370,tblBD_PatronMasa[[Código Patrón]:[mN-(mpe–U95)]],13,FALSE),"")</f>
        <v/>
      </c>
      <c r="CL370" s="34" t="str">
        <f>IF(tblTrazabilidad[[#This Row],[Clase]]="F2",IFERROR(IF(VLOOKUP($CH370,tblBD_PatronMasa[[Código Patrón]:[mN-(mpe–U95)]],12,FALSE)=0,"",VLOOKUP($CH370,tblBD_PatronMasa[[Código Patrón]:[mN-(mpe–U95)]],12,FALSE)+731),""),IF(tblTrazabilidad[[#This Row],[Clase]]="F1",IFERROR(IF(VLOOKUP($CH370,tblBD_PatronMasa[[Código Patrón]:[mN-(mpe–U95)]],12,FALSE)=0,"",VLOOKUP($CH370,tblBD_PatronMasa[[Código Patrón]:[mN-(mpe–U95)]],12,FALSE)+731),""),IFERROR(IF(VLOOKUP($CH370,tblBD_PatronMasa[[Código Patrón]:[mN-(mpe–U95)]],12,FALSE)=0,"",VLOOKUP($CH370,tblBD_PatronMasa[[Código Patrón]:[mN-(mpe–U95)]],12,FALSE)+366),"")))</f>
        <v/>
      </c>
      <c r="CM370" s="33" t="str">
        <f>IFERROR(VLOOKUP($CH370,tblBD_PatronMasa[[Código Patrón]:[mN-(mpe–U95)]],3,FALSE),"")</f>
        <v/>
      </c>
      <c r="CS370" s="32"/>
      <c r="CU370"/>
      <c r="DC370" s="1"/>
      <c r="DD370" s="1"/>
      <c r="DF370"/>
      <c r="DG370"/>
    </row>
    <row r="371" spans="85:111" x14ac:dyDescent="0.3">
      <c r="CG371" s="38">
        <v>365</v>
      </c>
      <c r="CH371" s="35">
        <f t="shared" si="18"/>
        <v>0</v>
      </c>
      <c r="CI371" s="35" t="str">
        <f>IF(tblTrazabilidad[[#This Row],[Código]]=0,"",IFERROR(IF(SEARCH("JM",tblTrazabilidad[[#This Row],[Código]])&gt;0,"Juego de pesas",),"Pesa"))</f>
        <v/>
      </c>
      <c r="CJ371" s="35" t="str">
        <f>IFERROR(VLOOKUP($CH371,tblBD_PatronMasa[[Código Patrón]:[mN-(mpe–U95)]],2,FALSE),"")</f>
        <v/>
      </c>
      <c r="CK371" s="35" t="str">
        <f>IFERROR(VLOOKUP($CH371,tblBD_PatronMasa[[Código Patrón]:[mN-(mpe–U95)]],13,FALSE),"")</f>
        <v/>
      </c>
      <c r="CL371" s="34" t="str">
        <f>IF(tblTrazabilidad[[#This Row],[Clase]]="F2",IFERROR(IF(VLOOKUP($CH371,tblBD_PatronMasa[[Código Patrón]:[mN-(mpe–U95)]],12,FALSE)=0,"",VLOOKUP($CH371,tblBD_PatronMasa[[Código Patrón]:[mN-(mpe–U95)]],12,FALSE)+731),""),IF(tblTrazabilidad[[#This Row],[Clase]]="F1",IFERROR(IF(VLOOKUP($CH371,tblBD_PatronMasa[[Código Patrón]:[mN-(mpe–U95)]],12,FALSE)=0,"",VLOOKUP($CH371,tblBD_PatronMasa[[Código Patrón]:[mN-(mpe–U95)]],12,FALSE)+731),""),IFERROR(IF(VLOOKUP($CH371,tblBD_PatronMasa[[Código Patrón]:[mN-(mpe–U95)]],12,FALSE)=0,"",VLOOKUP($CH371,tblBD_PatronMasa[[Código Patrón]:[mN-(mpe–U95)]],12,FALSE)+366),"")))</f>
        <v/>
      </c>
      <c r="CM371" s="33" t="str">
        <f>IFERROR(VLOOKUP($CH371,tblBD_PatronMasa[[Código Patrón]:[mN-(mpe–U95)]],3,FALSE),"")</f>
        <v/>
      </c>
      <c r="CS371" s="32"/>
      <c r="CU371"/>
      <c r="DC371" s="1"/>
      <c r="DD371" s="1"/>
      <c r="DF371"/>
      <c r="DG371"/>
    </row>
    <row r="372" spans="85:111" x14ac:dyDescent="0.3">
      <c r="CG372" s="38">
        <v>366</v>
      </c>
      <c r="CH372" s="35">
        <f t="shared" si="18"/>
        <v>0</v>
      </c>
      <c r="CI372" s="35" t="str">
        <f>IF(tblTrazabilidad[[#This Row],[Código]]=0,"",IFERROR(IF(SEARCH("JM",tblTrazabilidad[[#This Row],[Código]])&gt;0,"Juego de pesas",),"Pesa"))</f>
        <v/>
      </c>
      <c r="CJ372" s="35" t="str">
        <f>IFERROR(VLOOKUP($CH372,tblBD_PatronMasa[[Código Patrón]:[mN-(mpe–U95)]],2,FALSE),"")</f>
        <v/>
      </c>
      <c r="CK372" s="35" t="str">
        <f>IFERROR(VLOOKUP($CH372,tblBD_PatronMasa[[Código Patrón]:[mN-(mpe–U95)]],13,FALSE),"")</f>
        <v/>
      </c>
      <c r="CL372" s="34" t="str">
        <f>IF(tblTrazabilidad[[#This Row],[Clase]]="F2",IFERROR(IF(VLOOKUP($CH372,tblBD_PatronMasa[[Código Patrón]:[mN-(mpe–U95)]],12,FALSE)=0,"",VLOOKUP($CH372,tblBD_PatronMasa[[Código Patrón]:[mN-(mpe–U95)]],12,FALSE)+731),""),IF(tblTrazabilidad[[#This Row],[Clase]]="F1",IFERROR(IF(VLOOKUP($CH372,tblBD_PatronMasa[[Código Patrón]:[mN-(mpe–U95)]],12,FALSE)=0,"",VLOOKUP($CH372,tblBD_PatronMasa[[Código Patrón]:[mN-(mpe–U95)]],12,FALSE)+731),""),IFERROR(IF(VLOOKUP($CH372,tblBD_PatronMasa[[Código Patrón]:[mN-(mpe–U95)]],12,FALSE)=0,"",VLOOKUP($CH372,tblBD_PatronMasa[[Código Patrón]:[mN-(mpe–U95)]],12,FALSE)+366),"")))</f>
        <v/>
      </c>
      <c r="CM372" s="33" t="str">
        <f>IFERROR(VLOOKUP($CH372,tblBD_PatronMasa[[Código Patrón]:[mN-(mpe–U95)]],3,FALSE),"")</f>
        <v/>
      </c>
      <c r="CS372" s="32"/>
      <c r="CU372"/>
      <c r="DC372" s="1"/>
      <c r="DD372" s="1"/>
      <c r="DF372"/>
      <c r="DG372"/>
    </row>
    <row r="373" spans="85:111" x14ac:dyDescent="0.3">
      <c r="CG373" s="38">
        <v>367</v>
      </c>
      <c r="CH373" s="35">
        <f t="shared" si="18"/>
        <v>0</v>
      </c>
      <c r="CI373" s="35" t="str">
        <f>IF(tblTrazabilidad[[#This Row],[Código]]=0,"",IFERROR(IF(SEARCH("JM",tblTrazabilidad[[#This Row],[Código]])&gt;0,"Juego de pesas",),"Pesa"))</f>
        <v/>
      </c>
      <c r="CJ373" s="35" t="str">
        <f>IFERROR(VLOOKUP($CH373,tblBD_PatronMasa[[Código Patrón]:[mN-(mpe–U95)]],2,FALSE),"")</f>
        <v/>
      </c>
      <c r="CK373" s="35" t="str">
        <f>IFERROR(VLOOKUP($CH373,tblBD_PatronMasa[[Código Patrón]:[mN-(mpe–U95)]],13,FALSE),"")</f>
        <v/>
      </c>
      <c r="CL373" s="34" t="str">
        <f>IF(tblTrazabilidad[[#This Row],[Clase]]="F2",IFERROR(IF(VLOOKUP($CH373,tblBD_PatronMasa[[Código Patrón]:[mN-(mpe–U95)]],12,FALSE)=0,"",VLOOKUP($CH373,tblBD_PatronMasa[[Código Patrón]:[mN-(mpe–U95)]],12,FALSE)+731),""),IF(tblTrazabilidad[[#This Row],[Clase]]="F1",IFERROR(IF(VLOOKUP($CH373,tblBD_PatronMasa[[Código Patrón]:[mN-(mpe–U95)]],12,FALSE)=0,"",VLOOKUP($CH373,tblBD_PatronMasa[[Código Patrón]:[mN-(mpe–U95)]],12,FALSE)+731),""),IFERROR(IF(VLOOKUP($CH373,tblBD_PatronMasa[[Código Patrón]:[mN-(mpe–U95)]],12,FALSE)=0,"",VLOOKUP($CH373,tblBD_PatronMasa[[Código Patrón]:[mN-(mpe–U95)]],12,FALSE)+366),"")))</f>
        <v/>
      </c>
      <c r="CM373" s="33" t="str">
        <f>IFERROR(VLOOKUP($CH373,tblBD_PatronMasa[[Código Patrón]:[mN-(mpe–U95)]],3,FALSE),"")</f>
        <v/>
      </c>
      <c r="CS373" s="32"/>
      <c r="CU373"/>
      <c r="DC373" s="1"/>
      <c r="DD373" s="1"/>
      <c r="DF373"/>
      <c r="DG373"/>
    </row>
    <row r="374" spans="85:111" x14ac:dyDescent="0.3">
      <c r="CG374" s="38">
        <v>368</v>
      </c>
      <c r="CH374" s="35">
        <f t="shared" si="18"/>
        <v>0</v>
      </c>
      <c r="CI374" s="35" t="str">
        <f>IF(tblTrazabilidad[[#This Row],[Código]]=0,"",IFERROR(IF(SEARCH("JM",tblTrazabilidad[[#This Row],[Código]])&gt;0,"Juego de pesas",),"Pesa"))</f>
        <v/>
      </c>
      <c r="CJ374" s="35" t="str">
        <f>IFERROR(VLOOKUP($CH374,tblBD_PatronMasa[[Código Patrón]:[mN-(mpe–U95)]],2,FALSE),"")</f>
        <v/>
      </c>
      <c r="CK374" s="35" t="str">
        <f>IFERROR(VLOOKUP($CH374,tblBD_PatronMasa[[Código Patrón]:[mN-(mpe–U95)]],13,FALSE),"")</f>
        <v/>
      </c>
      <c r="CL374" s="34" t="str">
        <f>IF(tblTrazabilidad[[#This Row],[Clase]]="F2",IFERROR(IF(VLOOKUP($CH374,tblBD_PatronMasa[[Código Patrón]:[mN-(mpe–U95)]],12,FALSE)=0,"",VLOOKUP($CH374,tblBD_PatronMasa[[Código Patrón]:[mN-(mpe–U95)]],12,FALSE)+731),""),IF(tblTrazabilidad[[#This Row],[Clase]]="F1",IFERROR(IF(VLOOKUP($CH374,tblBD_PatronMasa[[Código Patrón]:[mN-(mpe–U95)]],12,FALSE)=0,"",VLOOKUP($CH374,tblBD_PatronMasa[[Código Patrón]:[mN-(mpe–U95)]],12,FALSE)+731),""),IFERROR(IF(VLOOKUP($CH374,tblBD_PatronMasa[[Código Patrón]:[mN-(mpe–U95)]],12,FALSE)=0,"",VLOOKUP($CH374,tblBD_PatronMasa[[Código Patrón]:[mN-(mpe–U95)]],12,FALSE)+366),"")))</f>
        <v/>
      </c>
      <c r="CM374" s="33" t="str">
        <f>IFERROR(VLOOKUP($CH374,tblBD_PatronMasa[[Código Patrón]:[mN-(mpe–U95)]],3,FALSE),"")</f>
        <v/>
      </c>
      <c r="CS374" s="32"/>
      <c r="CU374"/>
      <c r="DC374" s="1"/>
      <c r="DD374" s="1"/>
      <c r="DF374"/>
      <c r="DG374"/>
    </row>
    <row r="375" spans="85:111" x14ac:dyDescent="0.3">
      <c r="CG375" s="38">
        <v>369</v>
      </c>
      <c r="CH375" s="35">
        <f t="shared" si="18"/>
        <v>0</v>
      </c>
      <c r="CI375" s="35" t="str">
        <f>IF(tblTrazabilidad[[#This Row],[Código]]=0,"",IFERROR(IF(SEARCH("JM",tblTrazabilidad[[#This Row],[Código]])&gt;0,"Juego de pesas",),"Pesa"))</f>
        <v/>
      </c>
      <c r="CJ375" s="35" t="str">
        <f>IFERROR(VLOOKUP($CH375,tblBD_PatronMasa[[Código Patrón]:[mN-(mpe–U95)]],2,FALSE),"")</f>
        <v/>
      </c>
      <c r="CK375" s="35" t="str">
        <f>IFERROR(VLOOKUP($CH375,tblBD_PatronMasa[[Código Patrón]:[mN-(mpe–U95)]],13,FALSE),"")</f>
        <v/>
      </c>
      <c r="CL375" s="34" t="str">
        <f>IF(tblTrazabilidad[[#This Row],[Clase]]="F2",IFERROR(IF(VLOOKUP($CH375,tblBD_PatronMasa[[Código Patrón]:[mN-(mpe–U95)]],12,FALSE)=0,"",VLOOKUP($CH375,tblBD_PatronMasa[[Código Patrón]:[mN-(mpe–U95)]],12,FALSE)+731),""),IF(tblTrazabilidad[[#This Row],[Clase]]="F1",IFERROR(IF(VLOOKUP($CH375,tblBD_PatronMasa[[Código Patrón]:[mN-(mpe–U95)]],12,FALSE)=0,"",VLOOKUP($CH375,tblBD_PatronMasa[[Código Patrón]:[mN-(mpe–U95)]],12,FALSE)+731),""),IFERROR(IF(VLOOKUP($CH375,tblBD_PatronMasa[[Código Patrón]:[mN-(mpe–U95)]],12,FALSE)=0,"",VLOOKUP($CH375,tblBD_PatronMasa[[Código Patrón]:[mN-(mpe–U95)]],12,FALSE)+366),"")))</f>
        <v/>
      </c>
      <c r="CM375" s="33" t="str">
        <f>IFERROR(VLOOKUP($CH375,tblBD_PatronMasa[[Código Patrón]:[mN-(mpe–U95)]],3,FALSE),"")</f>
        <v/>
      </c>
      <c r="CS375" s="32"/>
      <c r="CU375"/>
      <c r="DC375" s="1"/>
      <c r="DD375" s="1"/>
      <c r="DF375"/>
      <c r="DG375"/>
    </row>
    <row r="376" spans="85:111" x14ac:dyDescent="0.3">
      <c r="CG376" s="38">
        <v>370</v>
      </c>
      <c r="CH376" s="35">
        <f t="shared" si="18"/>
        <v>0</v>
      </c>
      <c r="CI376" s="35" t="str">
        <f>IF(tblTrazabilidad[[#This Row],[Código]]=0,"",IFERROR(IF(SEARCH("JM",tblTrazabilidad[[#This Row],[Código]])&gt;0,"Juego de pesas",),"Pesa"))</f>
        <v/>
      </c>
      <c r="CJ376" s="35" t="str">
        <f>IFERROR(VLOOKUP($CH376,tblBD_PatronMasa[[Código Patrón]:[mN-(mpe–U95)]],2,FALSE),"")</f>
        <v/>
      </c>
      <c r="CK376" s="35" t="str">
        <f>IFERROR(VLOOKUP($CH376,tblBD_PatronMasa[[Código Patrón]:[mN-(mpe–U95)]],13,FALSE),"")</f>
        <v/>
      </c>
      <c r="CL376" s="34" t="str">
        <f>IF(tblTrazabilidad[[#This Row],[Clase]]="F2",IFERROR(IF(VLOOKUP($CH376,tblBD_PatronMasa[[Código Patrón]:[mN-(mpe–U95)]],12,FALSE)=0,"",VLOOKUP($CH376,tblBD_PatronMasa[[Código Patrón]:[mN-(mpe–U95)]],12,FALSE)+731),""),IF(tblTrazabilidad[[#This Row],[Clase]]="F1",IFERROR(IF(VLOOKUP($CH376,tblBD_PatronMasa[[Código Patrón]:[mN-(mpe–U95)]],12,FALSE)=0,"",VLOOKUP($CH376,tblBD_PatronMasa[[Código Patrón]:[mN-(mpe–U95)]],12,FALSE)+731),""),IFERROR(IF(VLOOKUP($CH376,tblBD_PatronMasa[[Código Patrón]:[mN-(mpe–U95)]],12,FALSE)=0,"",VLOOKUP($CH376,tblBD_PatronMasa[[Código Patrón]:[mN-(mpe–U95)]],12,FALSE)+366),"")))</f>
        <v/>
      </c>
      <c r="CM376" s="33" t="str">
        <f>IFERROR(VLOOKUP($CH376,tblBD_PatronMasa[[Código Patrón]:[mN-(mpe–U95)]],3,FALSE),"")</f>
        <v/>
      </c>
      <c r="CS376" s="32"/>
      <c r="CU376"/>
      <c r="DC376" s="1"/>
      <c r="DD376" s="1"/>
      <c r="DF376"/>
      <c r="DG376"/>
    </row>
    <row r="377" spans="85:111" x14ac:dyDescent="0.3">
      <c r="CG377" s="38">
        <v>371</v>
      </c>
      <c r="CH377" s="35">
        <f t="shared" si="18"/>
        <v>0</v>
      </c>
      <c r="CI377" s="35" t="str">
        <f>IF(tblTrazabilidad[[#This Row],[Código]]=0,"",IFERROR(IF(SEARCH("JM",tblTrazabilidad[[#This Row],[Código]])&gt;0,"Juego de pesas",),"Pesa"))</f>
        <v/>
      </c>
      <c r="CJ377" s="35" t="str">
        <f>IFERROR(VLOOKUP($CH377,tblBD_PatronMasa[[Código Patrón]:[mN-(mpe–U95)]],2,FALSE),"")</f>
        <v/>
      </c>
      <c r="CK377" s="35" t="str">
        <f>IFERROR(VLOOKUP($CH377,tblBD_PatronMasa[[Código Patrón]:[mN-(mpe–U95)]],13,FALSE),"")</f>
        <v/>
      </c>
      <c r="CL377" s="34" t="str">
        <f>IF(tblTrazabilidad[[#This Row],[Clase]]="F2",IFERROR(IF(VLOOKUP($CH377,tblBD_PatronMasa[[Código Patrón]:[mN-(mpe–U95)]],12,FALSE)=0,"",VLOOKUP($CH377,tblBD_PatronMasa[[Código Patrón]:[mN-(mpe–U95)]],12,FALSE)+731),""),IF(tblTrazabilidad[[#This Row],[Clase]]="F1",IFERROR(IF(VLOOKUP($CH377,tblBD_PatronMasa[[Código Patrón]:[mN-(mpe–U95)]],12,FALSE)=0,"",VLOOKUP($CH377,tblBD_PatronMasa[[Código Patrón]:[mN-(mpe–U95)]],12,FALSE)+731),""),IFERROR(IF(VLOOKUP($CH377,tblBD_PatronMasa[[Código Patrón]:[mN-(mpe–U95)]],12,FALSE)=0,"",VLOOKUP($CH377,tblBD_PatronMasa[[Código Patrón]:[mN-(mpe–U95)]],12,FALSE)+366),"")))</f>
        <v/>
      </c>
      <c r="CM377" s="33" t="str">
        <f>IFERROR(VLOOKUP($CH377,tblBD_PatronMasa[[Código Patrón]:[mN-(mpe–U95)]],3,FALSE),"")</f>
        <v/>
      </c>
      <c r="CS377" s="32"/>
      <c r="CU377"/>
      <c r="DC377" s="1"/>
      <c r="DD377" s="1"/>
      <c r="DF377"/>
      <c r="DG377"/>
    </row>
    <row r="378" spans="85:111" x14ac:dyDescent="0.3">
      <c r="CG378" s="38">
        <v>372</v>
      </c>
      <c r="CH378" s="35">
        <f t="shared" si="18"/>
        <v>0</v>
      </c>
      <c r="CI378" s="35" t="str">
        <f>IF(tblTrazabilidad[[#This Row],[Código]]=0,"",IFERROR(IF(SEARCH("JM",tblTrazabilidad[[#This Row],[Código]])&gt;0,"Juego de pesas",),"Pesa"))</f>
        <v/>
      </c>
      <c r="CJ378" s="35" t="str">
        <f>IFERROR(VLOOKUP($CH378,tblBD_PatronMasa[[Código Patrón]:[mN-(mpe–U95)]],2,FALSE),"")</f>
        <v/>
      </c>
      <c r="CK378" s="35" t="str">
        <f>IFERROR(VLOOKUP($CH378,tblBD_PatronMasa[[Código Patrón]:[mN-(mpe–U95)]],13,FALSE),"")</f>
        <v/>
      </c>
      <c r="CL378" s="34" t="str">
        <f>IF(tblTrazabilidad[[#This Row],[Clase]]="F2",IFERROR(IF(VLOOKUP($CH378,tblBD_PatronMasa[[Código Patrón]:[mN-(mpe–U95)]],12,FALSE)=0,"",VLOOKUP($CH378,tblBD_PatronMasa[[Código Patrón]:[mN-(mpe–U95)]],12,FALSE)+731),""),IF(tblTrazabilidad[[#This Row],[Clase]]="F1",IFERROR(IF(VLOOKUP($CH378,tblBD_PatronMasa[[Código Patrón]:[mN-(mpe–U95)]],12,FALSE)=0,"",VLOOKUP($CH378,tblBD_PatronMasa[[Código Patrón]:[mN-(mpe–U95)]],12,FALSE)+731),""),IFERROR(IF(VLOOKUP($CH378,tblBD_PatronMasa[[Código Patrón]:[mN-(mpe–U95)]],12,FALSE)=0,"",VLOOKUP($CH378,tblBD_PatronMasa[[Código Patrón]:[mN-(mpe–U95)]],12,FALSE)+366),"")))</f>
        <v/>
      </c>
      <c r="CM378" s="33" t="str">
        <f>IFERROR(VLOOKUP($CH378,tblBD_PatronMasa[[Código Patrón]:[mN-(mpe–U95)]],3,FALSE),"")</f>
        <v/>
      </c>
      <c r="CS378" s="32"/>
      <c r="CU378"/>
      <c r="DC378" s="1"/>
      <c r="DD378" s="1"/>
      <c r="DF378"/>
      <c r="DG378"/>
    </row>
    <row r="379" spans="85:111" x14ac:dyDescent="0.3">
      <c r="CG379" s="38">
        <v>373</v>
      </c>
      <c r="CH379" s="35">
        <f t="shared" si="18"/>
        <v>0</v>
      </c>
      <c r="CI379" s="35" t="str">
        <f>IF(tblTrazabilidad[[#This Row],[Código]]=0,"",IFERROR(IF(SEARCH("JM",tblTrazabilidad[[#This Row],[Código]])&gt;0,"Juego de pesas",),"Pesa"))</f>
        <v/>
      </c>
      <c r="CJ379" s="35" t="str">
        <f>IFERROR(VLOOKUP($CH379,tblBD_PatronMasa[[Código Patrón]:[mN-(mpe–U95)]],2,FALSE),"")</f>
        <v/>
      </c>
      <c r="CK379" s="35" t="str">
        <f>IFERROR(VLOOKUP($CH379,tblBD_PatronMasa[[Código Patrón]:[mN-(mpe–U95)]],13,FALSE),"")</f>
        <v/>
      </c>
      <c r="CL379" s="34" t="str">
        <f>IF(tblTrazabilidad[[#This Row],[Clase]]="F2",IFERROR(IF(VLOOKUP($CH379,tblBD_PatronMasa[[Código Patrón]:[mN-(mpe–U95)]],12,FALSE)=0,"",VLOOKUP($CH379,tblBD_PatronMasa[[Código Patrón]:[mN-(mpe–U95)]],12,FALSE)+731),""),IF(tblTrazabilidad[[#This Row],[Clase]]="F1",IFERROR(IF(VLOOKUP($CH379,tblBD_PatronMasa[[Código Patrón]:[mN-(mpe–U95)]],12,FALSE)=0,"",VLOOKUP($CH379,tblBD_PatronMasa[[Código Patrón]:[mN-(mpe–U95)]],12,FALSE)+731),""),IFERROR(IF(VLOOKUP($CH379,tblBD_PatronMasa[[Código Patrón]:[mN-(mpe–U95)]],12,FALSE)=0,"",VLOOKUP($CH379,tblBD_PatronMasa[[Código Patrón]:[mN-(mpe–U95)]],12,FALSE)+366),"")))</f>
        <v/>
      </c>
      <c r="CM379" s="33" t="str">
        <f>IFERROR(VLOOKUP($CH379,tblBD_PatronMasa[[Código Patrón]:[mN-(mpe–U95)]],3,FALSE),"")</f>
        <v/>
      </c>
      <c r="CS379" s="32"/>
      <c r="CU379"/>
      <c r="DC379" s="1"/>
      <c r="DD379" s="1"/>
      <c r="DF379"/>
      <c r="DG379"/>
    </row>
    <row r="380" spans="85:111" x14ac:dyDescent="0.3">
      <c r="CG380" s="38">
        <v>374</v>
      </c>
      <c r="CH380" s="35">
        <f t="shared" si="18"/>
        <v>0</v>
      </c>
      <c r="CI380" s="35" t="str">
        <f>IF(tblTrazabilidad[[#This Row],[Código]]=0,"",IFERROR(IF(SEARCH("JM",tblTrazabilidad[[#This Row],[Código]])&gt;0,"Juego de pesas",),"Pesa"))</f>
        <v/>
      </c>
      <c r="CJ380" s="35" t="str">
        <f>IFERROR(VLOOKUP($CH380,tblBD_PatronMasa[[Código Patrón]:[mN-(mpe–U95)]],2,FALSE),"")</f>
        <v/>
      </c>
      <c r="CK380" s="35" t="str">
        <f>IFERROR(VLOOKUP($CH380,tblBD_PatronMasa[[Código Patrón]:[mN-(mpe–U95)]],13,FALSE),"")</f>
        <v/>
      </c>
      <c r="CL380" s="34" t="str">
        <f>IF(tblTrazabilidad[[#This Row],[Clase]]="F2",IFERROR(IF(VLOOKUP($CH380,tblBD_PatronMasa[[Código Patrón]:[mN-(mpe–U95)]],12,FALSE)=0,"",VLOOKUP($CH380,tblBD_PatronMasa[[Código Patrón]:[mN-(mpe–U95)]],12,FALSE)+731),""),IF(tblTrazabilidad[[#This Row],[Clase]]="F1",IFERROR(IF(VLOOKUP($CH380,tblBD_PatronMasa[[Código Patrón]:[mN-(mpe–U95)]],12,FALSE)=0,"",VLOOKUP($CH380,tblBD_PatronMasa[[Código Patrón]:[mN-(mpe–U95)]],12,FALSE)+731),""),IFERROR(IF(VLOOKUP($CH380,tblBD_PatronMasa[[Código Patrón]:[mN-(mpe–U95)]],12,FALSE)=0,"",VLOOKUP($CH380,tblBD_PatronMasa[[Código Patrón]:[mN-(mpe–U95)]],12,FALSE)+366),"")))</f>
        <v/>
      </c>
      <c r="CM380" s="33" t="str">
        <f>IFERROR(VLOOKUP($CH380,tblBD_PatronMasa[[Código Patrón]:[mN-(mpe–U95)]],3,FALSE),"")</f>
        <v/>
      </c>
      <c r="CS380" s="32"/>
      <c r="CU380"/>
      <c r="DC380" s="1"/>
      <c r="DD380" s="1"/>
      <c r="DF380"/>
      <c r="DG380"/>
    </row>
    <row r="381" spans="85:111" x14ac:dyDescent="0.3">
      <c r="CG381" s="38">
        <v>375</v>
      </c>
      <c r="CH381" s="35">
        <f t="shared" si="18"/>
        <v>0</v>
      </c>
      <c r="CI381" s="35" t="str">
        <f>IF(tblTrazabilidad[[#This Row],[Código]]=0,"",IFERROR(IF(SEARCH("JM",tblTrazabilidad[[#This Row],[Código]])&gt;0,"Juego de pesas",),"Pesa"))</f>
        <v/>
      </c>
      <c r="CJ381" s="35" t="str">
        <f>IFERROR(VLOOKUP($CH381,tblBD_PatronMasa[[Código Patrón]:[mN-(mpe–U95)]],2,FALSE),"")</f>
        <v/>
      </c>
      <c r="CK381" s="35" t="str">
        <f>IFERROR(VLOOKUP($CH381,tblBD_PatronMasa[[Código Patrón]:[mN-(mpe–U95)]],13,FALSE),"")</f>
        <v/>
      </c>
      <c r="CL381" s="34" t="str">
        <f>IF(tblTrazabilidad[[#This Row],[Clase]]="F2",IFERROR(IF(VLOOKUP($CH381,tblBD_PatronMasa[[Código Patrón]:[mN-(mpe–U95)]],12,FALSE)=0,"",VLOOKUP($CH381,tblBD_PatronMasa[[Código Patrón]:[mN-(mpe–U95)]],12,FALSE)+731),""),IF(tblTrazabilidad[[#This Row],[Clase]]="F1",IFERROR(IF(VLOOKUP($CH381,tblBD_PatronMasa[[Código Patrón]:[mN-(mpe–U95)]],12,FALSE)=0,"",VLOOKUP($CH381,tblBD_PatronMasa[[Código Patrón]:[mN-(mpe–U95)]],12,FALSE)+731),""),IFERROR(IF(VLOOKUP($CH381,tblBD_PatronMasa[[Código Patrón]:[mN-(mpe–U95)]],12,FALSE)=0,"",VLOOKUP($CH381,tblBD_PatronMasa[[Código Patrón]:[mN-(mpe–U95)]],12,FALSE)+366),"")))</f>
        <v/>
      </c>
      <c r="CM381" s="33" t="str">
        <f>IFERROR(VLOOKUP($CH381,tblBD_PatronMasa[[Código Patrón]:[mN-(mpe–U95)]],3,FALSE),"")</f>
        <v/>
      </c>
      <c r="CS381" s="32"/>
      <c r="CU381"/>
      <c r="DC381" s="1"/>
      <c r="DD381" s="1"/>
      <c r="DF381"/>
      <c r="DG381"/>
    </row>
    <row r="382" spans="85:111" x14ac:dyDescent="0.3">
      <c r="CG382" s="38">
        <v>376</v>
      </c>
      <c r="CH382" s="35">
        <f t="shared" si="18"/>
        <v>0</v>
      </c>
      <c r="CI382" s="35" t="str">
        <f>IF(tblTrazabilidad[[#This Row],[Código]]=0,"",IFERROR(IF(SEARCH("JM",tblTrazabilidad[[#This Row],[Código]])&gt;0,"Juego de pesas",),"Pesa"))</f>
        <v/>
      </c>
      <c r="CJ382" s="35" t="str">
        <f>IFERROR(VLOOKUP($CH382,tblBD_PatronMasa[[Código Patrón]:[mN-(mpe–U95)]],2,FALSE),"")</f>
        <v/>
      </c>
      <c r="CK382" s="35" t="str">
        <f>IFERROR(VLOOKUP($CH382,tblBD_PatronMasa[[Código Patrón]:[mN-(mpe–U95)]],13,FALSE),"")</f>
        <v/>
      </c>
      <c r="CL382" s="34" t="str">
        <f>IF(tblTrazabilidad[[#This Row],[Clase]]="F2",IFERROR(IF(VLOOKUP($CH382,tblBD_PatronMasa[[Código Patrón]:[mN-(mpe–U95)]],12,FALSE)=0,"",VLOOKUP($CH382,tblBD_PatronMasa[[Código Patrón]:[mN-(mpe–U95)]],12,FALSE)+731),""),IF(tblTrazabilidad[[#This Row],[Clase]]="F1",IFERROR(IF(VLOOKUP($CH382,tblBD_PatronMasa[[Código Patrón]:[mN-(mpe–U95)]],12,FALSE)=0,"",VLOOKUP($CH382,tblBD_PatronMasa[[Código Patrón]:[mN-(mpe–U95)]],12,FALSE)+731),""),IFERROR(IF(VLOOKUP($CH382,tblBD_PatronMasa[[Código Patrón]:[mN-(mpe–U95)]],12,FALSE)=0,"",VLOOKUP($CH382,tblBD_PatronMasa[[Código Patrón]:[mN-(mpe–U95)]],12,FALSE)+366),"")))</f>
        <v/>
      </c>
      <c r="CM382" s="33" t="str">
        <f>IFERROR(VLOOKUP($CH382,tblBD_PatronMasa[[Código Patrón]:[mN-(mpe–U95)]],3,FALSE),"")</f>
        <v/>
      </c>
      <c r="CS382" s="32"/>
      <c r="CU382"/>
      <c r="DC382" s="1"/>
      <c r="DD382" s="1"/>
      <c r="DF382"/>
      <c r="DG382"/>
    </row>
    <row r="383" spans="85:111" x14ac:dyDescent="0.3">
      <c r="CG383" s="38">
        <v>377</v>
      </c>
      <c r="CH383" s="35">
        <f t="shared" si="18"/>
        <v>0</v>
      </c>
      <c r="CI383" s="35" t="str">
        <f>IF(tblTrazabilidad[[#This Row],[Código]]=0,"",IFERROR(IF(SEARCH("JM",tblTrazabilidad[[#This Row],[Código]])&gt;0,"Juego de pesas",),"Pesa"))</f>
        <v/>
      </c>
      <c r="CJ383" s="35" t="str">
        <f>IFERROR(VLOOKUP($CH383,tblBD_PatronMasa[[Código Patrón]:[mN-(mpe–U95)]],2,FALSE),"")</f>
        <v/>
      </c>
      <c r="CK383" s="35" t="str">
        <f>IFERROR(VLOOKUP($CH383,tblBD_PatronMasa[[Código Patrón]:[mN-(mpe–U95)]],13,FALSE),"")</f>
        <v/>
      </c>
      <c r="CL383" s="34" t="str">
        <f>IF(tblTrazabilidad[[#This Row],[Clase]]="F2",IFERROR(IF(VLOOKUP($CH383,tblBD_PatronMasa[[Código Patrón]:[mN-(mpe–U95)]],12,FALSE)=0,"",VLOOKUP($CH383,tblBD_PatronMasa[[Código Patrón]:[mN-(mpe–U95)]],12,FALSE)+731),""),IF(tblTrazabilidad[[#This Row],[Clase]]="F1",IFERROR(IF(VLOOKUP($CH383,tblBD_PatronMasa[[Código Patrón]:[mN-(mpe–U95)]],12,FALSE)=0,"",VLOOKUP($CH383,tblBD_PatronMasa[[Código Patrón]:[mN-(mpe–U95)]],12,FALSE)+731),""),IFERROR(IF(VLOOKUP($CH383,tblBD_PatronMasa[[Código Patrón]:[mN-(mpe–U95)]],12,FALSE)=0,"",VLOOKUP($CH383,tblBD_PatronMasa[[Código Patrón]:[mN-(mpe–U95)]],12,FALSE)+366),"")))</f>
        <v/>
      </c>
      <c r="CM383" s="33" t="str">
        <f>IFERROR(VLOOKUP($CH383,tblBD_PatronMasa[[Código Patrón]:[mN-(mpe–U95)]],3,FALSE),"")</f>
        <v/>
      </c>
      <c r="CS383" s="32"/>
      <c r="CU383"/>
      <c r="DC383" s="1"/>
      <c r="DD383" s="1"/>
      <c r="DF383"/>
      <c r="DG383"/>
    </row>
    <row r="384" spans="85:111" x14ac:dyDescent="0.3">
      <c r="CG384" s="38">
        <v>378</v>
      </c>
      <c r="CH384" s="35">
        <f t="shared" si="18"/>
        <v>0</v>
      </c>
      <c r="CI384" s="35" t="str">
        <f>IF(tblTrazabilidad[[#This Row],[Código]]=0,"",IFERROR(IF(SEARCH("JM",tblTrazabilidad[[#This Row],[Código]])&gt;0,"Juego de pesas",),"Pesa"))</f>
        <v/>
      </c>
      <c r="CJ384" s="35" t="str">
        <f>IFERROR(VLOOKUP($CH384,tblBD_PatronMasa[[Código Patrón]:[mN-(mpe–U95)]],2,FALSE),"")</f>
        <v/>
      </c>
      <c r="CK384" s="35" t="str">
        <f>IFERROR(VLOOKUP($CH384,tblBD_PatronMasa[[Código Patrón]:[mN-(mpe–U95)]],13,FALSE),"")</f>
        <v/>
      </c>
      <c r="CL384" s="34" t="str">
        <f>IF(tblTrazabilidad[[#This Row],[Clase]]="F2",IFERROR(IF(VLOOKUP($CH384,tblBD_PatronMasa[[Código Patrón]:[mN-(mpe–U95)]],12,FALSE)=0,"",VLOOKUP($CH384,tblBD_PatronMasa[[Código Patrón]:[mN-(mpe–U95)]],12,FALSE)+731),""),IF(tblTrazabilidad[[#This Row],[Clase]]="F1",IFERROR(IF(VLOOKUP($CH384,tblBD_PatronMasa[[Código Patrón]:[mN-(mpe–U95)]],12,FALSE)=0,"",VLOOKUP($CH384,tblBD_PatronMasa[[Código Patrón]:[mN-(mpe–U95)]],12,FALSE)+731),""),IFERROR(IF(VLOOKUP($CH384,tblBD_PatronMasa[[Código Patrón]:[mN-(mpe–U95)]],12,FALSE)=0,"",VLOOKUP($CH384,tblBD_PatronMasa[[Código Patrón]:[mN-(mpe–U95)]],12,FALSE)+366),"")))</f>
        <v/>
      </c>
      <c r="CM384" s="33" t="str">
        <f>IFERROR(VLOOKUP($CH384,tblBD_PatronMasa[[Código Patrón]:[mN-(mpe–U95)]],3,FALSE),"")</f>
        <v/>
      </c>
      <c r="CS384" s="32"/>
      <c r="CU384"/>
      <c r="DC384" s="1"/>
      <c r="DD384" s="1"/>
      <c r="DF384"/>
      <c r="DG384"/>
    </row>
    <row r="385" spans="85:111" x14ac:dyDescent="0.3">
      <c r="CG385" s="38">
        <v>379</v>
      </c>
      <c r="CH385" s="35">
        <f t="shared" si="18"/>
        <v>0</v>
      </c>
      <c r="CI385" s="35" t="str">
        <f>IF(tblTrazabilidad[[#This Row],[Código]]=0,"",IFERROR(IF(SEARCH("JM",tblTrazabilidad[[#This Row],[Código]])&gt;0,"Juego de pesas",),"Pesa"))</f>
        <v/>
      </c>
      <c r="CJ385" s="35" t="str">
        <f>IFERROR(VLOOKUP($CH385,tblBD_PatronMasa[[Código Patrón]:[mN-(mpe–U95)]],2,FALSE),"")</f>
        <v/>
      </c>
      <c r="CK385" s="35" t="str">
        <f>IFERROR(VLOOKUP($CH385,tblBD_PatronMasa[[Código Patrón]:[mN-(mpe–U95)]],13,FALSE),"")</f>
        <v/>
      </c>
      <c r="CL385" s="34" t="str">
        <f>IF(tblTrazabilidad[[#This Row],[Clase]]="F2",IFERROR(IF(VLOOKUP($CH385,tblBD_PatronMasa[[Código Patrón]:[mN-(mpe–U95)]],12,FALSE)=0,"",VLOOKUP($CH385,tblBD_PatronMasa[[Código Patrón]:[mN-(mpe–U95)]],12,FALSE)+731),""),IF(tblTrazabilidad[[#This Row],[Clase]]="F1",IFERROR(IF(VLOOKUP($CH385,tblBD_PatronMasa[[Código Patrón]:[mN-(mpe–U95)]],12,FALSE)=0,"",VLOOKUP($CH385,tblBD_PatronMasa[[Código Patrón]:[mN-(mpe–U95)]],12,FALSE)+731),""),IFERROR(IF(VLOOKUP($CH385,tblBD_PatronMasa[[Código Patrón]:[mN-(mpe–U95)]],12,FALSE)=0,"",VLOOKUP($CH385,tblBD_PatronMasa[[Código Patrón]:[mN-(mpe–U95)]],12,FALSE)+366),"")))</f>
        <v/>
      </c>
      <c r="CM385" s="33" t="str">
        <f>IFERROR(VLOOKUP($CH385,tblBD_PatronMasa[[Código Patrón]:[mN-(mpe–U95)]],3,FALSE),"")</f>
        <v/>
      </c>
      <c r="CS385" s="32"/>
      <c r="CU385"/>
      <c r="DC385" s="1"/>
      <c r="DD385" s="1"/>
      <c r="DF385"/>
      <c r="DG385"/>
    </row>
    <row r="386" spans="85:111" x14ac:dyDescent="0.3">
      <c r="CG386" s="38">
        <v>380</v>
      </c>
      <c r="CH386" s="35">
        <f t="shared" si="18"/>
        <v>0</v>
      </c>
      <c r="CI386" s="35" t="str">
        <f>IF(tblTrazabilidad[[#This Row],[Código]]=0,"",IFERROR(IF(SEARCH("JM",tblTrazabilidad[[#This Row],[Código]])&gt;0,"Juego de pesas",),"Pesa"))</f>
        <v/>
      </c>
      <c r="CJ386" s="35" t="str">
        <f>IFERROR(VLOOKUP($CH386,tblBD_PatronMasa[[Código Patrón]:[mN-(mpe–U95)]],2,FALSE),"")</f>
        <v/>
      </c>
      <c r="CK386" s="35" t="str">
        <f>IFERROR(VLOOKUP($CH386,tblBD_PatronMasa[[Código Patrón]:[mN-(mpe–U95)]],13,FALSE),"")</f>
        <v/>
      </c>
      <c r="CL386" s="34" t="str">
        <f>IF(tblTrazabilidad[[#This Row],[Clase]]="F2",IFERROR(IF(VLOOKUP($CH386,tblBD_PatronMasa[[Código Patrón]:[mN-(mpe–U95)]],12,FALSE)=0,"",VLOOKUP($CH386,tblBD_PatronMasa[[Código Patrón]:[mN-(mpe–U95)]],12,FALSE)+731),""),IF(tblTrazabilidad[[#This Row],[Clase]]="F1",IFERROR(IF(VLOOKUP($CH386,tblBD_PatronMasa[[Código Patrón]:[mN-(mpe–U95)]],12,FALSE)=0,"",VLOOKUP($CH386,tblBD_PatronMasa[[Código Patrón]:[mN-(mpe–U95)]],12,FALSE)+731),""),IFERROR(IF(VLOOKUP($CH386,tblBD_PatronMasa[[Código Patrón]:[mN-(mpe–U95)]],12,FALSE)=0,"",VLOOKUP($CH386,tblBD_PatronMasa[[Código Patrón]:[mN-(mpe–U95)]],12,FALSE)+366),"")))</f>
        <v/>
      </c>
      <c r="CM386" s="33" t="str">
        <f>IFERROR(VLOOKUP($CH386,tblBD_PatronMasa[[Código Patrón]:[mN-(mpe–U95)]],3,FALSE),"")</f>
        <v/>
      </c>
      <c r="CS386" s="32"/>
      <c r="CU386"/>
      <c r="DC386" s="1"/>
      <c r="DD386" s="1"/>
      <c r="DF386"/>
      <c r="DG386"/>
    </row>
    <row r="387" spans="85:111" x14ac:dyDescent="0.3">
      <c r="CG387" s="38">
        <v>381</v>
      </c>
      <c r="CH387" s="35">
        <f t="shared" si="18"/>
        <v>0</v>
      </c>
      <c r="CI387" s="35" t="str">
        <f>IF(tblTrazabilidad[[#This Row],[Código]]=0,"",IFERROR(IF(SEARCH("JM",tblTrazabilidad[[#This Row],[Código]])&gt;0,"Juego de pesas",),"Pesa"))</f>
        <v/>
      </c>
      <c r="CJ387" s="35" t="str">
        <f>IFERROR(VLOOKUP($CH387,tblBD_PatronMasa[[Código Patrón]:[mN-(mpe–U95)]],2,FALSE),"")</f>
        <v/>
      </c>
      <c r="CK387" s="35" t="str">
        <f>IFERROR(VLOOKUP($CH387,tblBD_PatronMasa[[Código Patrón]:[mN-(mpe–U95)]],13,FALSE),"")</f>
        <v/>
      </c>
      <c r="CL387" s="34" t="str">
        <f>IF(tblTrazabilidad[[#This Row],[Clase]]="F2",IFERROR(IF(VLOOKUP($CH387,tblBD_PatronMasa[[Código Patrón]:[mN-(mpe–U95)]],12,FALSE)=0,"",VLOOKUP($CH387,tblBD_PatronMasa[[Código Patrón]:[mN-(mpe–U95)]],12,FALSE)+731),""),IF(tblTrazabilidad[[#This Row],[Clase]]="F1",IFERROR(IF(VLOOKUP($CH387,tblBD_PatronMasa[[Código Patrón]:[mN-(mpe–U95)]],12,FALSE)=0,"",VLOOKUP($CH387,tblBD_PatronMasa[[Código Patrón]:[mN-(mpe–U95)]],12,FALSE)+731),""),IFERROR(IF(VLOOKUP($CH387,tblBD_PatronMasa[[Código Patrón]:[mN-(mpe–U95)]],12,FALSE)=0,"",VLOOKUP($CH387,tblBD_PatronMasa[[Código Patrón]:[mN-(mpe–U95)]],12,FALSE)+366),"")))</f>
        <v/>
      </c>
      <c r="CM387" s="33" t="str">
        <f>IFERROR(VLOOKUP($CH387,tblBD_PatronMasa[[Código Patrón]:[mN-(mpe–U95)]],3,FALSE),"")</f>
        <v/>
      </c>
      <c r="CS387" s="32"/>
      <c r="CU387"/>
      <c r="DC387" s="1"/>
      <c r="DD387" s="1"/>
      <c r="DF387"/>
      <c r="DG387"/>
    </row>
    <row r="388" spans="85:111" x14ac:dyDescent="0.3">
      <c r="CG388" s="38">
        <v>382</v>
      </c>
      <c r="CH388" s="35">
        <f t="shared" si="18"/>
        <v>0</v>
      </c>
      <c r="CI388" s="35" t="str">
        <f>IF(tblTrazabilidad[[#This Row],[Código]]=0,"",IFERROR(IF(SEARCH("JM",tblTrazabilidad[[#This Row],[Código]])&gt;0,"Juego de pesas",),"Pesa"))</f>
        <v/>
      </c>
      <c r="CJ388" s="35" t="str">
        <f>IFERROR(VLOOKUP($CH388,tblBD_PatronMasa[[Código Patrón]:[mN-(mpe–U95)]],2,FALSE),"")</f>
        <v/>
      </c>
      <c r="CK388" s="35" t="str">
        <f>IFERROR(VLOOKUP($CH388,tblBD_PatronMasa[[Código Patrón]:[mN-(mpe–U95)]],13,FALSE),"")</f>
        <v/>
      </c>
      <c r="CL388" s="34" t="str">
        <f>IF(tblTrazabilidad[[#This Row],[Clase]]="F2",IFERROR(IF(VLOOKUP($CH388,tblBD_PatronMasa[[Código Patrón]:[mN-(mpe–U95)]],12,FALSE)=0,"",VLOOKUP($CH388,tblBD_PatronMasa[[Código Patrón]:[mN-(mpe–U95)]],12,FALSE)+731),""),IF(tblTrazabilidad[[#This Row],[Clase]]="F1",IFERROR(IF(VLOOKUP($CH388,tblBD_PatronMasa[[Código Patrón]:[mN-(mpe–U95)]],12,FALSE)=0,"",VLOOKUP($CH388,tblBD_PatronMasa[[Código Patrón]:[mN-(mpe–U95)]],12,FALSE)+731),""),IFERROR(IF(VLOOKUP($CH388,tblBD_PatronMasa[[Código Patrón]:[mN-(mpe–U95)]],12,FALSE)=0,"",VLOOKUP($CH388,tblBD_PatronMasa[[Código Patrón]:[mN-(mpe–U95)]],12,FALSE)+366),"")))</f>
        <v/>
      </c>
      <c r="CM388" s="33" t="str">
        <f>IFERROR(VLOOKUP($CH388,tblBD_PatronMasa[[Código Patrón]:[mN-(mpe–U95)]],3,FALSE),"")</f>
        <v/>
      </c>
      <c r="CS388" s="32"/>
      <c r="CU388"/>
      <c r="DC388" s="1"/>
      <c r="DD388" s="1"/>
      <c r="DF388"/>
      <c r="DG388"/>
    </row>
    <row r="389" spans="85:111" x14ac:dyDescent="0.3">
      <c r="CG389" s="38">
        <v>383</v>
      </c>
      <c r="CH389" s="35">
        <f t="shared" ref="CH389:CH406" si="19">BX37</f>
        <v>0</v>
      </c>
      <c r="CI389" s="35" t="str">
        <f>IF(tblTrazabilidad[[#This Row],[Código]]=0,"",IFERROR(IF(SEARCH("JM",tblTrazabilidad[[#This Row],[Código]])&gt;0,"Juego de pesas",),"Pesa"))</f>
        <v/>
      </c>
      <c r="CJ389" s="35" t="str">
        <f>IFERROR(VLOOKUP($CH389,tblBD_PatronMasa[[Código Patrón]:[mN-(mpe–U95)]],2,FALSE),"")</f>
        <v/>
      </c>
      <c r="CK389" s="35" t="str">
        <f>IFERROR(VLOOKUP($CH389,tblBD_PatronMasa[[Código Patrón]:[mN-(mpe–U95)]],13,FALSE),"")</f>
        <v/>
      </c>
      <c r="CL389" s="34" t="str">
        <f>IF(tblTrazabilidad[[#This Row],[Clase]]="F2",IFERROR(IF(VLOOKUP($CH389,tblBD_PatronMasa[[Código Patrón]:[mN-(mpe–U95)]],12,FALSE)=0,"",VLOOKUP($CH389,tblBD_PatronMasa[[Código Patrón]:[mN-(mpe–U95)]],12,FALSE)+731),""),IF(tblTrazabilidad[[#This Row],[Clase]]="F1",IFERROR(IF(VLOOKUP($CH389,tblBD_PatronMasa[[Código Patrón]:[mN-(mpe–U95)]],12,FALSE)=0,"",VLOOKUP($CH389,tblBD_PatronMasa[[Código Patrón]:[mN-(mpe–U95)]],12,FALSE)+731),""),IFERROR(IF(VLOOKUP($CH389,tblBD_PatronMasa[[Código Patrón]:[mN-(mpe–U95)]],12,FALSE)=0,"",VLOOKUP($CH389,tblBD_PatronMasa[[Código Patrón]:[mN-(mpe–U95)]],12,FALSE)+366),"")))</f>
        <v/>
      </c>
      <c r="CM389" s="33" t="str">
        <f>IFERROR(VLOOKUP($CH389,tblBD_PatronMasa[[Código Patrón]:[mN-(mpe–U95)]],3,FALSE),"")</f>
        <v/>
      </c>
      <c r="CS389" s="32"/>
      <c r="CU389"/>
      <c r="DC389" s="1"/>
      <c r="DD389" s="1"/>
      <c r="DF389"/>
      <c r="DG389"/>
    </row>
    <row r="390" spans="85:111" x14ac:dyDescent="0.3">
      <c r="CG390" s="38">
        <v>384</v>
      </c>
      <c r="CH390" s="35">
        <f t="shared" si="19"/>
        <v>0</v>
      </c>
      <c r="CI390" s="35" t="str">
        <f>IF(tblTrazabilidad[[#This Row],[Código]]=0,"",IFERROR(IF(SEARCH("JM",tblTrazabilidad[[#This Row],[Código]])&gt;0,"Juego de pesas",),"Pesa"))</f>
        <v/>
      </c>
      <c r="CJ390" s="35" t="str">
        <f>IFERROR(VLOOKUP($CH390,tblBD_PatronMasa[[Código Patrón]:[mN-(mpe–U95)]],2,FALSE),"")</f>
        <v/>
      </c>
      <c r="CK390" s="35" t="str">
        <f>IFERROR(VLOOKUP($CH390,tblBD_PatronMasa[[Código Patrón]:[mN-(mpe–U95)]],13,FALSE),"")</f>
        <v/>
      </c>
      <c r="CL390" s="34" t="str">
        <f>IF(tblTrazabilidad[[#This Row],[Clase]]="F2",IFERROR(IF(VLOOKUP($CH390,tblBD_PatronMasa[[Código Patrón]:[mN-(mpe–U95)]],12,FALSE)=0,"",VLOOKUP($CH390,tblBD_PatronMasa[[Código Patrón]:[mN-(mpe–U95)]],12,FALSE)+731),""),IF(tblTrazabilidad[[#This Row],[Clase]]="F1",IFERROR(IF(VLOOKUP($CH390,tblBD_PatronMasa[[Código Patrón]:[mN-(mpe–U95)]],12,FALSE)=0,"",VLOOKUP($CH390,tblBD_PatronMasa[[Código Patrón]:[mN-(mpe–U95)]],12,FALSE)+731),""),IFERROR(IF(VLOOKUP($CH390,tblBD_PatronMasa[[Código Patrón]:[mN-(mpe–U95)]],12,FALSE)=0,"",VLOOKUP($CH390,tblBD_PatronMasa[[Código Patrón]:[mN-(mpe–U95)]],12,FALSE)+366),"")))</f>
        <v/>
      </c>
      <c r="CM390" s="33" t="str">
        <f>IFERROR(VLOOKUP($CH390,tblBD_PatronMasa[[Código Patrón]:[mN-(mpe–U95)]],3,FALSE),"")</f>
        <v/>
      </c>
      <c r="CS390" s="32"/>
      <c r="CU390"/>
      <c r="DC390" s="1"/>
      <c r="DD390" s="1"/>
      <c r="DF390"/>
      <c r="DG390"/>
    </row>
    <row r="391" spans="85:111" x14ac:dyDescent="0.3">
      <c r="CG391" s="38">
        <v>385</v>
      </c>
      <c r="CH391" s="35">
        <f t="shared" si="19"/>
        <v>0</v>
      </c>
      <c r="CI391" s="35" t="str">
        <f>IF(tblTrazabilidad[[#This Row],[Código]]=0,"",IFERROR(IF(SEARCH("JM",tblTrazabilidad[[#This Row],[Código]])&gt;0,"Juego de pesas",),"Pesa"))</f>
        <v/>
      </c>
      <c r="CJ391" s="35" t="str">
        <f>IFERROR(VLOOKUP($CH391,tblBD_PatronMasa[[Código Patrón]:[mN-(mpe–U95)]],2,FALSE),"")</f>
        <v/>
      </c>
      <c r="CK391" s="35" t="str">
        <f>IFERROR(VLOOKUP($CH391,tblBD_PatronMasa[[Código Patrón]:[mN-(mpe–U95)]],13,FALSE),"")</f>
        <v/>
      </c>
      <c r="CL391" s="34" t="str">
        <f>IF(tblTrazabilidad[[#This Row],[Clase]]="F2",IFERROR(IF(VLOOKUP($CH391,tblBD_PatronMasa[[Código Patrón]:[mN-(mpe–U95)]],12,FALSE)=0,"",VLOOKUP($CH391,tblBD_PatronMasa[[Código Patrón]:[mN-(mpe–U95)]],12,FALSE)+731),""),IF(tblTrazabilidad[[#This Row],[Clase]]="F1",IFERROR(IF(VLOOKUP($CH391,tblBD_PatronMasa[[Código Patrón]:[mN-(mpe–U95)]],12,FALSE)=0,"",VLOOKUP($CH391,tblBD_PatronMasa[[Código Patrón]:[mN-(mpe–U95)]],12,FALSE)+731),""),IFERROR(IF(VLOOKUP($CH391,tblBD_PatronMasa[[Código Patrón]:[mN-(mpe–U95)]],12,FALSE)=0,"",VLOOKUP($CH391,tblBD_PatronMasa[[Código Patrón]:[mN-(mpe–U95)]],12,FALSE)+366),"")))</f>
        <v/>
      </c>
      <c r="CM391" s="33" t="str">
        <f>IFERROR(VLOOKUP($CH391,tblBD_PatronMasa[[Código Patrón]:[mN-(mpe–U95)]],3,FALSE),"")</f>
        <v/>
      </c>
      <c r="CS391" s="32"/>
      <c r="CU391"/>
      <c r="DC391" s="1"/>
      <c r="DD391" s="1"/>
      <c r="DF391"/>
      <c r="DG391"/>
    </row>
    <row r="392" spans="85:111" x14ac:dyDescent="0.3">
      <c r="CG392" s="38">
        <v>386</v>
      </c>
      <c r="CH392" s="35">
        <f t="shared" si="19"/>
        <v>0</v>
      </c>
      <c r="CI392" s="35" t="str">
        <f>IF(tblTrazabilidad[[#This Row],[Código]]=0,"",IFERROR(IF(SEARCH("JM",tblTrazabilidad[[#This Row],[Código]])&gt;0,"Juego de pesas",),"Pesa"))</f>
        <v/>
      </c>
      <c r="CJ392" s="35" t="str">
        <f>IFERROR(VLOOKUP($CH392,tblBD_PatronMasa[[Código Patrón]:[mN-(mpe–U95)]],2,FALSE),"")</f>
        <v/>
      </c>
      <c r="CK392" s="35" t="str">
        <f>IFERROR(VLOOKUP($CH392,tblBD_PatronMasa[[Código Patrón]:[mN-(mpe–U95)]],13,FALSE),"")</f>
        <v/>
      </c>
      <c r="CL392" s="34" t="str">
        <f>IF(tblTrazabilidad[[#This Row],[Clase]]="F2",IFERROR(IF(VLOOKUP($CH392,tblBD_PatronMasa[[Código Patrón]:[mN-(mpe–U95)]],12,FALSE)=0,"",VLOOKUP($CH392,tblBD_PatronMasa[[Código Patrón]:[mN-(mpe–U95)]],12,FALSE)+731),""),IF(tblTrazabilidad[[#This Row],[Clase]]="F1",IFERROR(IF(VLOOKUP($CH392,tblBD_PatronMasa[[Código Patrón]:[mN-(mpe–U95)]],12,FALSE)=0,"",VLOOKUP($CH392,tblBD_PatronMasa[[Código Patrón]:[mN-(mpe–U95)]],12,FALSE)+731),""),IFERROR(IF(VLOOKUP($CH392,tblBD_PatronMasa[[Código Patrón]:[mN-(mpe–U95)]],12,FALSE)=0,"",VLOOKUP($CH392,tblBD_PatronMasa[[Código Patrón]:[mN-(mpe–U95)]],12,FALSE)+366),"")))</f>
        <v/>
      </c>
      <c r="CM392" s="33" t="str">
        <f>IFERROR(VLOOKUP($CH392,tblBD_PatronMasa[[Código Patrón]:[mN-(mpe–U95)]],3,FALSE),"")</f>
        <v/>
      </c>
      <c r="CS392" s="32"/>
      <c r="CU392"/>
      <c r="DC392" s="1"/>
      <c r="DD392" s="1"/>
      <c r="DF392"/>
      <c r="DG392"/>
    </row>
    <row r="393" spans="85:111" x14ac:dyDescent="0.3">
      <c r="CG393" s="38">
        <v>387</v>
      </c>
      <c r="CH393" s="35">
        <f t="shared" si="19"/>
        <v>0</v>
      </c>
      <c r="CI393" s="35" t="str">
        <f>IF(tblTrazabilidad[[#This Row],[Código]]=0,"",IFERROR(IF(SEARCH("JM",tblTrazabilidad[[#This Row],[Código]])&gt;0,"Juego de pesas",),"Pesa"))</f>
        <v/>
      </c>
      <c r="CJ393" s="35" t="str">
        <f>IFERROR(VLOOKUP($CH393,tblBD_PatronMasa[[Código Patrón]:[mN-(mpe–U95)]],2,FALSE),"")</f>
        <v/>
      </c>
      <c r="CK393" s="35" t="str">
        <f>IFERROR(VLOOKUP($CH393,tblBD_PatronMasa[[Código Patrón]:[mN-(mpe–U95)]],13,FALSE),"")</f>
        <v/>
      </c>
      <c r="CL393" s="34" t="str">
        <f>IF(tblTrazabilidad[[#This Row],[Clase]]="F2",IFERROR(IF(VLOOKUP($CH393,tblBD_PatronMasa[[Código Patrón]:[mN-(mpe–U95)]],12,FALSE)=0,"",VLOOKUP($CH393,tblBD_PatronMasa[[Código Patrón]:[mN-(mpe–U95)]],12,FALSE)+731),""),IF(tblTrazabilidad[[#This Row],[Clase]]="F1",IFERROR(IF(VLOOKUP($CH393,tblBD_PatronMasa[[Código Patrón]:[mN-(mpe–U95)]],12,FALSE)=0,"",VLOOKUP($CH393,tblBD_PatronMasa[[Código Patrón]:[mN-(mpe–U95)]],12,FALSE)+731),""),IFERROR(IF(VLOOKUP($CH393,tblBD_PatronMasa[[Código Patrón]:[mN-(mpe–U95)]],12,FALSE)=0,"",VLOOKUP($CH393,tblBD_PatronMasa[[Código Patrón]:[mN-(mpe–U95)]],12,FALSE)+366),"")))</f>
        <v/>
      </c>
      <c r="CM393" s="33" t="str">
        <f>IFERROR(VLOOKUP($CH393,tblBD_PatronMasa[[Código Patrón]:[mN-(mpe–U95)]],3,FALSE),"")</f>
        <v/>
      </c>
      <c r="CS393" s="32"/>
      <c r="CU393"/>
      <c r="DC393" s="1"/>
      <c r="DD393" s="1"/>
      <c r="DF393"/>
      <c r="DG393"/>
    </row>
    <row r="394" spans="85:111" x14ac:dyDescent="0.3">
      <c r="CG394" s="38">
        <v>388</v>
      </c>
      <c r="CH394" s="35">
        <f t="shared" si="19"/>
        <v>0</v>
      </c>
      <c r="CI394" s="35" t="str">
        <f>IF(tblTrazabilidad[[#This Row],[Código]]=0,"",IFERROR(IF(SEARCH("JM",tblTrazabilidad[[#This Row],[Código]])&gt;0,"Juego de pesas",),"Pesa"))</f>
        <v/>
      </c>
      <c r="CJ394" s="35" t="str">
        <f>IFERROR(VLOOKUP($CH394,tblBD_PatronMasa[[Código Patrón]:[mN-(mpe–U95)]],2,FALSE),"")</f>
        <v/>
      </c>
      <c r="CK394" s="35" t="str">
        <f>IFERROR(VLOOKUP($CH394,tblBD_PatronMasa[[Código Patrón]:[mN-(mpe–U95)]],13,FALSE),"")</f>
        <v/>
      </c>
      <c r="CL394" s="34" t="str">
        <f>IF(tblTrazabilidad[[#This Row],[Clase]]="F2",IFERROR(IF(VLOOKUP($CH394,tblBD_PatronMasa[[Código Patrón]:[mN-(mpe–U95)]],12,FALSE)=0,"",VLOOKUP($CH394,tblBD_PatronMasa[[Código Patrón]:[mN-(mpe–U95)]],12,FALSE)+731),""),IF(tblTrazabilidad[[#This Row],[Clase]]="F1",IFERROR(IF(VLOOKUP($CH394,tblBD_PatronMasa[[Código Patrón]:[mN-(mpe–U95)]],12,FALSE)=0,"",VLOOKUP($CH394,tblBD_PatronMasa[[Código Patrón]:[mN-(mpe–U95)]],12,FALSE)+731),""),IFERROR(IF(VLOOKUP($CH394,tblBD_PatronMasa[[Código Patrón]:[mN-(mpe–U95)]],12,FALSE)=0,"",VLOOKUP($CH394,tblBD_PatronMasa[[Código Patrón]:[mN-(mpe–U95)]],12,FALSE)+366),"")))</f>
        <v/>
      </c>
      <c r="CM394" s="33" t="str">
        <f>IFERROR(VLOOKUP($CH394,tblBD_PatronMasa[[Código Patrón]:[mN-(mpe–U95)]],3,FALSE),"")</f>
        <v/>
      </c>
      <c r="CS394" s="32"/>
      <c r="CU394"/>
      <c r="DC394" s="1"/>
      <c r="DD394" s="1"/>
      <c r="DF394"/>
      <c r="DG394"/>
    </row>
    <row r="395" spans="85:111" x14ac:dyDescent="0.3">
      <c r="CG395" s="38">
        <v>389</v>
      </c>
      <c r="CH395" s="35">
        <f t="shared" si="19"/>
        <v>0</v>
      </c>
      <c r="CI395" s="35" t="str">
        <f>IF(tblTrazabilidad[[#This Row],[Código]]=0,"",IFERROR(IF(SEARCH("JM",tblTrazabilidad[[#This Row],[Código]])&gt;0,"Juego de pesas",),"Pesa"))</f>
        <v/>
      </c>
      <c r="CJ395" s="35" t="str">
        <f>IFERROR(VLOOKUP($CH395,tblBD_PatronMasa[[Código Patrón]:[mN-(mpe–U95)]],2,FALSE),"")</f>
        <v/>
      </c>
      <c r="CK395" s="35" t="str">
        <f>IFERROR(VLOOKUP($CH395,tblBD_PatronMasa[[Código Patrón]:[mN-(mpe–U95)]],13,FALSE),"")</f>
        <v/>
      </c>
      <c r="CL395" s="34" t="str">
        <f>IF(tblTrazabilidad[[#This Row],[Clase]]="F2",IFERROR(IF(VLOOKUP($CH395,tblBD_PatronMasa[[Código Patrón]:[mN-(mpe–U95)]],12,FALSE)=0,"",VLOOKUP($CH395,tblBD_PatronMasa[[Código Patrón]:[mN-(mpe–U95)]],12,FALSE)+731),""),IF(tblTrazabilidad[[#This Row],[Clase]]="F1",IFERROR(IF(VLOOKUP($CH395,tblBD_PatronMasa[[Código Patrón]:[mN-(mpe–U95)]],12,FALSE)=0,"",VLOOKUP($CH395,tblBD_PatronMasa[[Código Patrón]:[mN-(mpe–U95)]],12,FALSE)+731),""),IFERROR(IF(VLOOKUP($CH395,tblBD_PatronMasa[[Código Patrón]:[mN-(mpe–U95)]],12,FALSE)=0,"",VLOOKUP($CH395,tblBD_PatronMasa[[Código Patrón]:[mN-(mpe–U95)]],12,FALSE)+366),"")))</f>
        <v/>
      </c>
      <c r="CM395" s="33" t="str">
        <f>IFERROR(VLOOKUP($CH395,tblBD_PatronMasa[[Código Patrón]:[mN-(mpe–U95)]],3,FALSE),"")</f>
        <v/>
      </c>
      <c r="CS395" s="32"/>
      <c r="CU395"/>
      <c r="DC395" s="1"/>
      <c r="DD395" s="1"/>
      <c r="DF395"/>
      <c r="DG395"/>
    </row>
    <row r="396" spans="85:111" x14ac:dyDescent="0.3">
      <c r="CG396" s="38">
        <v>390</v>
      </c>
      <c r="CH396" s="35">
        <f t="shared" si="19"/>
        <v>0</v>
      </c>
      <c r="CI396" s="35" t="str">
        <f>IF(tblTrazabilidad[[#This Row],[Código]]=0,"",IFERROR(IF(SEARCH("JM",tblTrazabilidad[[#This Row],[Código]])&gt;0,"Juego de pesas",),"Pesa"))</f>
        <v/>
      </c>
      <c r="CJ396" s="35" t="str">
        <f>IFERROR(VLOOKUP($CH396,tblBD_PatronMasa[[Código Patrón]:[mN-(mpe–U95)]],2,FALSE),"")</f>
        <v/>
      </c>
      <c r="CK396" s="35" t="str">
        <f>IFERROR(VLOOKUP($CH396,tblBD_PatronMasa[[Código Patrón]:[mN-(mpe–U95)]],13,FALSE),"")</f>
        <v/>
      </c>
      <c r="CL396" s="34" t="str">
        <f>IF(tblTrazabilidad[[#This Row],[Clase]]="F2",IFERROR(IF(VLOOKUP($CH396,tblBD_PatronMasa[[Código Patrón]:[mN-(mpe–U95)]],12,FALSE)=0,"",VLOOKUP($CH396,tblBD_PatronMasa[[Código Patrón]:[mN-(mpe–U95)]],12,FALSE)+731),""),IF(tblTrazabilidad[[#This Row],[Clase]]="F1",IFERROR(IF(VLOOKUP($CH396,tblBD_PatronMasa[[Código Patrón]:[mN-(mpe–U95)]],12,FALSE)=0,"",VLOOKUP($CH396,tblBD_PatronMasa[[Código Patrón]:[mN-(mpe–U95)]],12,FALSE)+731),""),IFERROR(IF(VLOOKUP($CH396,tblBD_PatronMasa[[Código Patrón]:[mN-(mpe–U95)]],12,FALSE)=0,"",VLOOKUP($CH396,tblBD_PatronMasa[[Código Patrón]:[mN-(mpe–U95)]],12,FALSE)+366),"")))</f>
        <v/>
      </c>
      <c r="CM396" s="33" t="str">
        <f>IFERROR(VLOOKUP($CH396,tblBD_PatronMasa[[Código Patrón]:[mN-(mpe–U95)]],3,FALSE),"")</f>
        <v/>
      </c>
      <c r="CS396" s="32"/>
      <c r="CU396"/>
      <c r="DC396" s="1"/>
      <c r="DD396" s="1"/>
      <c r="DF396"/>
      <c r="DG396"/>
    </row>
    <row r="397" spans="85:111" x14ac:dyDescent="0.3">
      <c r="CG397" s="38">
        <v>391</v>
      </c>
      <c r="CH397" s="35">
        <f t="shared" si="19"/>
        <v>0</v>
      </c>
      <c r="CI397" s="35" t="str">
        <f>IF(tblTrazabilidad[[#This Row],[Código]]=0,"",IFERROR(IF(SEARCH("JM",tblTrazabilidad[[#This Row],[Código]])&gt;0,"Juego de pesas",),"Pesa"))</f>
        <v/>
      </c>
      <c r="CJ397" s="35" t="str">
        <f>IFERROR(VLOOKUP($CH397,tblBD_PatronMasa[[Código Patrón]:[mN-(mpe–U95)]],2,FALSE),"")</f>
        <v/>
      </c>
      <c r="CK397" s="35" t="str">
        <f>IFERROR(VLOOKUP($CH397,tblBD_PatronMasa[[Código Patrón]:[mN-(mpe–U95)]],13,FALSE),"")</f>
        <v/>
      </c>
      <c r="CL397" s="34" t="str">
        <f>IF(tblTrazabilidad[[#This Row],[Clase]]="F2",IFERROR(IF(VLOOKUP($CH397,tblBD_PatronMasa[[Código Patrón]:[mN-(mpe–U95)]],12,FALSE)=0,"",VLOOKUP($CH397,tblBD_PatronMasa[[Código Patrón]:[mN-(mpe–U95)]],12,FALSE)+731),""),IF(tblTrazabilidad[[#This Row],[Clase]]="F1",IFERROR(IF(VLOOKUP($CH397,tblBD_PatronMasa[[Código Patrón]:[mN-(mpe–U95)]],12,FALSE)=0,"",VLOOKUP($CH397,tblBD_PatronMasa[[Código Patrón]:[mN-(mpe–U95)]],12,FALSE)+731),""),IFERROR(IF(VLOOKUP($CH397,tblBD_PatronMasa[[Código Patrón]:[mN-(mpe–U95)]],12,FALSE)=0,"",VLOOKUP($CH397,tblBD_PatronMasa[[Código Patrón]:[mN-(mpe–U95)]],12,FALSE)+366),"")))</f>
        <v/>
      </c>
      <c r="CM397" s="33" t="str">
        <f>IFERROR(VLOOKUP($CH397,tblBD_PatronMasa[[Código Patrón]:[mN-(mpe–U95)]],3,FALSE),"")</f>
        <v/>
      </c>
      <c r="CS397" s="32"/>
      <c r="CU397"/>
      <c r="DC397" s="1"/>
      <c r="DD397" s="1"/>
      <c r="DF397"/>
      <c r="DG397"/>
    </row>
    <row r="398" spans="85:111" x14ac:dyDescent="0.3">
      <c r="CG398" s="38">
        <v>392</v>
      </c>
      <c r="CH398" s="35">
        <f t="shared" si="19"/>
        <v>0</v>
      </c>
      <c r="CI398" s="35" t="str">
        <f>IF(tblTrazabilidad[[#This Row],[Código]]=0,"",IFERROR(IF(SEARCH("JM",tblTrazabilidad[[#This Row],[Código]])&gt;0,"Juego de pesas",),"Pesa"))</f>
        <v/>
      </c>
      <c r="CJ398" s="35" t="str">
        <f>IFERROR(VLOOKUP($CH398,tblBD_PatronMasa[[Código Patrón]:[mN-(mpe–U95)]],2,FALSE),"")</f>
        <v/>
      </c>
      <c r="CK398" s="35" t="str">
        <f>IFERROR(VLOOKUP($CH398,tblBD_PatronMasa[[Código Patrón]:[mN-(mpe–U95)]],13,FALSE),"")</f>
        <v/>
      </c>
      <c r="CL398" s="34" t="str">
        <f>IF(tblTrazabilidad[[#This Row],[Clase]]="F2",IFERROR(IF(VLOOKUP($CH398,tblBD_PatronMasa[[Código Patrón]:[mN-(mpe–U95)]],12,FALSE)=0,"",VLOOKUP($CH398,tblBD_PatronMasa[[Código Patrón]:[mN-(mpe–U95)]],12,FALSE)+731),""),IF(tblTrazabilidad[[#This Row],[Clase]]="F1",IFERROR(IF(VLOOKUP($CH398,tblBD_PatronMasa[[Código Patrón]:[mN-(mpe–U95)]],12,FALSE)=0,"",VLOOKUP($CH398,tblBD_PatronMasa[[Código Patrón]:[mN-(mpe–U95)]],12,FALSE)+731),""),IFERROR(IF(VLOOKUP($CH398,tblBD_PatronMasa[[Código Patrón]:[mN-(mpe–U95)]],12,FALSE)=0,"",VLOOKUP($CH398,tblBD_PatronMasa[[Código Patrón]:[mN-(mpe–U95)]],12,FALSE)+366),"")))</f>
        <v/>
      </c>
      <c r="CM398" s="33" t="str">
        <f>IFERROR(VLOOKUP($CH398,tblBD_PatronMasa[[Código Patrón]:[mN-(mpe–U95)]],3,FALSE),"")</f>
        <v/>
      </c>
      <c r="CS398" s="32"/>
      <c r="CU398"/>
      <c r="DC398" s="1"/>
      <c r="DD398" s="1"/>
      <c r="DF398"/>
      <c r="DG398"/>
    </row>
    <row r="399" spans="85:111" x14ac:dyDescent="0.3">
      <c r="CG399" s="38">
        <v>393</v>
      </c>
      <c r="CH399" s="35">
        <f t="shared" si="19"/>
        <v>0</v>
      </c>
      <c r="CI399" s="35" t="str">
        <f>IF(tblTrazabilidad[[#This Row],[Código]]=0,"",IFERROR(IF(SEARCH("JM",tblTrazabilidad[[#This Row],[Código]])&gt;0,"Juego de pesas",),"Pesa"))</f>
        <v/>
      </c>
      <c r="CJ399" s="35" t="str">
        <f>IFERROR(VLOOKUP($CH399,tblBD_PatronMasa[[Código Patrón]:[mN-(mpe–U95)]],2,FALSE),"")</f>
        <v/>
      </c>
      <c r="CK399" s="35" t="str">
        <f>IFERROR(VLOOKUP($CH399,tblBD_PatronMasa[[Código Patrón]:[mN-(mpe–U95)]],13,FALSE),"")</f>
        <v/>
      </c>
      <c r="CL399" s="34" t="str">
        <f>IF(tblTrazabilidad[[#This Row],[Clase]]="F2",IFERROR(IF(VLOOKUP($CH399,tblBD_PatronMasa[[Código Patrón]:[mN-(mpe–U95)]],12,FALSE)=0,"",VLOOKUP($CH399,tblBD_PatronMasa[[Código Patrón]:[mN-(mpe–U95)]],12,FALSE)+731),""),IF(tblTrazabilidad[[#This Row],[Clase]]="F1",IFERROR(IF(VLOOKUP($CH399,tblBD_PatronMasa[[Código Patrón]:[mN-(mpe–U95)]],12,FALSE)=0,"",VLOOKUP($CH399,tblBD_PatronMasa[[Código Patrón]:[mN-(mpe–U95)]],12,FALSE)+731),""),IFERROR(IF(VLOOKUP($CH399,tblBD_PatronMasa[[Código Patrón]:[mN-(mpe–U95)]],12,FALSE)=0,"",VLOOKUP($CH399,tblBD_PatronMasa[[Código Patrón]:[mN-(mpe–U95)]],12,FALSE)+366),"")))</f>
        <v/>
      </c>
      <c r="CM399" s="33" t="str">
        <f>IFERROR(VLOOKUP($CH399,tblBD_PatronMasa[[Código Patrón]:[mN-(mpe–U95)]],3,FALSE),"")</f>
        <v/>
      </c>
      <c r="CS399" s="32"/>
      <c r="CU399"/>
      <c r="DC399" s="1"/>
      <c r="DD399" s="1"/>
      <c r="DF399"/>
      <c r="DG399"/>
    </row>
    <row r="400" spans="85:111" x14ac:dyDescent="0.3">
      <c r="CG400" s="38">
        <v>394</v>
      </c>
      <c r="CH400" s="35">
        <f t="shared" si="19"/>
        <v>0</v>
      </c>
      <c r="CI400" s="35" t="str">
        <f>IF(tblTrazabilidad[[#This Row],[Código]]=0,"",IFERROR(IF(SEARCH("JM",tblTrazabilidad[[#This Row],[Código]])&gt;0,"Juego de pesas",),"Pesa"))</f>
        <v/>
      </c>
      <c r="CJ400" s="35" t="str">
        <f>IFERROR(VLOOKUP($CH400,tblBD_PatronMasa[[Código Patrón]:[mN-(mpe–U95)]],2,FALSE),"")</f>
        <v/>
      </c>
      <c r="CK400" s="35" t="str">
        <f>IFERROR(VLOOKUP($CH400,tblBD_PatronMasa[[Código Patrón]:[mN-(mpe–U95)]],13,FALSE),"")</f>
        <v/>
      </c>
      <c r="CL400" s="34" t="str">
        <f>IF(tblTrazabilidad[[#This Row],[Clase]]="F2",IFERROR(IF(VLOOKUP($CH400,tblBD_PatronMasa[[Código Patrón]:[mN-(mpe–U95)]],12,FALSE)=0,"",VLOOKUP($CH400,tblBD_PatronMasa[[Código Patrón]:[mN-(mpe–U95)]],12,FALSE)+731),""),IF(tblTrazabilidad[[#This Row],[Clase]]="F1",IFERROR(IF(VLOOKUP($CH400,tblBD_PatronMasa[[Código Patrón]:[mN-(mpe–U95)]],12,FALSE)=0,"",VLOOKUP($CH400,tblBD_PatronMasa[[Código Patrón]:[mN-(mpe–U95)]],12,FALSE)+731),""),IFERROR(IF(VLOOKUP($CH400,tblBD_PatronMasa[[Código Patrón]:[mN-(mpe–U95)]],12,FALSE)=0,"",VLOOKUP($CH400,tblBD_PatronMasa[[Código Patrón]:[mN-(mpe–U95)]],12,FALSE)+366),"")))</f>
        <v/>
      </c>
      <c r="CM400" s="33" t="str">
        <f>IFERROR(VLOOKUP($CH400,tblBD_PatronMasa[[Código Patrón]:[mN-(mpe–U95)]],3,FALSE),"")</f>
        <v/>
      </c>
      <c r="CS400" s="32"/>
      <c r="CU400"/>
      <c r="DC400" s="1"/>
      <c r="DD400" s="1"/>
      <c r="DF400"/>
      <c r="DG400"/>
    </row>
    <row r="401" spans="85:111" x14ac:dyDescent="0.3">
      <c r="CG401" s="38">
        <v>395</v>
      </c>
      <c r="CH401" s="35">
        <f t="shared" si="19"/>
        <v>0</v>
      </c>
      <c r="CI401" s="35" t="str">
        <f>IF(tblTrazabilidad[[#This Row],[Código]]=0,"",IFERROR(IF(SEARCH("JM",tblTrazabilidad[[#This Row],[Código]])&gt;0,"Juego de pesas",),"Pesa"))</f>
        <v/>
      </c>
      <c r="CJ401" s="35" t="str">
        <f>IFERROR(VLOOKUP($CH401,tblBD_PatronMasa[[Código Patrón]:[mN-(mpe–U95)]],2,FALSE),"")</f>
        <v/>
      </c>
      <c r="CK401" s="35" t="str">
        <f>IFERROR(VLOOKUP($CH401,tblBD_PatronMasa[[Código Patrón]:[mN-(mpe–U95)]],13,FALSE),"")</f>
        <v/>
      </c>
      <c r="CL401" s="34" t="str">
        <f>IF(tblTrazabilidad[[#This Row],[Clase]]="F2",IFERROR(IF(VLOOKUP($CH401,tblBD_PatronMasa[[Código Patrón]:[mN-(mpe–U95)]],12,FALSE)=0,"",VLOOKUP($CH401,tblBD_PatronMasa[[Código Patrón]:[mN-(mpe–U95)]],12,FALSE)+731),""),IF(tblTrazabilidad[[#This Row],[Clase]]="F1",IFERROR(IF(VLOOKUP($CH401,tblBD_PatronMasa[[Código Patrón]:[mN-(mpe–U95)]],12,FALSE)=0,"",VLOOKUP($CH401,tblBD_PatronMasa[[Código Patrón]:[mN-(mpe–U95)]],12,FALSE)+731),""),IFERROR(IF(VLOOKUP($CH401,tblBD_PatronMasa[[Código Patrón]:[mN-(mpe–U95)]],12,FALSE)=0,"",VLOOKUP($CH401,tblBD_PatronMasa[[Código Patrón]:[mN-(mpe–U95)]],12,FALSE)+366),"")))</f>
        <v/>
      </c>
      <c r="CM401" s="33" t="str">
        <f>IFERROR(VLOOKUP($CH401,tblBD_PatronMasa[[Código Patrón]:[mN-(mpe–U95)]],3,FALSE),"")</f>
        <v/>
      </c>
      <c r="CS401" s="32"/>
      <c r="CU401"/>
      <c r="DC401" s="1"/>
      <c r="DD401" s="1"/>
      <c r="DF401"/>
      <c r="DG401"/>
    </row>
    <row r="402" spans="85:111" x14ac:dyDescent="0.3">
      <c r="CG402" s="38">
        <v>396</v>
      </c>
      <c r="CH402" s="35">
        <f t="shared" si="19"/>
        <v>0</v>
      </c>
      <c r="CI402" s="35" t="str">
        <f>IF(tblTrazabilidad[[#This Row],[Código]]=0,"",IFERROR(IF(SEARCH("JM",tblTrazabilidad[[#This Row],[Código]])&gt;0,"Juego de pesas",),"Pesa"))</f>
        <v/>
      </c>
      <c r="CJ402" s="35" t="str">
        <f>IFERROR(VLOOKUP($CH402,tblBD_PatronMasa[[Código Patrón]:[mN-(mpe–U95)]],2,FALSE),"")</f>
        <v/>
      </c>
      <c r="CK402" s="35" t="str">
        <f>IFERROR(VLOOKUP($CH402,tblBD_PatronMasa[[Código Patrón]:[mN-(mpe–U95)]],13,FALSE),"")</f>
        <v/>
      </c>
      <c r="CL402" s="34" t="str">
        <f>IF(tblTrazabilidad[[#This Row],[Clase]]="F2",IFERROR(IF(VLOOKUP($CH402,tblBD_PatronMasa[[Código Patrón]:[mN-(mpe–U95)]],12,FALSE)=0,"",VLOOKUP($CH402,tblBD_PatronMasa[[Código Patrón]:[mN-(mpe–U95)]],12,FALSE)+731),""),IF(tblTrazabilidad[[#This Row],[Clase]]="F1",IFERROR(IF(VLOOKUP($CH402,tblBD_PatronMasa[[Código Patrón]:[mN-(mpe–U95)]],12,FALSE)=0,"",VLOOKUP($CH402,tblBD_PatronMasa[[Código Patrón]:[mN-(mpe–U95)]],12,FALSE)+731),""),IFERROR(IF(VLOOKUP($CH402,tblBD_PatronMasa[[Código Patrón]:[mN-(mpe–U95)]],12,FALSE)=0,"",VLOOKUP($CH402,tblBD_PatronMasa[[Código Patrón]:[mN-(mpe–U95)]],12,FALSE)+366),"")))</f>
        <v/>
      </c>
      <c r="CM402" s="33" t="str">
        <f>IFERROR(VLOOKUP($CH402,tblBD_PatronMasa[[Código Patrón]:[mN-(mpe–U95)]],3,FALSE),"")</f>
        <v/>
      </c>
      <c r="CS402" s="32"/>
      <c r="CU402"/>
      <c r="DC402" s="1"/>
      <c r="DD402" s="1"/>
      <c r="DF402"/>
      <c r="DG402"/>
    </row>
    <row r="403" spans="85:111" x14ac:dyDescent="0.3">
      <c r="CG403" s="38">
        <v>397</v>
      </c>
      <c r="CH403" s="35">
        <f t="shared" si="19"/>
        <v>0</v>
      </c>
      <c r="CI403" s="35" t="str">
        <f>IF(tblTrazabilidad[[#This Row],[Código]]=0,"",IFERROR(IF(SEARCH("JM",tblTrazabilidad[[#This Row],[Código]])&gt;0,"Juego de pesas",),"Pesa"))</f>
        <v/>
      </c>
      <c r="CJ403" s="35" t="str">
        <f>IFERROR(VLOOKUP($CH403,tblBD_PatronMasa[[Código Patrón]:[mN-(mpe–U95)]],2,FALSE),"")</f>
        <v/>
      </c>
      <c r="CK403" s="35" t="str">
        <f>IFERROR(VLOOKUP($CH403,tblBD_PatronMasa[[Código Patrón]:[mN-(mpe–U95)]],13,FALSE),"")</f>
        <v/>
      </c>
      <c r="CL403" s="34" t="str">
        <f>IF(tblTrazabilidad[[#This Row],[Clase]]="F2",IFERROR(IF(VLOOKUP($CH403,tblBD_PatronMasa[[Código Patrón]:[mN-(mpe–U95)]],12,FALSE)=0,"",VLOOKUP($CH403,tblBD_PatronMasa[[Código Patrón]:[mN-(mpe–U95)]],12,FALSE)+731),""),IF(tblTrazabilidad[[#This Row],[Clase]]="F1",IFERROR(IF(VLOOKUP($CH403,tblBD_PatronMasa[[Código Patrón]:[mN-(mpe–U95)]],12,FALSE)=0,"",VLOOKUP($CH403,tblBD_PatronMasa[[Código Patrón]:[mN-(mpe–U95)]],12,FALSE)+731),""),IFERROR(IF(VLOOKUP($CH403,tblBD_PatronMasa[[Código Patrón]:[mN-(mpe–U95)]],12,FALSE)=0,"",VLOOKUP($CH403,tblBD_PatronMasa[[Código Patrón]:[mN-(mpe–U95)]],12,FALSE)+366),"")))</f>
        <v/>
      </c>
      <c r="CM403" s="33" t="str">
        <f>IFERROR(VLOOKUP($CH403,tblBD_PatronMasa[[Código Patrón]:[mN-(mpe–U95)]],3,FALSE),"")</f>
        <v/>
      </c>
      <c r="CS403" s="32"/>
      <c r="CU403"/>
      <c r="DC403" s="1"/>
      <c r="DD403" s="1"/>
      <c r="DF403"/>
      <c r="DG403"/>
    </row>
    <row r="404" spans="85:111" x14ac:dyDescent="0.3">
      <c r="CG404" s="38">
        <v>398</v>
      </c>
      <c r="CH404" s="35">
        <f t="shared" si="19"/>
        <v>0</v>
      </c>
      <c r="CI404" s="35" t="str">
        <f>IF(tblTrazabilidad[[#This Row],[Código]]=0,"",IFERROR(IF(SEARCH("JM",tblTrazabilidad[[#This Row],[Código]])&gt;0,"Juego de pesas",),"Pesa"))</f>
        <v/>
      </c>
      <c r="CJ404" s="35" t="str">
        <f>IFERROR(VLOOKUP($CH404,tblBD_PatronMasa[[Código Patrón]:[mN-(mpe–U95)]],2,FALSE),"")</f>
        <v/>
      </c>
      <c r="CK404" s="35" t="str">
        <f>IFERROR(VLOOKUP($CH404,tblBD_PatronMasa[[Código Patrón]:[mN-(mpe–U95)]],13,FALSE),"")</f>
        <v/>
      </c>
      <c r="CL404" s="34" t="str">
        <f>IF(tblTrazabilidad[[#This Row],[Clase]]="F2",IFERROR(IF(VLOOKUP($CH404,tblBD_PatronMasa[[Código Patrón]:[mN-(mpe–U95)]],12,FALSE)=0,"",VLOOKUP($CH404,tblBD_PatronMasa[[Código Patrón]:[mN-(mpe–U95)]],12,FALSE)+731),""),IF(tblTrazabilidad[[#This Row],[Clase]]="F1",IFERROR(IF(VLOOKUP($CH404,tblBD_PatronMasa[[Código Patrón]:[mN-(mpe–U95)]],12,FALSE)=0,"",VLOOKUP($CH404,tblBD_PatronMasa[[Código Patrón]:[mN-(mpe–U95)]],12,FALSE)+731),""),IFERROR(IF(VLOOKUP($CH404,tblBD_PatronMasa[[Código Patrón]:[mN-(mpe–U95)]],12,FALSE)=0,"",VLOOKUP($CH404,tblBD_PatronMasa[[Código Patrón]:[mN-(mpe–U95)]],12,FALSE)+366),"")))</f>
        <v/>
      </c>
      <c r="CM404" s="33" t="str">
        <f>IFERROR(VLOOKUP($CH404,tblBD_PatronMasa[[Código Patrón]:[mN-(mpe–U95)]],3,FALSE),"")</f>
        <v/>
      </c>
      <c r="CS404" s="32"/>
      <c r="CU404"/>
      <c r="DC404" s="1"/>
      <c r="DD404" s="1"/>
      <c r="DF404"/>
      <c r="DG404"/>
    </row>
    <row r="405" spans="85:111" x14ac:dyDescent="0.3">
      <c r="CG405" s="38">
        <v>399</v>
      </c>
      <c r="CH405" s="35">
        <f t="shared" si="19"/>
        <v>0</v>
      </c>
      <c r="CI405" s="35" t="str">
        <f>IF(tblTrazabilidad[[#This Row],[Código]]=0,"",IFERROR(IF(SEARCH("JM",tblTrazabilidad[[#This Row],[Código]])&gt;0,"Juego de pesas",),"Pesa"))</f>
        <v/>
      </c>
      <c r="CJ405" s="35" t="str">
        <f>IFERROR(VLOOKUP($CH405,tblBD_PatronMasa[[Código Patrón]:[mN-(mpe–U95)]],2,FALSE),"")</f>
        <v/>
      </c>
      <c r="CK405" s="35" t="str">
        <f>IFERROR(VLOOKUP($CH405,tblBD_PatronMasa[[Código Patrón]:[mN-(mpe–U95)]],13,FALSE),"")</f>
        <v/>
      </c>
      <c r="CL405" s="34" t="str">
        <f>IF(tblTrazabilidad[[#This Row],[Clase]]="F2",IFERROR(IF(VLOOKUP($CH405,tblBD_PatronMasa[[Código Patrón]:[mN-(mpe–U95)]],12,FALSE)=0,"",VLOOKUP($CH405,tblBD_PatronMasa[[Código Patrón]:[mN-(mpe–U95)]],12,FALSE)+731),""),IF(tblTrazabilidad[[#This Row],[Clase]]="F1",IFERROR(IF(VLOOKUP($CH405,tblBD_PatronMasa[[Código Patrón]:[mN-(mpe–U95)]],12,FALSE)=0,"",VLOOKUP($CH405,tblBD_PatronMasa[[Código Patrón]:[mN-(mpe–U95)]],12,FALSE)+731),""),IFERROR(IF(VLOOKUP($CH405,tblBD_PatronMasa[[Código Patrón]:[mN-(mpe–U95)]],12,FALSE)=0,"",VLOOKUP($CH405,tblBD_PatronMasa[[Código Patrón]:[mN-(mpe–U95)]],12,FALSE)+366),"")))</f>
        <v/>
      </c>
      <c r="CM405" s="33" t="str">
        <f>IFERROR(VLOOKUP($CH405,tblBD_PatronMasa[[Código Patrón]:[mN-(mpe–U95)]],3,FALSE),"")</f>
        <v/>
      </c>
      <c r="CS405" s="32"/>
      <c r="CU405"/>
      <c r="DC405" s="1"/>
      <c r="DD405" s="1"/>
      <c r="DF405"/>
      <c r="DG405"/>
    </row>
    <row r="406" spans="85:111" x14ac:dyDescent="0.3">
      <c r="CG406" s="38">
        <v>400</v>
      </c>
      <c r="CH406" s="35">
        <f t="shared" si="19"/>
        <v>0</v>
      </c>
      <c r="CI406" s="35" t="str">
        <f>IF(tblTrazabilidad[[#This Row],[Código]]=0,"",IFERROR(IF(SEARCH("JM",tblTrazabilidad[[#This Row],[Código]])&gt;0,"Juego de pesas",),"Pesa"))</f>
        <v/>
      </c>
      <c r="CJ406" s="35" t="str">
        <f>IFERROR(VLOOKUP($CH406,tblBD_PatronMasa[[Código Patrón]:[mN-(mpe–U95)]],2,FALSE),"")</f>
        <v/>
      </c>
      <c r="CK406" s="35" t="str">
        <f>IFERROR(VLOOKUP($CH406,tblBD_PatronMasa[[Código Patrón]:[mN-(mpe–U95)]],13,FALSE),"")</f>
        <v/>
      </c>
      <c r="CL406" s="34" t="str">
        <f>IF(tblTrazabilidad[[#This Row],[Clase]]="F2",IFERROR(IF(VLOOKUP($CH406,tblBD_PatronMasa[[Código Patrón]:[mN-(mpe–U95)]],12,FALSE)=0,"",VLOOKUP($CH406,tblBD_PatronMasa[[Código Patrón]:[mN-(mpe–U95)]],12,FALSE)+731),""),IF(tblTrazabilidad[[#This Row],[Clase]]="F1",IFERROR(IF(VLOOKUP($CH406,tblBD_PatronMasa[[Código Patrón]:[mN-(mpe–U95)]],12,FALSE)=0,"",VLOOKUP($CH406,tblBD_PatronMasa[[Código Patrón]:[mN-(mpe–U95)]],12,FALSE)+731),""),IFERROR(IF(VLOOKUP($CH406,tblBD_PatronMasa[[Código Patrón]:[mN-(mpe–U95)]],12,FALSE)=0,"",VLOOKUP($CH406,tblBD_PatronMasa[[Código Patrón]:[mN-(mpe–U95)]],12,FALSE)+366),"")))</f>
        <v/>
      </c>
      <c r="CM406" s="33" t="str">
        <f>IFERROR(VLOOKUP($CH406,tblBD_PatronMasa[[Código Patrón]:[mN-(mpe–U95)]],3,FALSE),"")</f>
        <v/>
      </c>
      <c r="CS406" s="32"/>
      <c r="CU406"/>
      <c r="DC406" s="1"/>
      <c r="DD406" s="1"/>
      <c r="DF406"/>
      <c r="DG406"/>
    </row>
    <row r="407" spans="85:111" x14ac:dyDescent="0.3">
      <c r="CG407" s="38">
        <v>401</v>
      </c>
      <c r="CH407" s="35">
        <f t="shared" ref="CH407:CH438" si="20">BQ5</f>
        <v>0</v>
      </c>
      <c r="CI407" s="35" t="str">
        <f>IF(tblTrazabilidad[[#This Row],[Código]]=0,"",IFERROR(IF(SEARCH("JM",tblTrazabilidad[[#This Row],[Código]])&gt;0,"Juego de pesas",),"Pesa"))</f>
        <v/>
      </c>
      <c r="CJ407" s="35" t="str">
        <f>IFERROR(VLOOKUP($CH407,tblBD_PatronMasa[[Código Patrón]:[mN-(mpe–U95)]],2,FALSE),"")</f>
        <v/>
      </c>
      <c r="CK407" s="35" t="str">
        <f>IFERROR(VLOOKUP($CH407,tblBD_PatronMasa[[Código Patrón]:[mN-(mpe–U95)]],13,FALSE),"")</f>
        <v/>
      </c>
      <c r="CL407" s="34" t="str">
        <f>IF(tblTrazabilidad[[#This Row],[Clase]]="F2",IFERROR(IF(VLOOKUP($CH407,tblBD_PatronMasa[[Código Patrón]:[mN-(mpe–U95)]],12,FALSE)=0,"",VLOOKUP($CH407,tblBD_PatronMasa[[Código Patrón]:[mN-(mpe–U95)]],12,FALSE)+731),""),IF(tblTrazabilidad[[#This Row],[Clase]]="F1",IFERROR(IF(VLOOKUP($CH407,tblBD_PatronMasa[[Código Patrón]:[mN-(mpe–U95)]],12,FALSE)=0,"",VLOOKUP($CH407,tblBD_PatronMasa[[Código Patrón]:[mN-(mpe–U95)]],12,FALSE)+731),""),IFERROR(IF(VLOOKUP($CH407,tblBD_PatronMasa[[Código Patrón]:[mN-(mpe–U95)]],12,FALSE)=0,"",VLOOKUP($CH407,tblBD_PatronMasa[[Código Patrón]:[mN-(mpe–U95)]],12,FALSE)+366),"")))</f>
        <v/>
      </c>
      <c r="CM407" s="33" t="str">
        <f>IFERROR(VLOOKUP($CH407,tblBD_PatronMasa[[Código Patrón]:[mN-(mpe–U95)]],3,FALSE),"")</f>
        <v/>
      </c>
      <c r="CS407" s="32"/>
      <c r="CU407"/>
      <c r="DC407" s="1"/>
      <c r="DD407" s="1"/>
      <c r="DF407"/>
      <c r="DG407"/>
    </row>
    <row r="408" spans="85:111" x14ac:dyDescent="0.3">
      <c r="CG408" s="38">
        <v>402</v>
      </c>
      <c r="CH408" s="35">
        <f t="shared" si="20"/>
        <v>0</v>
      </c>
      <c r="CI408" s="35" t="str">
        <f>IF(tblTrazabilidad[[#This Row],[Código]]=0,"",IFERROR(IF(SEARCH("JM",tblTrazabilidad[[#This Row],[Código]])&gt;0,"Juego de pesas",),"Pesa"))</f>
        <v/>
      </c>
      <c r="CJ408" s="35" t="str">
        <f>IFERROR(VLOOKUP($CH408,tblBD_PatronMasa[[Código Patrón]:[mN-(mpe–U95)]],2,FALSE),"")</f>
        <v/>
      </c>
      <c r="CK408" s="35" t="str">
        <f>IFERROR(VLOOKUP($CH408,tblBD_PatronMasa[[Código Patrón]:[mN-(mpe–U95)]],13,FALSE),"")</f>
        <v/>
      </c>
      <c r="CL408" s="34" t="str">
        <f>IF(tblTrazabilidad[[#This Row],[Clase]]="F2",IFERROR(IF(VLOOKUP($CH408,tblBD_PatronMasa[[Código Patrón]:[mN-(mpe–U95)]],12,FALSE)=0,"",VLOOKUP($CH408,tblBD_PatronMasa[[Código Patrón]:[mN-(mpe–U95)]],12,FALSE)+731),""),IF(tblTrazabilidad[[#This Row],[Clase]]="F1",IFERROR(IF(VLOOKUP($CH408,tblBD_PatronMasa[[Código Patrón]:[mN-(mpe–U95)]],12,FALSE)=0,"",VLOOKUP($CH408,tblBD_PatronMasa[[Código Patrón]:[mN-(mpe–U95)]],12,FALSE)+731),""),IFERROR(IF(VLOOKUP($CH408,tblBD_PatronMasa[[Código Patrón]:[mN-(mpe–U95)]],12,FALSE)=0,"",VLOOKUP($CH408,tblBD_PatronMasa[[Código Patrón]:[mN-(mpe–U95)]],12,FALSE)+366),"")))</f>
        <v/>
      </c>
      <c r="CM408" s="33" t="str">
        <f>IFERROR(VLOOKUP($CH408,tblBD_PatronMasa[[Código Patrón]:[mN-(mpe–U95)]],3,FALSE),"")</f>
        <v/>
      </c>
      <c r="CS408" s="32"/>
      <c r="CU408"/>
      <c r="DC408" s="1"/>
      <c r="DD408" s="1"/>
      <c r="DF408"/>
      <c r="DG408"/>
    </row>
    <row r="409" spans="85:111" x14ac:dyDescent="0.3">
      <c r="CG409" s="38">
        <v>403</v>
      </c>
      <c r="CH409" s="35">
        <f t="shared" si="20"/>
        <v>0</v>
      </c>
      <c r="CI409" s="35" t="str">
        <f>IF(tblTrazabilidad[[#This Row],[Código]]=0,"",IFERROR(IF(SEARCH("JM",tblTrazabilidad[[#This Row],[Código]])&gt;0,"Juego de pesas",),"Pesa"))</f>
        <v/>
      </c>
      <c r="CJ409" s="35" t="str">
        <f>IFERROR(VLOOKUP($CH409,tblBD_PatronMasa[[Código Patrón]:[mN-(mpe–U95)]],2,FALSE),"")</f>
        <v/>
      </c>
      <c r="CK409" s="35" t="str">
        <f>IFERROR(VLOOKUP($CH409,tblBD_PatronMasa[[Código Patrón]:[mN-(mpe–U95)]],13,FALSE),"")</f>
        <v/>
      </c>
      <c r="CL409" s="34" t="str">
        <f>IF(tblTrazabilidad[[#This Row],[Clase]]="F2",IFERROR(IF(VLOOKUP($CH409,tblBD_PatronMasa[[Código Patrón]:[mN-(mpe–U95)]],12,FALSE)=0,"",VLOOKUP($CH409,tblBD_PatronMasa[[Código Patrón]:[mN-(mpe–U95)]],12,FALSE)+731),""),IF(tblTrazabilidad[[#This Row],[Clase]]="F1",IFERROR(IF(VLOOKUP($CH409,tblBD_PatronMasa[[Código Patrón]:[mN-(mpe–U95)]],12,FALSE)=0,"",VLOOKUP($CH409,tblBD_PatronMasa[[Código Patrón]:[mN-(mpe–U95)]],12,FALSE)+731),""),IFERROR(IF(VLOOKUP($CH409,tblBD_PatronMasa[[Código Patrón]:[mN-(mpe–U95)]],12,FALSE)=0,"",VLOOKUP($CH409,tblBD_PatronMasa[[Código Patrón]:[mN-(mpe–U95)]],12,FALSE)+366),"")))</f>
        <v/>
      </c>
      <c r="CM409" s="33" t="str">
        <f>IFERROR(VLOOKUP($CH409,tblBD_PatronMasa[[Código Patrón]:[mN-(mpe–U95)]],3,FALSE),"")</f>
        <v/>
      </c>
      <c r="CS409" s="32"/>
      <c r="CU409"/>
      <c r="DC409" s="1"/>
      <c r="DD409" s="1"/>
      <c r="DF409"/>
      <c r="DG409"/>
    </row>
    <row r="410" spans="85:111" x14ac:dyDescent="0.3">
      <c r="CG410" s="38">
        <v>404</v>
      </c>
      <c r="CH410" s="35">
        <f t="shared" si="20"/>
        <v>0</v>
      </c>
      <c r="CI410" s="35" t="str">
        <f>IF(tblTrazabilidad[[#This Row],[Código]]=0,"",IFERROR(IF(SEARCH("JM",tblTrazabilidad[[#This Row],[Código]])&gt;0,"Juego de pesas",),"Pesa"))</f>
        <v/>
      </c>
      <c r="CJ410" s="35" t="str">
        <f>IFERROR(VLOOKUP($CH410,tblBD_PatronMasa[[Código Patrón]:[mN-(mpe–U95)]],2,FALSE),"")</f>
        <v/>
      </c>
      <c r="CK410" s="35" t="str">
        <f>IFERROR(VLOOKUP($CH410,tblBD_PatronMasa[[Código Patrón]:[mN-(mpe–U95)]],13,FALSE),"")</f>
        <v/>
      </c>
      <c r="CL410" s="34" t="str">
        <f>IF(tblTrazabilidad[[#This Row],[Clase]]="F2",IFERROR(IF(VLOOKUP($CH410,tblBD_PatronMasa[[Código Patrón]:[mN-(mpe–U95)]],12,FALSE)=0,"",VLOOKUP($CH410,tblBD_PatronMasa[[Código Patrón]:[mN-(mpe–U95)]],12,FALSE)+731),""),IF(tblTrazabilidad[[#This Row],[Clase]]="F1",IFERROR(IF(VLOOKUP($CH410,tblBD_PatronMasa[[Código Patrón]:[mN-(mpe–U95)]],12,FALSE)=0,"",VLOOKUP($CH410,tblBD_PatronMasa[[Código Patrón]:[mN-(mpe–U95)]],12,FALSE)+731),""),IFERROR(IF(VLOOKUP($CH410,tblBD_PatronMasa[[Código Patrón]:[mN-(mpe–U95)]],12,FALSE)=0,"",VLOOKUP($CH410,tblBD_PatronMasa[[Código Patrón]:[mN-(mpe–U95)]],12,FALSE)+366),"")))</f>
        <v/>
      </c>
      <c r="CM410" s="33" t="str">
        <f>IFERROR(VLOOKUP($CH410,tblBD_PatronMasa[[Código Patrón]:[mN-(mpe–U95)]],3,FALSE),"")</f>
        <v/>
      </c>
      <c r="CS410" s="32"/>
      <c r="CU410"/>
      <c r="DC410" s="1"/>
      <c r="DD410" s="1"/>
      <c r="DF410"/>
      <c r="DG410"/>
    </row>
    <row r="411" spans="85:111" x14ac:dyDescent="0.3">
      <c r="CG411" s="38">
        <v>405</v>
      </c>
      <c r="CH411" s="35">
        <f t="shared" si="20"/>
        <v>0</v>
      </c>
      <c r="CI411" s="35" t="str">
        <f>IF(tblTrazabilidad[[#This Row],[Código]]=0,"",IFERROR(IF(SEARCH("JM",tblTrazabilidad[[#This Row],[Código]])&gt;0,"Juego de pesas",),"Pesa"))</f>
        <v/>
      </c>
      <c r="CJ411" s="35" t="str">
        <f>IFERROR(VLOOKUP($CH411,tblBD_PatronMasa[[Código Patrón]:[mN-(mpe–U95)]],2,FALSE),"")</f>
        <v/>
      </c>
      <c r="CK411" s="35" t="str">
        <f>IFERROR(VLOOKUP($CH411,tblBD_PatronMasa[[Código Patrón]:[mN-(mpe–U95)]],13,FALSE),"")</f>
        <v/>
      </c>
      <c r="CL411" s="34" t="str">
        <f>IF(tblTrazabilidad[[#This Row],[Clase]]="F2",IFERROR(IF(VLOOKUP($CH411,tblBD_PatronMasa[[Código Patrón]:[mN-(mpe–U95)]],12,FALSE)=0,"",VLOOKUP($CH411,tblBD_PatronMasa[[Código Patrón]:[mN-(mpe–U95)]],12,FALSE)+731),""),IF(tblTrazabilidad[[#This Row],[Clase]]="F1",IFERROR(IF(VLOOKUP($CH411,tblBD_PatronMasa[[Código Patrón]:[mN-(mpe–U95)]],12,FALSE)=0,"",VLOOKUP($CH411,tblBD_PatronMasa[[Código Patrón]:[mN-(mpe–U95)]],12,FALSE)+731),""),IFERROR(IF(VLOOKUP($CH411,tblBD_PatronMasa[[Código Patrón]:[mN-(mpe–U95)]],12,FALSE)=0,"",VLOOKUP($CH411,tblBD_PatronMasa[[Código Patrón]:[mN-(mpe–U95)]],12,FALSE)+366),"")))</f>
        <v/>
      </c>
      <c r="CM411" s="33" t="str">
        <f>IFERROR(VLOOKUP($CH411,tblBD_PatronMasa[[Código Patrón]:[mN-(mpe–U95)]],3,FALSE),"")</f>
        <v/>
      </c>
      <c r="CS411" s="32"/>
      <c r="CU411"/>
      <c r="DC411" s="1"/>
      <c r="DD411" s="1"/>
      <c r="DF411"/>
      <c r="DG411"/>
    </row>
    <row r="412" spans="85:111" x14ac:dyDescent="0.3">
      <c r="CG412" s="38">
        <v>406</v>
      </c>
      <c r="CH412" s="35">
        <f t="shared" si="20"/>
        <v>0</v>
      </c>
      <c r="CI412" s="35" t="str">
        <f>IF(tblTrazabilidad[[#This Row],[Código]]=0,"",IFERROR(IF(SEARCH("JM",tblTrazabilidad[[#This Row],[Código]])&gt;0,"Juego de pesas",),"Pesa"))</f>
        <v/>
      </c>
      <c r="CJ412" s="35" t="str">
        <f>IFERROR(VLOOKUP($CH412,tblBD_PatronMasa[[Código Patrón]:[mN-(mpe–U95)]],2,FALSE),"")</f>
        <v/>
      </c>
      <c r="CK412" s="35" t="str">
        <f>IFERROR(VLOOKUP($CH412,tblBD_PatronMasa[[Código Patrón]:[mN-(mpe–U95)]],13,FALSE),"")</f>
        <v/>
      </c>
      <c r="CL412" s="34" t="str">
        <f>IF(tblTrazabilidad[[#This Row],[Clase]]="F2",IFERROR(IF(VLOOKUP($CH412,tblBD_PatronMasa[[Código Patrón]:[mN-(mpe–U95)]],12,FALSE)=0,"",VLOOKUP($CH412,tblBD_PatronMasa[[Código Patrón]:[mN-(mpe–U95)]],12,FALSE)+731),""),IF(tblTrazabilidad[[#This Row],[Clase]]="F1",IFERROR(IF(VLOOKUP($CH412,tblBD_PatronMasa[[Código Patrón]:[mN-(mpe–U95)]],12,FALSE)=0,"",VLOOKUP($CH412,tblBD_PatronMasa[[Código Patrón]:[mN-(mpe–U95)]],12,FALSE)+731),""),IFERROR(IF(VLOOKUP($CH412,tblBD_PatronMasa[[Código Patrón]:[mN-(mpe–U95)]],12,FALSE)=0,"",VLOOKUP($CH412,tblBD_PatronMasa[[Código Patrón]:[mN-(mpe–U95)]],12,FALSE)+366),"")))</f>
        <v/>
      </c>
      <c r="CM412" s="33" t="str">
        <f>IFERROR(VLOOKUP($CH412,tblBD_PatronMasa[[Código Patrón]:[mN-(mpe–U95)]],3,FALSE),"")</f>
        <v/>
      </c>
      <c r="CS412" s="32"/>
      <c r="CU412"/>
      <c r="DC412" s="1"/>
      <c r="DD412" s="1"/>
      <c r="DF412"/>
      <c r="DG412"/>
    </row>
    <row r="413" spans="85:111" x14ac:dyDescent="0.3">
      <c r="CG413" s="38">
        <v>407</v>
      </c>
      <c r="CH413" s="35">
        <f t="shared" si="20"/>
        <v>0</v>
      </c>
      <c r="CI413" s="35" t="str">
        <f>IF(tblTrazabilidad[[#This Row],[Código]]=0,"",IFERROR(IF(SEARCH("JM",tblTrazabilidad[[#This Row],[Código]])&gt;0,"Juego de pesas",),"Pesa"))</f>
        <v/>
      </c>
      <c r="CJ413" s="35" t="str">
        <f>IFERROR(VLOOKUP($CH413,tblBD_PatronMasa[[Código Patrón]:[mN-(mpe–U95)]],2,FALSE),"")</f>
        <v/>
      </c>
      <c r="CK413" s="35" t="str">
        <f>IFERROR(VLOOKUP($CH413,tblBD_PatronMasa[[Código Patrón]:[mN-(mpe–U95)]],13,FALSE),"")</f>
        <v/>
      </c>
      <c r="CL413" s="34" t="str">
        <f>IF(tblTrazabilidad[[#This Row],[Clase]]="F2",IFERROR(IF(VLOOKUP($CH413,tblBD_PatronMasa[[Código Patrón]:[mN-(mpe–U95)]],12,FALSE)=0,"",VLOOKUP($CH413,tblBD_PatronMasa[[Código Patrón]:[mN-(mpe–U95)]],12,FALSE)+731),""),IF(tblTrazabilidad[[#This Row],[Clase]]="F1",IFERROR(IF(VLOOKUP($CH413,tblBD_PatronMasa[[Código Patrón]:[mN-(mpe–U95)]],12,FALSE)=0,"",VLOOKUP($CH413,tblBD_PatronMasa[[Código Patrón]:[mN-(mpe–U95)]],12,FALSE)+731),""),IFERROR(IF(VLOOKUP($CH413,tblBD_PatronMasa[[Código Patrón]:[mN-(mpe–U95)]],12,FALSE)=0,"",VLOOKUP($CH413,tblBD_PatronMasa[[Código Patrón]:[mN-(mpe–U95)]],12,FALSE)+366),"")))</f>
        <v/>
      </c>
      <c r="CM413" s="33" t="str">
        <f>IFERROR(VLOOKUP($CH413,tblBD_PatronMasa[[Código Patrón]:[mN-(mpe–U95)]],3,FALSE),"")</f>
        <v/>
      </c>
      <c r="CS413" s="32"/>
      <c r="CU413"/>
      <c r="DC413" s="1"/>
      <c r="DD413" s="1"/>
      <c r="DF413"/>
      <c r="DG413"/>
    </row>
    <row r="414" spans="85:111" x14ac:dyDescent="0.3">
      <c r="CG414" s="38">
        <v>408</v>
      </c>
      <c r="CH414" s="35">
        <f t="shared" si="20"/>
        <v>0</v>
      </c>
      <c r="CI414" s="35" t="str">
        <f>IF(tblTrazabilidad[[#This Row],[Código]]=0,"",IFERROR(IF(SEARCH("JM",tblTrazabilidad[[#This Row],[Código]])&gt;0,"Juego de pesas",),"Pesa"))</f>
        <v/>
      </c>
      <c r="CJ414" s="35" t="str">
        <f>IFERROR(VLOOKUP($CH414,tblBD_PatronMasa[[Código Patrón]:[mN-(mpe–U95)]],2,FALSE),"")</f>
        <v/>
      </c>
      <c r="CK414" s="35" t="str">
        <f>IFERROR(VLOOKUP($CH414,tblBD_PatronMasa[[Código Patrón]:[mN-(mpe–U95)]],13,FALSE),"")</f>
        <v/>
      </c>
      <c r="CL414" s="34" t="str">
        <f>IF(tblTrazabilidad[[#This Row],[Clase]]="F2",IFERROR(IF(VLOOKUP($CH414,tblBD_PatronMasa[[Código Patrón]:[mN-(mpe–U95)]],12,FALSE)=0,"",VLOOKUP($CH414,tblBD_PatronMasa[[Código Patrón]:[mN-(mpe–U95)]],12,FALSE)+731),""),IF(tblTrazabilidad[[#This Row],[Clase]]="F1",IFERROR(IF(VLOOKUP($CH414,tblBD_PatronMasa[[Código Patrón]:[mN-(mpe–U95)]],12,FALSE)=0,"",VLOOKUP($CH414,tblBD_PatronMasa[[Código Patrón]:[mN-(mpe–U95)]],12,FALSE)+731),""),IFERROR(IF(VLOOKUP($CH414,tblBD_PatronMasa[[Código Patrón]:[mN-(mpe–U95)]],12,FALSE)=0,"",VLOOKUP($CH414,tblBD_PatronMasa[[Código Patrón]:[mN-(mpe–U95)]],12,FALSE)+366),"")))</f>
        <v/>
      </c>
      <c r="CM414" s="33" t="str">
        <f>IFERROR(VLOOKUP($CH414,tblBD_PatronMasa[[Código Patrón]:[mN-(mpe–U95)]],3,FALSE),"")</f>
        <v/>
      </c>
      <c r="CS414" s="32"/>
      <c r="CU414"/>
      <c r="DC414" s="1"/>
      <c r="DD414" s="1"/>
      <c r="DF414"/>
      <c r="DG414"/>
    </row>
    <row r="415" spans="85:111" x14ac:dyDescent="0.3">
      <c r="CG415" s="38">
        <v>409</v>
      </c>
      <c r="CH415" s="35">
        <f t="shared" si="20"/>
        <v>0</v>
      </c>
      <c r="CI415" s="35" t="str">
        <f>IF(tblTrazabilidad[[#This Row],[Código]]=0,"",IFERROR(IF(SEARCH("JM",tblTrazabilidad[[#This Row],[Código]])&gt;0,"Juego de pesas",),"Pesa"))</f>
        <v/>
      </c>
      <c r="CJ415" s="35" t="str">
        <f>IFERROR(VLOOKUP($CH415,tblBD_PatronMasa[[Código Patrón]:[mN-(mpe–U95)]],2,FALSE),"")</f>
        <v/>
      </c>
      <c r="CK415" s="35" t="str">
        <f>IFERROR(VLOOKUP($CH415,tblBD_PatronMasa[[Código Patrón]:[mN-(mpe–U95)]],13,FALSE),"")</f>
        <v/>
      </c>
      <c r="CL415" s="34" t="str">
        <f>IF(tblTrazabilidad[[#This Row],[Clase]]="F2",IFERROR(IF(VLOOKUP($CH415,tblBD_PatronMasa[[Código Patrón]:[mN-(mpe–U95)]],12,FALSE)=0,"",VLOOKUP($CH415,tblBD_PatronMasa[[Código Patrón]:[mN-(mpe–U95)]],12,FALSE)+731),""),IF(tblTrazabilidad[[#This Row],[Clase]]="F1",IFERROR(IF(VLOOKUP($CH415,tblBD_PatronMasa[[Código Patrón]:[mN-(mpe–U95)]],12,FALSE)=0,"",VLOOKUP($CH415,tblBD_PatronMasa[[Código Patrón]:[mN-(mpe–U95)]],12,FALSE)+731),""),IFERROR(IF(VLOOKUP($CH415,tblBD_PatronMasa[[Código Patrón]:[mN-(mpe–U95)]],12,FALSE)=0,"",VLOOKUP($CH415,tblBD_PatronMasa[[Código Patrón]:[mN-(mpe–U95)]],12,FALSE)+366),"")))</f>
        <v/>
      </c>
      <c r="CM415" s="33" t="str">
        <f>IFERROR(VLOOKUP($CH415,tblBD_PatronMasa[[Código Patrón]:[mN-(mpe–U95)]],3,FALSE),"")</f>
        <v/>
      </c>
      <c r="CS415" s="32"/>
      <c r="CU415"/>
      <c r="DC415" s="1"/>
      <c r="DD415" s="1"/>
      <c r="DF415"/>
      <c r="DG415"/>
    </row>
    <row r="416" spans="85:111" x14ac:dyDescent="0.3">
      <c r="CG416" s="38">
        <v>410</v>
      </c>
      <c r="CH416" s="35">
        <f t="shared" si="20"/>
        <v>0</v>
      </c>
      <c r="CI416" s="35" t="str">
        <f>IF(tblTrazabilidad[[#This Row],[Código]]=0,"",IFERROR(IF(SEARCH("JM",tblTrazabilidad[[#This Row],[Código]])&gt;0,"Juego de pesas",),"Pesa"))</f>
        <v/>
      </c>
      <c r="CJ416" s="35" t="str">
        <f>IFERROR(VLOOKUP($CH416,tblBD_PatronMasa[[Código Patrón]:[mN-(mpe–U95)]],2,FALSE),"")</f>
        <v/>
      </c>
      <c r="CK416" s="35" t="str">
        <f>IFERROR(VLOOKUP($CH416,tblBD_PatronMasa[[Código Patrón]:[mN-(mpe–U95)]],13,FALSE),"")</f>
        <v/>
      </c>
      <c r="CL416" s="34" t="str">
        <f>IF(tblTrazabilidad[[#This Row],[Clase]]="F2",IFERROR(IF(VLOOKUP($CH416,tblBD_PatronMasa[[Código Patrón]:[mN-(mpe–U95)]],12,FALSE)=0,"",VLOOKUP($CH416,tblBD_PatronMasa[[Código Patrón]:[mN-(mpe–U95)]],12,FALSE)+731),""),IF(tblTrazabilidad[[#This Row],[Clase]]="F1",IFERROR(IF(VLOOKUP($CH416,tblBD_PatronMasa[[Código Patrón]:[mN-(mpe–U95)]],12,FALSE)=0,"",VLOOKUP($CH416,tblBD_PatronMasa[[Código Patrón]:[mN-(mpe–U95)]],12,FALSE)+731),""),IFERROR(IF(VLOOKUP($CH416,tblBD_PatronMasa[[Código Patrón]:[mN-(mpe–U95)]],12,FALSE)=0,"",VLOOKUP($CH416,tblBD_PatronMasa[[Código Patrón]:[mN-(mpe–U95)]],12,FALSE)+366),"")))</f>
        <v/>
      </c>
      <c r="CM416" s="33" t="str">
        <f>IFERROR(VLOOKUP($CH416,tblBD_PatronMasa[[Código Patrón]:[mN-(mpe–U95)]],3,FALSE),"")</f>
        <v/>
      </c>
      <c r="CS416" s="32"/>
      <c r="CU416"/>
      <c r="DC416" s="1"/>
      <c r="DD416" s="1"/>
      <c r="DF416"/>
      <c r="DG416"/>
    </row>
    <row r="417" spans="85:111" x14ac:dyDescent="0.3">
      <c r="CG417" s="38">
        <v>411</v>
      </c>
      <c r="CH417" s="35">
        <f t="shared" si="20"/>
        <v>0</v>
      </c>
      <c r="CI417" s="35" t="str">
        <f>IF(tblTrazabilidad[[#This Row],[Código]]=0,"",IFERROR(IF(SEARCH("JM",tblTrazabilidad[[#This Row],[Código]])&gt;0,"Juego de pesas",),"Pesa"))</f>
        <v/>
      </c>
      <c r="CJ417" s="35" t="str">
        <f>IFERROR(VLOOKUP($CH417,tblBD_PatronMasa[[Código Patrón]:[mN-(mpe–U95)]],2,FALSE),"")</f>
        <v/>
      </c>
      <c r="CK417" s="35" t="str">
        <f>IFERROR(VLOOKUP($CH417,tblBD_PatronMasa[[Código Patrón]:[mN-(mpe–U95)]],13,FALSE),"")</f>
        <v/>
      </c>
      <c r="CL417" s="34" t="str">
        <f>IF(tblTrazabilidad[[#This Row],[Clase]]="F2",IFERROR(IF(VLOOKUP($CH417,tblBD_PatronMasa[[Código Patrón]:[mN-(mpe–U95)]],12,FALSE)=0,"",VLOOKUP($CH417,tblBD_PatronMasa[[Código Patrón]:[mN-(mpe–U95)]],12,FALSE)+731),""),IF(tblTrazabilidad[[#This Row],[Clase]]="F1",IFERROR(IF(VLOOKUP($CH417,tblBD_PatronMasa[[Código Patrón]:[mN-(mpe–U95)]],12,FALSE)=0,"",VLOOKUP($CH417,tblBD_PatronMasa[[Código Patrón]:[mN-(mpe–U95)]],12,FALSE)+731),""),IFERROR(IF(VLOOKUP($CH417,tblBD_PatronMasa[[Código Patrón]:[mN-(mpe–U95)]],12,FALSE)=0,"",VLOOKUP($CH417,tblBD_PatronMasa[[Código Patrón]:[mN-(mpe–U95)]],12,FALSE)+366),"")))</f>
        <v/>
      </c>
      <c r="CM417" s="33" t="str">
        <f>IFERROR(VLOOKUP($CH417,tblBD_PatronMasa[[Código Patrón]:[mN-(mpe–U95)]],3,FALSE),"")</f>
        <v/>
      </c>
      <c r="CS417" s="32"/>
      <c r="CU417"/>
      <c r="DC417" s="1"/>
      <c r="DD417" s="1"/>
      <c r="DF417"/>
      <c r="DG417"/>
    </row>
    <row r="418" spans="85:111" x14ac:dyDescent="0.3">
      <c r="CG418" s="38">
        <v>412</v>
      </c>
      <c r="CH418" s="35">
        <f t="shared" si="20"/>
        <v>0</v>
      </c>
      <c r="CI418" s="35" t="str">
        <f>IF(tblTrazabilidad[[#This Row],[Código]]=0,"",IFERROR(IF(SEARCH("JM",tblTrazabilidad[[#This Row],[Código]])&gt;0,"Juego de pesas",),"Pesa"))</f>
        <v/>
      </c>
      <c r="CJ418" s="35" t="str">
        <f>IFERROR(VLOOKUP($CH418,tblBD_PatronMasa[[Código Patrón]:[mN-(mpe–U95)]],2,FALSE),"")</f>
        <v/>
      </c>
      <c r="CK418" s="35" t="str">
        <f>IFERROR(VLOOKUP($CH418,tblBD_PatronMasa[[Código Patrón]:[mN-(mpe–U95)]],13,FALSE),"")</f>
        <v/>
      </c>
      <c r="CL418" s="34" t="str">
        <f>IF(tblTrazabilidad[[#This Row],[Clase]]="F2",IFERROR(IF(VLOOKUP($CH418,tblBD_PatronMasa[[Código Patrón]:[mN-(mpe–U95)]],12,FALSE)=0,"",VLOOKUP($CH418,tblBD_PatronMasa[[Código Patrón]:[mN-(mpe–U95)]],12,FALSE)+731),""),IF(tblTrazabilidad[[#This Row],[Clase]]="F1",IFERROR(IF(VLOOKUP($CH418,tblBD_PatronMasa[[Código Patrón]:[mN-(mpe–U95)]],12,FALSE)=0,"",VLOOKUP($CH418,tblBD_PatronMasa[[Código Patrón]:[mN-(mpe–U95)]],12,FALSE)+731),""),IFERROR(IF(VLOOKUP($CH418,tblBD_PatronMasa[[Código Patrón]:[mN-(mpe–U95)]],12,FALSE)=0,"",VLOOKUP($CH418,tblBD_PatronMasa[[Código Patrón]:[mN-(mpe–U95)]],12,FALSE)+366),"")))</f>
        <v/>
      </c>
      <c r="CM418" s="33" t="str">
        <f>IFERROR(VLOOKUP($CH418,tblBD_PatronMasa[[Código Patrón]:[mN-(mpe–U95)]],3,FALSE),"")</f>
        <v/>
      </c>
      <c r="CS418" s="32"/>
      <c r="CU418"/>
      <c r="DC418" s="1"/>
      <c r="DD418" s="1"/>
      <c r="DF418"/>
      <c r="DG418"/>
    </row>
    <row r="419" spans="85:111" x14ac:dyDescent="0.3">
      <c r="CG419" s="38">
        <v>413</v>
      </c>
      <c r="CH419" s="35">
        <f t="shared" si="20"/>
        <v>0</v>
      </c>
      <c r="CI419" s="35" t="str">
        <f>IF(tblTrazabilidad[[#This Row],[Código]]=0,"",IFERROR(IF(SEARCH("JM",tblTrazabilidad[[#This Row],[Código]])&gt;0,"Juego de pesas",),"Pesa"))</f>
        <v/>
      </c>
      <c r="CJ419" s="35" t="str">
        <f>IFERROR(VLOOKUP($CH419,tblBD_PatronMasa[[Código Patrón]:[mN-(mpe–U95)]],2,FALSE),"")</f>
        <v/>
      </c>
      <c r="CK419" s="35" t="str">
        <f>IFERROR(VLOOKUP($CH419,tblBD_PatronMasa[[Código Patrón]:[mN-(mpe–U95)]],13,FALSE),"")</f>
        <v/>
      </c>
      <c r="CL419" s="34" t="str">
        <f>IF(tblTrazabilidad[[#This Row],[Clase]]="F2",IFERROR(IF(VLOOKUP($CH419,tblBD_PatronMasa[[Código Patrón]:[mN-(mpe–U95)]],12,FALSE)=0,"",VLOOKUP($CH419,tblBD_PatronMasa[[Código Patrón]:[mN-(mpe–U95)]],12,FALSE)+731),""),IF(tblTrazabilidad[[#This Row],[Clase]]="F1",IFERROR(IF(VLOOKUP($CH419,tblBD_PatronMasa[[Código Patrón]:[mN-(mpe–U95)]],12,FALSE)=0,"",VLOOKUP($CH419,tblBD_PatronMasa[[Código Patrón]:[mN-(mpe–U95)]],12,FALSE)+731),""),IFERROR(IF(VLOOKUP($CH419,tblBD_PatronMasa[[Código Patrón]:[mN-(mpe–U95)]],12,FALSE)=0,"",VLOOKUP($CH419,tblBD_PatronMasa[[Código Patrón]:[mN-(mpe–U95)]],12,FALSE)+366),"")))</f>
        <v/>
      </c>
      <c r="CM419" s="33" t="str">
        <f>IFERROR(VLOOKUP($CH419,tblBD_PatronMasa[[Código Patrón]:[mN-(mpe–U95)]],3,FALSE),"")</f>
        <v/>
      </c>
      <c r="CS419" s="32"/>
      <c r="CU419"/>
      <c r="DC419" s="1"/>
      <c r="DD419" s="1"/>
      <c r="DF419"/>
      <c r="DG419"/>
    </row>
    <row r="420" spans="85:111" x14ac:dyDescent="0.3">
      <c r="CG420" s="38">
        <v>414</v>
      </c>
      <c r="CH420" s="35">
        <f t="shared" si="20"/>
        <v>0</v>
      </c>
      <c r="CI420" s="35" t="str">
        <f>IF(tblTrazabilidad[[#This Row],[Código]]=0,"",IFERROR(IF(SEARCH("JM",tblTrazabilidad[[#This Row],[Código]])&gt;0,"Juego de pesas",),"Pesa"))</f>
        <v/>
      </c>
      <c r="CJ420" s="35" t="str">
        <f>IFERROR(VLOOKUP($CH420,tblBD_PatronMasa[[Código Patrón]:[mN-(mpe–U95)]],2,FALSE),"")</f>
        <v/>
      </c>
      <c r="CK420" s="35" t="str">
        <f>IFERROR(VLOOKUP($CH420,tblBD_PatronMasa[[Código Patrón]:[mN-(mpe–U95)]],13,FALSE),"")</f>
        <v/>
      </c>
      <c r="CL420" s="34" t="str">
        <f>IF(tblTrazabilidad[[#This Row],[Clase]]="F2",IFERROR(IF(VLOOKUP($CH420,tblBD_PatronMasa[[Código Patrón]:[mN-(mpe–U95)]],12,FALSE)=0,"",VLOOKUP($CH420,tblBD_PatronMasa[[Código Patrón]:[mN-(mpe–U95)]],12,FALSE)+731),""),IF(tblTrazabilidad[[#This Row],[Clase]]="F1",IFERROR(IF(VLOOKUP($CH420,tblBD_PatronMasa[[Código Patrón]:[mN-(mpe–U95)]],12,FALSE)=0,"",VLOOKUP($CH420,tblBD_PatronMasa[[Código Patrón]:[mN-(mpe–U95)]],12,FALSE)+731),""),IFERROR(IF(VLOOKUP($CH420,tblBD_PatronMasa[[Código Patrón]:[mN-(mpe–U95)]],12,FALSE)=0,"",VLOOKUP($CH420,tblBD_PatronMasa[[Código Patrón]:[mN-(mpe–U95)]],12,FALSE)+366),"")))</f>
        <v/>
      </c>
      <c r="CM420" s="33" t="str">
        <f>IFERROR(VLOOKUP($CH420,tblBD_PatronMasa[[Código Patrón]:[mN-(mpe–U95)]],3,FALSE),"")</f>
        <v/>
      </c>
      <c r="CS420" s="32"/>
      <c r="CU420"/>
      <c r="DC420" s="1"/>
      <c r="DD420" s="1"/>
      <c r="DF420"/>
      <c r="DG420"/>
    </row>
    <row r="421" spans="85:111" x14ac:dyDescent="0.3">
      <c r="CG421" s="38">
        <v>415</v>
      </c>
      <c r="CH421" s="35">
        <f t="shared" si="20"/>
        <v>0</v>
      </c>
      <c r="CI421" s="35" t="str">
        <f>IF(tblTrazabilidad[[#This Row],[Código]]=0,"",IFERROR(IF(SEARCH("JM",tblTrazabilidad[[#This Row],[Código]])&gt;0,"Juego de pesas",),"Pesa"))</f>
        <v/>
      </c>
      <c r="CJ421" s="35" t="str">
        <f>IFERROR(VLOOKUP($CH421,tblBD_PatronMasa[[Código Patrón]:[mN-(mpe–U95)]],2,FALSE),"")</f>
        <v/>
      </c>
      <c r="CK421" s="35" t="str">
        <f>IFERROR(VLOOKUP($CH421,tblBD_PatronMasa[[Código Patrón]:[mN-(mpe–U95)]],13,FALSE),"")</f>
        <v/>
      </c>
      <c r="CL421" s="34" t="str">
        <f>IF(tblTrazabilidad[[#This Row],[Clase]]="F2",IFERROR(IF(VLOOKUP($CH421,tblBD_PatronMasa[[Código Patrón]:[mN-(mpe–U95)]],12,FALSE)=0,"",VLOOKUP($CH421,tblBD_PatronMasa[[Código Patrón]:[mN-(mpe–U95)]],12,FALSE)+731),""),IF(tblTrazabilidad[[#This Row],[Clase]]="F1",IFERROR(IF(VLOOKUP($CH421,tblBD_PatronMasa[[Código Patrón]:[mN-(mpe–U95)]],12,FALSE)=0,"",VLOOKUP($CH421,tblBD_PatronMasa[[Código Patrón]:[mN-(mpe–U95)]],12,FALSE)+731),""),IFERROR(IF(VLOOKUP($CH421,tblBD_PatronMasa[[Código Patrón]:[mN-(mpe–U95)]],12,FALSE)=0,"",VLOOKUP($CH421,tblBD_PatronMasa[[Código Patrón]:[mN-(mpe–U95)]],12,FALSE)+366),"")))</f>
        <v/>
      </c>
      <c r="CM421" s="33" t="str">
        <f>IFERROR(VLOOKUP($CH421,tblBD_PatronMasa[[Código Patrón]:[mN-(mpe–U95)]],3,FALSE),"")</f>
        <v/>
      </c>
      <c r="CS421" s="32"/>
      <c r="CU421"/>
      <c r="DC421" s="1"/>
      <c r="DD421" s="1"/>
      <c r="DF421"/>
      <c r="DG421"/>
    </row>
    <row r="422" spans="85:111" x14ac:dyDescent="0.3">
      <c r="CG422" s="38">
        <v>416</v>
      </c>
      <c r="CH422" s="35">
        <f t="shared" si="20"/>
        <v>0</v>
      </c>
      <c r="CI422" s="35" t="str">
        <f>IF(tblTrazabilidad[[#This Row],[Código]]=0,"",IFERROR(IF(SEARCH("JM",tblTrazabilidad[[#This Row],[Código]])&gt;0,"Juego de pesas",),"Pesa"))</f>
        <v/>
      </c>
      <c r="CJ422" s="35" t="str">
        <f>IFERROR(VLOOKUP($CH422,tblBD_PatronMasa[[Código Patrón]:[mN-(mpe–U95)]],2,FALSE),"")</f>
        <v/>
      </c>
      <c r="CK422" s="35" t="str">
        <f>IFERROR(VLOOKUP($CH422,tblBD_PatronMasa[[Código Patrón]:[mN-(mpe–U95)]],13,FALSE),"")</f>
        <v/>
      </c>
      <c r="CL422" s="34" t="str">
        <f>IF(tblTrazabilidad[[#This Row],[Clase]]="F2",IFERROR(IF(VLOOKUP($CH422,tblBD_PatronMasa[[Código Patrón]:[mN-(mpe–U95)]],12,FALSE)=0,"",VLOOKUP($CH422,tblBD_PatronMasa[[Código Patrón]:[mN-(mpe–U95)]],12,FALSE)+731),""),IF(tblTrazabilidad[[#This Row],[Clase]]="F1",IFERROR(IF(VLOOKUP($CH422,tblBD_PatronMasa[[Código Patrón]:[mN-(mpe–U95)]],12,FALSE)=0,"",VLOOKUP($CH422,tblBD_PatronMasa[[Código Patrón]:[mN-(mpe–U95)]],12,FALSE)+731),""),IFERROR(IF(VLOOKUP($CH422,tblBD_PatronMasa[[Código Patrón]:[mN-(mpe–U95)]],12,FALSE)=0,"",VLOOKUP($CH422,tblBD_PatronMasa[[Código Patrón]:[mN-(mpe–U95)]],12,FALSE)+366),"")))</f>
        <v/>
      </c>
      <c r="CM422" s="33" t="str">
        <f>IFERROR(VLOOKUP($CH422,tblBD_PatronMasa[[Código Patrón]:[mN-(mpe–U95)]],3,FALSE),"")</f>
        <v/>
      </c>
      <c r="CS422" s="32"/>
      <c r="CU422"/>
      <c r="DC422" s="1"/>
      <c r="DD422" s="1"/>
      <c r="DF422"/>
      <c r="DG422"/>
    </row>
    <row r="423" spans="85:111" x14ac:dyDescent="0.3">
      <c r="CG423" s="38">
        <v>417</v>
      </c>
      <c r="CH423" s="35">
        <f t="shared" si="20"/>
        <v>0</v>
      </c>
      <c r="CI423" s="35" t="str">
        <f>IF(tblTrazabilidad[[#This Row],[Código]]=0,"",IFERROR(IF(SEARCH("JM",tblTrazabilidad[[#This Row],[Código]])&gt;0,"Juego de pesas",),"Pesa"))</f>
        <v/>
      </c>
      <c r="CJ423" s="35" t="str">
        <f>IFERROR(VLOOKUP($CH423,tblBD_PatronMasa[[Código Patrón]:[mN-(mpe–U95)]],2,FALSE),"")</f>
        <v/>
      </c>
      <c r="CK423" s="35" t="str">
        <f>IFERROR(VLOOKUP($CH423,tblBD_PatronMasa[[Código Patrón]:[mN-(mpe–U95)]],13,FALSE),"")</f>
        <v/>
      </c>
      <c r="CL423" s="34" t="str">
        <f>IF(tblTrazabilidad[[#This Row],[Clase]]="F2",IFERROR(IF(VLOOKUP($CH423,tblBD_PatronMasa[[Código Patrón]:[mN-(mpe–U95)]],12,FALSE)=0,"",VLOOKUP($CH423,tblBD_PatronMasa[[Código Patrón]:[mN-(mpe–U95)]],12,FALSE)+731),""),IF(tblTrazabilidad[[#This Row],[Clase]]="F1",IFERROR(IF(VLOOKUP($CH423,tblBD_PatronMasa[[Código Patrón]:[mN-(mpe–U95)]],12,FALSE)=0,"",VLOOKUP($CH423,tblBD_PatronMasa[[Código Patrón]:[mN-(mpe–U95)]],12,FALSE)+731),""),IFERROR(IF(VLOOKUP($CH423,tblBD_PatronMasa[[Código Patrón]:[mN-(mpe–U95)]],12,FALSE)=0,"",VLOOKUP($CH423,tblBD_PatronMasa[[Código Patrón]:[mN-(mpe–U95)]],12,FALSE)+366),"")))</f>
        <v/>
      </c>
      <c r="CM423" s="33" t="str">
        <f>IFERROR(VLOOKUP($CH423,tblBD_PatronMasa[[Código Patrón]:[mN-(mpe–U95)]],3,FALSE),"")</f>
        <v/>
      </c>
      <c r="CS423" s="32"/>
      <c r="CU423"/>
      <c r="DC423" s="1"/>
      <c r="DD423" s="1"/>
      <c r="DF423"/>
      <c r="DG423"/>
    </row>
    <row r="424" spans="85:111" x14ac:dyDescent="0.3">
      <c r="CG424" s="38">
        <v>418</v>
      </c>
      <c r="CH424" s="35">
        <f t="shared" si="20"/>
        <v>0</v>
      </c>
      <c r="CI424" s="35" t="str">
        <f>IF(tblTrazabilidad[[#This Row],[Código]]=0,"",IFERROR(IF(SEARCH("JM",tblTrazabilidad[[#This Row],[Código]])&gt;0,"Juego de pesas",),"Pesa"))</f>
        <v/>
      </c>
      <c r="CJ424" s="35" t="str">
        <f>IFERROR(VLOOKUP($CH424,tblBD_PatronMasa[[Código Patrón]:[mN-(mpe–U95)]],2,FALSE),"")</f>
        <v/>
      </c>
      <c r="CK424" s="35" t="str">
        <f>IFERROR(VLOOKUP($CH424,tblBD_PatronMasa[[Código Patrón]:[mN-(mpe–U95)]],13,FALSE),"")</f>
        <v/>
      </c>
      <c r="CL424" s="34" t="str">
        <f>IF(tblTrazabilidad[[#This Row],[Clase]]="F2",IFERROR(IF(VLOOKUP($CH424,tblBD_PatronMasa[[Código Patrón]:[mN-(mpe–U95)]],12,FALSE)=0,"",VLOOKUP($CH424,tblBD_PatronMasa[[Código Patrón]:[mN-(mpe–U95)]],12,FALSE)+731),""),IF(tblTrazabilidad[[#This Row],[Clase]]="F1",IFERROR(IF(VLOOKUP($CH424,tblBD_PatronMasa[[Código Patrón]:[mN-(mpe–U95)]],12,FALSE)=0,"",VLOOKUP($CH424,tblBD_PatronMasa[[Código Patrón]:[mN-(mpe–U95)]],12,FALSE)+731),""),IFERROR(IF(VLOOKUP($CH424,tblBD_PatronMasa[[Código Patrón]:[mN-(mpe–U95)]],12,FALSE)=0,"",VLOOKUP($CH424,tblBD_PatronMasa[[Código Patrón]:[mN-(mpe–U95)]],12,FALSE)+366),"")))</f>
        <v/>
      </c>
      <c r="CM424" s="33" t="str">
        <f>IFERROR(VLOOKUP($CH424,tblBD_PatronMasa[[Código Patrón]:[mN-(mpe–U95)]],3,FALSE),"")</f>
        <v/>
      </c>
      <c r="CS424" s="32"/>
      <c r="CU424"/>
      <c r="DC424" s="1"/>
      <c r="DD424" s="1"/>
      <c r="DF424"/>
      <c r="DG424"/>
    </row>
    <row r="425" spans="85:111" x14ac:dyDescent="0.3">
      <c r="CG425" s="38">
        <v>419</v>
      </c>
      <c r="CH425" s="35">
        <f t="shared" si="20"/>
        <v>0</v>
      </c>
      <c r="CI425" s="35" t="str">
        <f>IF(tblTrazabilidad[[#This Row],[Código]]=0,"",IFERROR(IF(SEARCH("JM",tblTrazabilidad[[#This Row],[Código]])&gt;0,"Juego de pesas",),"Pesa"))</f>
        <v/>
      </c>
      <c r="CJ425" s="35" t="str">
        <f>IFERROR(VLOOKUP($CH425,tblBD_PatronMasa[[Código Patrón]:[mN-(mpe–U95)]],2,FALSE),"")</f>
        <v/>
      </c>
      <c r="CK425" s="35" t="str">
        <f>IFERROR(VLOOKUP($CH425,tblBD_PatronMasa[[Código Patrón]:[mN-(mpe–U95)]],13,FALSE),"")</f>
        <v/>
      </c>
      <c r="CL425" s="34" t="str">
        <f>IF(tblTrazabilidad[[#This Row],[Clase]]="F2",IFERROR(IF(VLOOKUP($CH425,tblBD_PatronMasa[[Código Patrón]:[mN-(mpe–U95)]],12,FALSE)=0,"",VLOOKUP($CH425,tblBD_PatronMasa[[Código Patrón]:[mN-(mpe–U95)]],12,FALSE)+731),""),IF(tblTrazabilidad[[#This Row],[Clase]]="F1",IFERROR(IF(VLOOKUP($CH425,tblBD_PatronMasa[[Código Patrón]:[mN-(mpe–U95)]],12,FALSE)=0,"",VLOOKUP($CH425,tblBD_PatronMasa[[Código Patrón]:[mN-(mpe–U95)]],12,FALSE)+731),""),IFERROR(IF(VLOOKUP($CH425,tblBD_PatronMasa[[Código Patrón]:[mN-(mpe–U95)]],12,FALSE)=0,"",VLOOKUP($CH425,tblBD_PatronMasa[[Código Patrón]:[mN-(mpe–U95)]],12,FALSE)+366),"")))</f>
        <v/>
      </c>
      <c r="CM425" s="33" t="str">
        <f>IFERROR(VLOOKUP($CH425,tblBD_PatronMasa[[Código Patrón]:[mN-(mpe–U95)]],3,FALSE),"")</f>
        <v/>
      </c>
      <c r="CS425" s="32"/>
      <c r="CU425"/>
      <c r="DC425" s="1"/>
      <c r="DD425" s="1"/>
      <c r="DF425"/>
      <c r="DG425"/>
    </row>
    <row r="426" spans="85:111" x14ac:dyDescent="0.3">
      <c r="CG426" s="38">
        <v>420</v>
      </c>
      <c r="CH426" s="35">
        <f t="shared" si="20"/>
        <v>0</v>
      </c>
      <c r="CI426" s="35" t="str">
        <f>IF(tblTrazabilidad[[#This Row],[Código]]=0,"",IFERROR(IF(SEARCH("JM",tblTrazabilidad[[#This Row],[Código]])&gt;0,"Juego de pesas",),"Pesa"))</f>
        <v/>
      </c>
      <c r="CJ426" s="35" t="str">
        <f>IFERROR(VLOOKUP($CH426,tblBD_PatronMasa[[Código Patrón]:[mN-(mpe–U95)]],2,FALSE),"")</f>
        <v/>
      </c>
      <c r="CK426" s="35" t="str">
        <f>IFERROR(VLOOKUP($CH426,tblBD_PatronMasa[[Código Patrón]:[mN-(mpe–U95)]],13,FALSE),"")</f>
        <v/>
      </c>
      <c r="CL426" s="34" t="str">
        <f>IF(tblTrazabilidad[[#This Row],[Clase]]="F2",IFERROR(IF(VLOOKUP($CH426,tblBD_PatronMasa[[Código Patrón]:[mN-(mpe–U95)]],12,FALSE)=0,"",VLOOKUP($CH426,tblBD_PatronMasa[[Código Patrón]:[mN-(mpe–U95)]],12,FALSE)+731),""),IF(tblTrazabilidad[[#This Row],[Clase]]="F1",IFERROR(IF(VLOOKUP($CH426,tblBD_PatronMasa[[Código Patrón]:[mN-(mpe–U95)]],12,FALSE)=0,"",VLOOKUP($CH426,tblBD_PatronMasa[[Código Patrón]:[mN-(mpe–U95)]],12,FALSE)+731),""),IFERROR(IF(VLOOKUP($CH426,tblBD_PatronMasa[[Código Patrón]:[mN-(mpe–U95)]],12,FALSE)=0,"",VLOOKUP($CH426,tblBD_PatronMasa[[Código Patrón]:[mN-(mpe–U95)]],12,FALSE)+366),"")))</f>
        <v/>
      </c>
      <c r="CM426" s="33" t="str">
        <f>IFERROR(VLOOKUP($CH426,tblBD_PatronMasa[[Código Patrón]:[mN-(mpe–U95)]],3,FALSE),"")</f>
        <v/>
      </c>
      <c r="CS426" s="32"/>
      <c r="CU426"/>
      <c r="DC426" s="1"/>
      <c r="DD426" s="1"/>
      <c r="DF426"/>
      <c r="DG426"/>
    </row>
    <row r="427" spans="85:111" x14ac:dyDescent="0.3">
      <c r="CG427" s="38">
        <v>421</v>
      </c>
      <c r="CH427" s="35">
        <f t="shared" si="20"/>
        <v>0</v>
      </c>
      <c r="CI427" s="35" t="str">
        <f>IF(tblTrazabilidad[[#This Row],[Código]]=0,"",IFERROR(IF(SEARCH("JM",tblTrazabilidad[[#This Row],[Código]])&gt;0,"Juego de pesas",),"Pesa"))</f>
        <v/>
      </c>
      <c r="CJ427" s="35" t="str">
        <f>IFERROR(VLOOKUP($CH427,tblBD_PatronMasa[[Código Patrón]:[mN-(mpe–U95)]],2,FALSE),"")</f>
        <v/>
      </c>
      <c r="CK427" s="35" t="str">
        <f>IFERROR(VLOOKUP($CH427,tblBD_PatronMasa[[Código Patrón]:[mN-(mpe–U95)]],13,FALSE),"")</f>
        <v/>
      </c>
      <c r="CL427" s="34" t="str">
        <f>IF(tblTrazabilidad[[#This Row],[Clase]]="F2",IFERROR(IF(VLOOKUP($CH427,tblBD_PatronMasa[[Código Patrón]:[mN-(mpe–U95)]],12,FALSE)=0,"",VLOOKUP($CH427,tblBD_PatronMasa[[Código Patrón]:[mN-(mpe–U95)]],12,FALSE)+731),""),IF(tblTrazabilidad[[#This Row],[Clase]]="F1",IFERROR(IF(VLOOKUP($CH427,tblBD_PatronMasa[[Código Patrón]:[mN-(mpe–U95)]],12,FALSE)=0,"",VLOOKUP($CH427,tblBD_PatronMasa[[Código Patrón]:[mN-(mpe–U95)]],12,FALSE)+731),""),IFERROR(IF(VLOOKUP($CH427,tblBD_PatronMasa[[Código Patrón]:[mN-(mpe–U95)]],12,FALSE)=0,"",VLOOKUP($CH427,tblBD_PatronMasa[[Código Patrón]:[mN-(mpe–U95)]],12,FALSE)+366),"")))</f>
        <v/>
      </c>
      <c r="CM427" s="33" t="str">
        <f>IFERROR(VLOOKUP($CH427,tblBD_PatronMasa[[Código Patrón]:[mN-(mpe–U95)]],3,FALSE),"")</f>
        <v/>
      </c>
      <c r="CS427" s="32"/>
      <c r="CU427"/>
      <c r="DC427" s="1"/>
      <c r="DD427" s="1"/>
      <c r="DF427"/>
      <c r="DG427"/>
    </row>
    <row r="428" spans="85:111" x14ac:dyDescent="0.3">
      <c r="CG428" s="38">
        <v>422</v>
      </c>
      <c r="CH428" s="35">
        <f t="shared" si="20"/>
        <v>0</v>
      </c>
      <c r="CI428" s="35" t="str">
        <f>IF(tblTrazabilidad[[#This Row],[Código]]=0,"",IFERROR(IF(SEARCH("JM",tblTrazabilidad[[#This Row],[Código]])&gt;0,"Juego de pesas",),"Pesa"))</f>
        <v/>
      </c>
      <c r="CJ428" s="35" t="str">
        <f>IFERROR(VLOOKUP($CH428,tblBD_PatronMasa[[Código Patrón]:[mN-(mpe–U95)]],2,FALSE),"")</f>
        <v/>
      </c>
      <c r="CK428" s="35" t="str">
        <f>IFERROR(VLOOKUP($CH428,tblBD_PatronMasa[[Código Patrón]:[mN-(mpe–U95)]],13,FALSE),"")</f>
        <v/>
      </c>
      <c r="CL428" s="34" t="str">
        <f>IF(tblTrazabilidad[[#This Row],[Clase]]="F2",IFERROR(IF(VLOOKUP($CH428,tblBD_PatronMasa[[Código Patrón]:[mN-(mpe–U95)]],12,FALSE)=0,"",VLOOKUP($CH428,tblBD_PatronMasa[[Código Patrón]:[mN-(mpe–U95)]],12,FALSE)+731),""),IF(tblTrazabilidad[[#This Row],[Clase]]="F1",IFERROR(IF(VLOOKUP($CH428,tblBD_PatronMasa[[Código Patrón]:[mN-(mpe–U95)]],12,FALSE)=0,"",VLOOKUP($CH428,tblBD_PatronMasa[[Código Patrón]:[mN-(mpe–U95)]],12,FALSE)+731),""),IFERROR(IF(VLOOKUP($CH428,tblBD_PatronMasa[[Código Patrón]:[mN-(mpe–U95)]],12,FALSE)=0,"",VLOOKUP($CH428,tblBD_PatronMasa[[Código Patrón]:[mN-(mpe–U95)]],12,FALSE)+366),"")))</f>
        <v/>
      </c>
      <c r="CM428" s="33" t="str">
        <f>IFERROR(VLOOKUP($CH428,tblBD_PatronMasa[[Código Patrón]:[mN-(mpe–U95)]],3,FALSE),"")</f>
        <v/>
      </c>
      <c r="CS428" s="32"/>
      <c r="CU428"/>
      <c r="DC428" s="1"/>
      <c r="DD428" s="1"/>
      <c r="DF428"/>
      <c r="DG428"/>
    </row>
    <row r="429" spans="85:111" x14ac:dyDescent="0.3">
      <c r="CG429" s="38">
        <v>423</v>
      </c>
      <c r="CH429" s="35">
        <f t="shared" si="20"/>
        <v>0</v>
      </c>
      <c r="CI429" s="35" t="str">
        <f>IF(tblTrazabilidad[[#This Row],[Código]]=0,"",IFERROR(IF(SEARCH("JM",tblTrazabilidad[[#This Row],[Código]])&gt;0,"Juego de pesas",),"Pesa"))</f>
        <v/>
      </c>
      <c r="CJ429" s="35" t="str">
        <f>IFERROR(VLOOKUP($CH429,tblBD_PatronMasa[[Código Patrón]:[mN-(mpe–U95)]],2,FALSE),"")</f>
        <v/>
      </c>
      <c r="CK429" s="35" t="str">
        <f>IFERROR(VLOOKUP($CH429,tblBD_PatronMasa[[Código Patrón]:[mN-(mpe–U95)]],13,FALSE),"")</f>
        <v/>
      </c>
      <c r="CL429" s="34" t="str">
        <f>IF(tblTrazabilidad[[#This Row],[Clase]]="F2",IFERROR(IF(VLOOKUP($CH429,tblBD_PatronMasa[[Código Patrón]:[mN-(mpe–U95)]],12,FALSE)=0,"",VLOOKUP($CH429,tblBD_PatronMasa[[Código Patrón]:[mN-(mpe–U95)]],12,FALSE)+731),""),IF(tblTrazabilidad[[#This Row],[Clase]]="F1",IFERROR(IF(VLOOKUP($CH429,tblBD_PatronMasa[[Código Patrón]:[mN-(mpe–U95)]],12,FALSE)=0,"",VLOOKUP($CH429,tblBD_PatronMasa[[Código Patrón]:[mN-(mpe–U95)]],12,FALSE)+731),""),IFERROR(IF(VLOOKUP($CH429,tblBD_PatronMasa[[Código Patrón]:[mN-(mpe–U95)]],12,FALSE)=0,"",VLOOKUP($CH429,tblBD_PatronMasa[[Código Patrón]:[mN-(mpe–U95)]],12,FALSE)+366),"")))</f>
        <v/>
      </c>
      <c r="CM429" s="33" t="str">
        <f>IFERROR(VLOOKUP($CH429,tblBD_PatronMasa[[Código Patrón]:[mN-(mpe–U95)]],3,FALSE),"")</f>
        <v/>
      </c>
      <c r="CS429" s="32"/>
      <c r="CU429"/>
      <c r="DC429" s="1"/>
      <c r="DD429" s="1"/>
      <c r="DF429"/>
      <c r="DG429"/>
    </row>
    <row r="430" spans="85:111" x14ac:dyDescent="0.3">
      <c r="CG430" s="38">
        <v>424</v>
      </c>
      <c r="CH430" s="35">
        <f t="shared" si="20"/>
        <v>0</v>
      </c>
      <c r="CI430" s="35" t="str">
        <f>IF(tblTrazabilidad[[#This Row],[Código]]=0,"",IFERROR(IF(SEARCH("JM",tblTrazabilidad[[#This Row],[Código]])&gt;0,"Juego de pesas",),"Pesa"))</f>
        <v/>
      </c>
      <c r="CJ430" s="35" t="str">
        <f>IFERROR(VLOOKUP($CH430,tblBD_PatronMasa[[Código Patrón]:[mN-(mpe–U95)]],2,FALSE),"")</f>
        <v/>
      </c>
      <c r="CK430" s="35" t="str">
        <f>IFERROR(VLOOKUP($CH430,tblBD_PatronMasa[[Código Patrón]:[mN-(mpe–U95)]],13,FALSE),"")</f>
        <v/>
      </c>
      <c r="CL430" s="34" t="str">
        <f>IF(tblTrazabilidad[[#This Row],[Clase]]="F2",IFERROR(IF(VLOOKUP($CH430,tblBD_PatronMasa[[Código Patrón]:[mN-(mpe–U95)]],12,FALSE)=0,"",VLOOKUP($CH430,tblBD_PatronMasa[[Código Patrón]:[mN-(mpe–U95)]],12,FALSE)+731),""),IF(tblTrazabilidad[[#This Row],[Clase]]="F1",IFERROR(IF(VLOOKUP($CH430,tblBD_PatronMasa[[Código Patrón]:[mN-(mpe–U95)]],12,FALSE)=0,"",VLOOKUP($CH430,tblBD_PatronMasa[[Código Patrón]:[mN-(mpe–U95)]],12,FALSE)+731),""),IFERROR(IF(VLOOKUP($CH430,tblBD_PatronMasa[[Código Patrón]:[mN-(mpe–U95)]],12,FALSE)=0,"",VLOOKUP($CH430,tblBD_PatronMasa[[Código Patrón]:[mN-(mpe–U95)]],12,FALSE)+366),"")))</f>
        <v/>
      </c>
      <c r="CM430" s="33" t="str">
        <f>IFERROR(VLOOKUP($CH430,tblBD_PatronMasa[[Código Patrón]:[mN-(mpe–U95)]],3,FALSE),"")</f>
        <v/>
      </c>
      <c r="CS430" s="32"/>
      <c r="CU430"/>
      <c r="DC430" s="1"/>
      <c r="DD430" s="1"/>
      <c r="DF430"/>
      <c r="DG430"/>
    </row>
    <row r="431" spans="85:111" x14ac:dyDescent="0.3">
      <c r="CG431" s="38">
        <v>425</v>
      </c>
      <c r="CH431" s="35">
        <f t="shared" si="20"/>
        <v>0</v>
      </c>
      <c r="CI431" s="35" t="str">
        <f>IF(tblTrazabilidad[[#This Row],[Código]]=0,"",IFERROR(IF(SEARCH("JM",tblTrazabilidad[[#This Row],[Código]])&gt;0,"Juego de pesas",),"Pesa"))</f>
        <v/>
      </c>
      <c r="CJ431" s="35" t="str">
        <f>IFERROR(VLOOKUP($CH431,tblBD_PatronMasa[[Código Patrón]:[mN-(mpe–U95)]],2,FALSE),"")</f>
        <v/>
      </c>
      <c r="CK431" s="35" t="str">
        <f>IFERROR(VLOOKUP($CH431,tblBD_PatronMasa[[Código Patrón]:[mN-(mpe–U95)]],13,FALSE),"")</f>
        <v/>
      </c>
      <c r="CL431" s="34" t="str">
        <f>IF(tblTrazabilidad[[#This Row],[Clase]]="F2",IFERROR(IF(VLOOKUP($CH431,tblBD_PatronMasa[[Código Patrón]:[mN-(mpe–U95)]],12,FALSE)=0,"",VLOOKUP($CH431,tblBD_PatronMasa[[Código Patrón]:[mN-(mpe–U95)]],12,FALSE)+731),""),IF(tblTrazabilidad[[#This Row],[Clase]]="F1",IFERROR(IF(VLOOKUP($CH431,tblBD_PatronMasa[[Código Patrón]:[mN-(mpe–U95)]],12,FALSE)=0,"",VLOOKUP($CH431,tblBD_PatronMasa[[Código Patrón]:[mN-(mpe–U95)]],12,FALSE)+731),""),IFERROR(IF(VLOOKUP($CH431,tblBD_PatronMasa[[Código Patrón]:[mN-(mpe–U95)]],12,FALSE)=0,"",VLOOKUP($CH431,tblBD_PatronMasa[[Código Patrón]:[mN-(mpe–U95)]],12,FALSE)+366),"")))</f>
        <v/>
      </c>
      <c r="CM431" s="33" t="str">
        <f>IFERROR(VLOOKUP($CH431,tblBD_PatronMasa[[Código Patrón]:[mN-(mpe–U95)]],3,FALSE),"")</f>
        <v/>
      </c>
      <c r="CS431" s="32"/>
      <c r="CU431"/>
      <c r="DC431" s="1"/>
      <c r="DD431" s="1"/>
      <c r="DF431"/>
      <c r="DG431"/>
    </row>
    <row r="432" spans="85:111" x14ac:dyDescent="0.3">
      <c r="CG432" s="38">
        <v>426</v>
      </c>
      <c r="CH432" s="35">
        <f t="shared" si="20"/>
        <v>0</v>
      </c>
      <c r="CI432" s="35" t="str">
        <f>IF(tblTrazabilidad[[#This Row],[Código]]=0,"",IFERROR(IF(SEARCH("JM",tblTrazabilidad[[#This Row],[Código]])&gt;0,"Juego de pesas",),"Pesa"))</f>
        <v/>
      </c>
      <c r="CJ432" s="35" t="str">
        <f>IFERROR(VLOOKUP($CH432,tblBD_PatronMasa[[Código Patrón]:[mN-(mpe–U95)]],2,FALSE),"")</f>
        <v/>
      </c>
      <c r="CK432" s="35" t="str">
        <f>IFERROR(VLOOKUP($CH432,tblBD_PatronMasa[[Código Patrón]:[mN-(mpe–U95)]],13,FALSE),"")</f>
        <v/>
      </c>
      <c r="CL432" s="34" t="str">
        <f>IF(tblTrazabilidad[[#This Row],[Clase]]="F2",IFERROR(IF(VLOOKUP($CH432,tblBD_PatronMasa[[Código Patrón]:[mN-(mpe–U95)]],12,FALSE)=0,"",VLOOKUP($CH432,tblBD_PatronMasa[[Código Patrón]:[mN-(mpe–U95)]],12,FALSE)+731),""),IF(tblTrazabilidad[[#This Row],[Clase]]="F1",IFERROR(IF(VLOOKUP($CH432,tblBD_PatronMasa[[Código Patrón]:[mN-(mpe–U95)]],12,FALSE)=0,"",VLOOKUP($CH432,tblBD_PatronMasa[[Código Patrón]:[mN-(mpe–U95)]],12,FALSE)+731),""),IFERROR(IF(VLOOKUP($CH432,tblBD_PatronMasa[[Código Patrón]:[mN-(mpe–U95)]],12,FALSE)=0,"",VLOOKUP($CH432,tblBD_PatronMasa[[Código Patrón]:[mN-(mpe–U95)]],12,FALSE)+366),"")))</f>
        <v/>
      </c>
      <c r="CM432" s="33" t="str">
        <f>IFERROR(VLOOKUP($CH432,tblBD_PatronMasa[[Código Patrón]:[mN-(mpe–U95)]],3,FALSE),"")</f>
        <v/>
      </c>
      <c r="CS432" s="32"/>
      <c r="CU432"/>
      <c r="DC432" s="1"/>
      <c r="DD432" s="1"/>
      <c r="DF432"/>
      <c r="DG432"/>
    </row>
    <row r="433" spans="85:111" x14ac:dyDescent="0.3">
      <c r="CG433" s="38">
        <v>427</v>
      </c>
      <c r="CH433" s="35">
        <f t="shared" si="20"/>
        <v>0</v>
      </c>
      <c r="CI433" s="35" t="str">
        <f>IF(tblTrazabilidad[[#This Row],[Código]]=0,"",IFERROR(IF(SEARCH("JM",tblTrazabilidad[[#This Row],[Código]])&gt;0,"Juego de pesas",),"Pesa"))</f>
        <v/>
      </c>
      <c r="CJ433" s="35" t="str">
        <f>IFERROR(VLOOKUP($CH433,tblBD_PatronMasa[[Código Patrón]:[mN-(mpe–U95)]],2,FALSE),"")</f>
        <v/>
      </c>
      <c r="CK433" s="35" t="str">
        <f>IFERROR(VLOOKUP($CH433,tblBD_PatronMasa[[Código Patrón]:[mN-(mpe–U95)]],13,FALSE),"")</f>
        <v/>
      </c>
      <c r="CL433" s="34" t="str">
        <f>IF(tblTrazabilidad[[#This Row],[Clase]]="F2",IFERROR(IF(VLOOKUP($CH433,tblBD_PatronMasa[[Código Patrón]:[mN-(mpe–U95)]],12,FALSE)=0,"",VLOOKUP($CH433,tblBD_PatronMasa[[Código Patrón]:[mN-(mpe–U95)]],12,FALSE)+731),""),IF(tblTrazabilidad[[#This Row],[Clase]]="F1",IFERROR(IF(VLOOKUP($CH433,tblBD_PatronMasa[[Código Patrón]:[mN-(mpe–U95)]],12,FALSE)=0,"",VLOOKUP($CH433,tblBD_PatronMasa[[Código Patrón]:[mN-(mpe–U95)]],12,FALSE)+731),""),IFERROR(IF(VLOOKUP($CH433,tblBD_PatronMasa[[Código Patrón]:[mN-(mpe–U95)]],12,FALSE)=0,"",VLOOKUP($CH433,tblBD_PatronMasa[[Código Patrón]:[mN-(mpe–U95)]],12,FALSE)+366),"")))</f>
        <v/>
      </c>
      <c r="CM433" s="33" t="str">
        <f>IFERROR(VLOOKUP($CH433,tblBD_PatronMasa[[Código Patrón]:[mN-(mpe–U95)]],3,FALSE),"")</f>
        <v/>
      </c>
      <c r="CS433" s="32"/>
      <c r="CU433"/>
      <c r="DC433" s="1"/>
      <c r="DD433" s="1"/>
      <c r="DF433"/>
      <c r="DG433"/>
    </row>
    <row r="434" spans="85:111" x14ac:dyDescent="0.3">
      <c r="CG434" s="38">
        <v>428</v>
      </c>
      <c r="CH434" s="35">
        <f t="shared" si="20"/>
        <v>0</v>
      </c>
      <c r="CI434" s="35" t="str">
        <f>IF(tblTrazabilidad[[#This Row],[Código]]=0,"",IFERROR(IF(SEARCH("JM",tblTrazabilidad[[#This Row],[Código]])&gt;0,"Juego de pesas",),"Pesa"))</f>
        <v/>
      </c>
      <c r="CJ434" s="35" t="str">
        <f>IFERROR(VLOOKUP($CH434,tblBD_PatronMasa[[Código Patrón]:[mN-(mpe–U95)]],2,FALSE),"")</f>
        <v/>
      </c>
      <c r="CK434" s="35" t="str">
        <f>IFERROR(VLOOKUP($CH434,tblBD_PatronMasa[[Código Patrón]:[mN-(mpe–U95)]],13,FALSE),"")</f>
        <v/>
      </c>
      <c r="CL434" s="34" t="str">
        <f>IF(tblTrazabilidad[[#This Row],[Clase]]="F2",IFERROR(IF(VLOOKUP($CH434,tblBD_PatronMasa[[Código Patrón]:[mN-(mpe–U95)]],12,FALSE)=0,"",VLOOKUP($CH434,tblBD_PatronMasa[[Código Patrón]:[mN-(mpe–U95)]],12,FALSE)+731),""),IF(tblTrazabilidad[[#This Row],[Clase]]="F1",IFERROR(IF(VLOOKUP($CH434,tblBD_PatronMasa[[Código Patrón]:[mN-(mpe–U95)]],12,FALSE)=0,"",VLOOKUP($CH434,tblBD_PatronMasa[[Código Patrón]:[mN-(mpe–U95)]],12,FALSE)+731),""),IFERROR(IF(VLOOKUP($CH434,tblBD_PatronMasa[[Código Patrón]:[mN-(mpe–U95)]],12,FALSE)=0,"",VLOOKUP($CH434,tblBD_PatronMasa[[Código Patrón]:[mN-(mpe–U95)]],12,FALSE)+366),"")))</f>
        <v/>
      </c>
      <c r="CM434" s="33" t="str">
        <f>IFERROR(VLOOKUP($CH434,tblBD_PatronMasa[[Código Patrón]:[mN-(mpe–U95)]],3,FALSE),"")</f>
        <v/>
      </c>
      <c r="CS434" s="32"/>
      <c r="CU434"/>
      <c r="DC434" s="1"/>
      <c r="DD434" s="1"/>
      <c r="DF434"/>
      <c r="DG434"/>
    </row>
    <row r="435" spans="85:111" x14ac:dyDescent="0.3">
      <c r="CG435" s="38">
        <v>429</v>
      </c>
      <c r="CH435" s="35">
        <f t="shared" si="20"/>
        <v>0</v>
      </c>
      <c r="CI435" s="35" t="str">
        <f>IF(tblTrazabilidad[[#This Row],[Código]]=0,"",IFERROR(IF(SEARCH("JM",tblTrazabilidad[[#This Row],[Código]])&gt;0,"Juego de pesas",),"Pesa"))</f>
        <v/>
      </c>
      <c r="CJ435" s="35" t="str">
        <f>IFERROR(VLOOKUP($CH435,tblBD_PatronMasa[[Código Patrón]:[mN-(mpe–U95)]],2,FALSE),"")</f>
        <v/>
      </c>
      <c r="CK435" s="35" t="str">
        <f>IFERROR(VLOOKUP($CH435,tblBD_PatronMasa[[Código Patrón]:[mN-(mpe–U95)]],13,FALSE),"")</f>
        <v/>
      </c>
      <c r="CL435" s="34" t="str">
        <f>IF(tblTrazabilidad[[#This Row],[Clase]]="F2",IFERROR(IF(VLOOKUP($CH435,tblBD_PatronMasa[[Código Patrón]:[mN-(mpe–U95)]],12,FALSE)=0,"",VLOOKUP($CH435,tblBD_PatronMasa[[Código Patrón]:[mN-(mpe–U95)]],12,FALSE)+731),""),IF(tblTrazabilidad[[#This Row],[Clase]]="F1",IFERROR(IF(VLOOKUP($CH435,tblBD_PatronMasa[[Código Patrón]:[mN-(mpe–U95)]],12,FALSE)=0,"",VLOOKUP($CH435,tblBD_PatronMasa[[Código Patrón]:[mN-(mpe–U95)]],12,FALSE)+731),""),IFERROR(IF(VLOOKUP($CH435,tblBD_PatronMasa[[Código Patrón]:[mN-(mpe–U95)]],12,FALSE)=0,"",VLOOKUP($CH435,tblBD_PatronMasa[[Código Patrón]:[mN-(mpe–U95)]],12,FALSE)+366),"")))</f>
        <v/>
      </c>
      <c r="CM435" s="33" t="str">
        <f>IFERROR(VLOOKUP($CH435,tblBD_PatronMasa[[Código Patrón]:[mN-(mpe–U95)]],3,FALSE),"")</f>
        <v/>
      </c>
      <c r="CS435" s="32"/>
      <c r="CU435"/>
      <c r="DC435" s="1"/>
      <c r="DD435" s="1"/>
      <c r="DF435"/>
      <c r="DG435"/>
    </row>
    <row r="436" spans="85:111" x14ac:dyDescent="0.3">
      <c r="CG436" s="38">
        <v>430</v>
      </c>
      <c r="CH436" s="35">
        <f t="shared" si="20"/>
        <v>0</v>
      </c>
      <c r="CI436" s="35" t="str">
        <f>IF(tblTrazabilidad[[#This Row],[Código]]=0,"",IFERROR(IF(SEARCH("JM",tblTrazabilidad[[#This Row],[Código]])&gt;0,"Juego de pesas",),"Pesa"))</f>
        <v/>
      </c>
      <c r="CJ436" s="35" t="str">
        <f>IFERROR(VLOOKUP($CH436,tblBD_PatronMasa[[Código Patrón]:[mN-(mpe–U95)]],2,FALSE),"")</f>
        <v/>
      </c>
      <c r="CK436" s="35" t="str">
        <f>IFERROR(VLOOKUP($CH436,tblBD_PatronMasa[[Código Patrón]:[mN-(mpe–U95)]],13,FALSE),"")</f>
        <v/>
      </c>
      <c r="CL436" s="34" t="str">
        <f>IF(tblTrazabilidad[[#This Row],[Clase]]="F2",IFERROR(IF(VLOOKUP($CH436,tblBD_PatronMasa[[Código Patrón]:[mN-(mpe–U95)]],12,FALSE)=0,"",VLOOKUP($CH436,tblBD_PatronMasa[[Código Patrón]:[mN-(mpe–U95)]],12,FALSE)+731),""),IF(tblTrazabilidad[[#This Row],[Clase]]="F1",IFERROR(IF(VLOOKUP($CH436,tblBD_PatronMasa[[Código Patrón]:[mN-(mpe–U95)]],12,FALSE)=0,"",VLOOKUP($CH436,tblBD_PatronMasa[[Código Patrón]:[mN-(mpe–U95)]],12,FALSE)+731),""),IFERROR(IF(VLOOKUP($CH436,tblBD_PatronMasa[[Código Patrón]:[mN-(mpe–U95)]],12,FALSE)=0,"",VLOOKUP($CH436,tblBD_PatronMasa[[Código Patrón]:[mN-(mpe–U95)]],12,FALSE)+366),"")))</f>
        <v/>
      </c>
      <c r="CM436" s="33" t="str">
        <f>IFERROR(VLOOKUP($CH436,tblBD_PatronMasa[[Código Patrón]:[mN-(mpe–U95)]],3,FALSE),"")</f>
        <v/>
      </c>
      <c r="CS436" s="32"/>
      <c r="CU436"/>
      <c r="DC436" s="1"/>
      <c r="DD436" s="1"/>
      <c r="DF436"/>
      <c r="DG436"/>
    </row>
    <row r="437" spans="85:111" x14ac:dyDescent="0.3">
      <c r="CG437" s="38">
        <v>431</v>
      </c>
      <c r="CH437" s="35">
        <f t="shared" si="20"/>
        <v>0</v>
      </c>
      <c r="CI437" s="35" t="str">
        <f>IF(tblTrazabilidad[[#This Row],[Código]]=0,"",IFERROR(IF(SEARCH("JM",tblTrazabilidad[[#This Row],[Código]])&gt;0,"Juego de pesas",),"Pesa"))</f>
        <v/>
      </c>
      <c r="CJ437" s="35" t="str">
        <f>IFERROR(VLOOKUP($CH437,tblBD_PatronMasa[[Código Patrón]:[mN-(mpe–U95)]],2,FALSE),"")</f>
        <v/>
      </c>
      <c r="CK437" s="35" t="str">
        <f>IFERROR(VLOOKUP($CH437,tblBD_PatronMasa[[Código Patrón]:[mN-(mpe–U95)]],13,FALSE),"")</f>
        <v/>
      </c>
      <c r="CL437" s="34" t="str">
        <f>IF(tblTrazabilidad[[#This Row],[Clase]]="F2",IFERROR(IF(VLOOKUP($CH437,tblBD_PatronMasa[[Código Patrón]:[mN-(mpe–U95)]],12,FALSE)=0,"",VLOOKUP($CH437,tblBD_PatronMasa[[Código Patrón]:[mN-(mpe–U95)]],12,FALSE)+731),""),IF(tblTrazabilidad[[#This Row],[Clase]]="F1",IFERROR(IF(VLOOKUP($CH437,tblBD_PatronMasa[[Código Patrón]:[mN-(mpe–U95)]],12,FALSE)=0,"",VLOOKUP($CH437,tblBD_PatronMasa[[Código Patrón]:[mN-(mpe–U95)]],12,FALSE)+731),""),IFERROR(IF(VLOOKUP($CH437,tblBD_PatronMasa[[Código Patrón]:[mN-(mpe–U95)]],12,FALSE)=0,"",VLOOKUP($CH437,tblBD_PatronMasa[[Código Patrón]:[mN-(mpe–U95)]],12,FALSE)+366),"")))</f>
        <v/>
      </c>
      <c r="CM437" s="33" t="str">
        <f>IFERROR(VLOOKUP($CH437,tblBD_PatronMasa[[Código Patrón]:[mN-(mpe–U95)]],3,FALSE),"")</f>
        <v/>
      </c>
      <c r="CS437" s="32"/>
      <c r="CU437"/>
      <c r="DC437" s="1"/>
      <c r="DD437" s="1"/>
      <c r="DF437"/>
      <c r="DG437"/>
    </row>
    <row r="438" spans="85:111" x14ac:dyDescent="0.3">
      <c r="CG438" s="38">
        <v>432</v>
      </c>
      <c r="CH438" s="35">
        <f t="shared" si="20"/>
        <v>0</v>
      </c>
      <c r="CI438" s="35" t="str">
        <f>IF(tblTrazabilidad[[#This Row],[Código]]=0,"",IFERROR(IF(SEARCH("JM",tblTrazabilidad[[#This Row],[Código]])&gt;0,"Juego de pesas",),"Pesa"))</f>
        <v/>
      </c>
      <c r="CJ438" s="35" t="str">
        <f>IFERROR(VLOOKUP($CH438,tblBD_PatronMasa[[Código Patrón]:[mN-(mpe–U95)]],2,FALSE),"")</f>
        <v/>
      </c>
      <c r="CK438" s="35" t="str">
        <f>IFERROR(VLOOKUP($CH438,tblBD_PatronMasa[[Código Patrón]:[mN-(mpe–U95)]],13,FALSE),"")</f>
        <v/>
      </c>
      <c r="CL438" s="34" t="str">
        <f>IF(tblTrazabilidad[[#This Row],[Clase]]="F2",IFERROR(IF(VLOOKUP($CH438,tblBD_PatronMasa[[Código Patrón]:[mN-(mpe–U95)]],12,FALSE)=0,"",VLOOKUP($CH438,tblBD_PatronMasa[[Código Patrón]:[mN-(mpe–U95)]],12,FALSE)+731),""),IF(tblTrazabilidad[[#This Row],[Clase]]="F1",IFERROR(IF(VLOOKUP($CH438,tblBD_PatronMasa[[Código Patrón]:[mN-(mpe–U95)]],12,FALSE)=0,"",VLOOKUP($CH438,tblBD_PatronMasa[[Código Patrón]:[mN-(mpe–U95)]],12,FALSE)+731),""),IFERROR(IF(VLOOKUP($CH438,tblBD_PatronMasa[[Código Patrón]:[mN-(mpe–U95)]],12,FALSE)=0,"",VLOOKUP($CH438,tblBD_PatronMasa[[Código Patrón]:[mN-(mpe–U95)]],12,FALSE)+366),"")))</f>
        <v/>
      </c>
      <c r="CM438" s="33" t="str">
        <f>IFERROR(VLOOKUP($CH438,tblBD_PatronMasa[[Código Patrón]:[mN-(mpe–U95)]],3,FALSE),"")</f>
        <v/>
      </c>
      <c r="CS438" s="32"/>
      <c r="CU438"/>
      <c r="DC438" s="1"/>
      <c r="DD438" s="1"/>
      <c r="DF438"/>
      <c r="DG438"/>
    </row>
    <row r="439" spans="85:111" x14ac:dyDescent="0.3">
      <c r="CG439" s="38">
        <v>433</v>
      </c>
      <c r="CH439" s="35">
        <f t="shared" ref="CH439:CH456" si="21">BQ37</f>
        <v>0</v>
      </c>
      <c r="CI439" s="35" t="str">
        <f>IF(tblTrazabilidad[[#This Row],[Código]]=0,"",IFERROR(IF(SEARCH("JM",tblTrazabilidad[[#This Row],[Código]])&gt;0,"Juego de pesas",),"Pesa"))</f>
        <v/>
      </c>
      <c r="CJ439" s="35" t="str">
        <f>IFERROR(VLOOKUP($CH439,tblBD_PatronMasa[[Código Patrón]:[mN-(mpe–U95)]],2,FALSE),"")</f>
        <v/>
      </c>
      <c r="CK439" s="35" t="str">
        <f>IFERROR(VLOOKUP($CH439,tblBD_PatronMasa[[Código Patrón]:[mN-(mpe–U95)]],13,FALSE),"")</f>
        <v/>
      </c>
      <c r="CL439" s="34" t="str">
        <f>IF(tblTrazabilidad[[#This Row],[Clase]]="F2",IFERROR(IF(VLOOKUP($CH439,tblBD_PatronMasa[[Código Patrón]:[mN-(mpe–U95)]],12,FALSE)=0,"",VLOOKUP($CH439,tblBD_PatronMasa[[Código Patrón]:[mN-(mpe–U95)]],12,FALSE)+731),""),IF(tblTrazabilidad[[#This Row],[Clase]]="F1",IFERROR(IF(VLOOKUP($CH439,tblBD_PatronMasa[[Código Patrón]:[mN-(mpe–U95)]],12,FALSE)=0,"",VLOOKUP($CH439,tblBD_PatronMasa[[Código Patrón]:[mN-(mpe–U95)]],12,FALSE)+731),""),IFERROR(IF(VLOOKUP($CH439,tblBD_PatronMasa[[Código Patrón]:[mN-(mpe–U95)]],12,FALSE)=0,"",VLOOKUP($CH439,tblBD_PatronMasa[[Código Patrón]:[mN-(mpe–U95)]],12,FALSE)+366),"")))</f>
        <v/>
      </c>
      <c r="CM439" s="33" t="str">
        <f>IFERROR(VLOOKUP($CH439,tblBD_PatronMasa[[Código Patrón]:[mN-(mpe–U95)]],3,FALSE),"")</f>
        <v/>
      </c>
      <c r="CS439" s="32"/>
      <c r="CU439"/>
      <c r="DC439" s="1"/>
      <c r="DD439" s="1"/>
      <c r="DF439"/>
      <c r="DG439"/>
    </row>
    <row r="440" spans="85:111" x14ac:dyDescent="0.3">
      <c r="CG440" s="38">
        <v>434</v>
      </c>
      <c r="CH440" s="35">
        <f t="shared" si="21"/>
        <v>0</v>
      </c>
      <c r="CI440" s="35" t="str">
        <f>IF(tblTrazabilidad[[#This Row],[Código]]=0,"",IFERROR(IF(SEARCH("JM",tblTrazabilidad[[#This Row],[Código]])&gt;0,"Juego de pesas",),"Pesa"))</f>
        <v/>
      </c>
      <c r="CJ440" s="35" t="str">
        <f>IFERROR(VLOOKUP($CH440,tblBD_PatronMasa[[Código Patrón]:[mN-(mpe–U95)]],2,FALSE),"")</f>
        <v/>
      </c>
      <c r="CK440" s="35" t="str">
        <f>IFERROR(VLOOKUP($CH440,tblBD_PatronMasa[[Código Patrón]:[mN-(mpe–U95)]],13,FALSE),"")</f>
        <v/>
      </c>
      <c r="CL440" s="34" t="str">
        <f>IF(tblTrazabilidad[[#This Row],[Clase]]="F2",IFERROR(IF(VLOOKUP($CH440,tblBD_PatronMasa[[Código Patrón]:[mN-(mpe–U95)]],12,FALSE)=0,"",VLOOKUP($CH440,tblBD_PatronMasa[[Código Patrón]:[mN-(mpe–U95)]],12,FALSE)+731),""),IF(tblTrazabilidad[[#This Row],[Clase]]="F1",IFERROR(IF(VLOOKUP($CH440,tblBD_PatronMasa[[Código Patrón]:[mN-(mpe–U95)]],12,FALSE)=0,"",VLOOKUP($CH440,tblBD_PatronMasa[[Código Patrón]:[mN-(mpe–U95)]],12,FALSE)+731),""),IFERROR(IF(VLOOKUP($CH440,tblBD_PatronMasa[[Código Patrón]:[mN-(mpe–U95)]],12,FALSE)=0,"",VLOOKUP($CH440,tblBD_PatronMasa[[Código Patrón]:[mN-(mpe–U95)]],12,FALSE)+366),"")))</f>
        <v/>
      </c>
      <c r="CM440" s="33" t="str">
        <f>IFERROR(VLOOKUP($CH440,tblBD_PatronMasa[[Código Patrón]:[mN-(mpe–U95)]],3,FALSE),"")</f>
        <v/>
      </c>
      <c r="CS440" s="32"/>
      <c r="CU440"/>
      <c r="DC440" s="1"/>
      <c r="DD440" s="1"/>
      <c r="DF440"/>
      <c r="DG440"/>
    </row>
    <row r="441" spans="85:111" x14ac:dyDescent="0.3">
      <c r="CG441" s="38">
        <v>435</v>
      </c>
      <c r="CH441" s="35">
        <f t="shared" si="21"/>
        <v>0</v>
      </c>
      <c r="CI441" s="35" t="str">
        <f>IF(tblTrazabilidad[[#This Row],[Código]]=0,"",IFERROR(IF(SEARCH("JM",tblTrazabilidad[[#This Row],[Código]])&gt;0,"Juego de pesas",),"Pesa"))</f>
        <v/>
      </c>
      <c r="CJ441" s="35" t="str">
        <f>IFERROR(VLOOKUP($CH441,tblBD_PatronMasa[[Código Patrón]:[mN-(mpe–U95)]],2,FALSE),"")</f>
        <v/>
      </c>
      <c r="CK441" s="35" t="str">
        <f>IFERROR(VLOOKUP($CH441,tblBD_PatronMasa[[Código Patrón]:[mN-(mpe–U95)]],13,FALSE),"")</f>
        <v/>
      </c>
      <c r="CL441" s="34" t="str">
        <f>IF(tblTrazabilidad[[#This Row],[Clase]]="F2",IFERROR(IF(VLOOKUP($CH441,tblBD_PatronMasa[[Código Patrón]:[mN-(mpe–U95)]],12,FALSE)=0,"",VLOOKUP($CH441,tblBD_PatronMasa[[Código Patrón]:[mN-(mpe–U95)]],12,FALSE)+731),""),IF(tblTrazabilidad[[#This Row],[Clase]]="F1",IFERROR(IF(VLOOKUP($CH441,tblBD_PatronMasa[[Código Patrón]:[mN-(mpe–U95)]],12,FALSE)=0,"",VLOOKUP($CH441,tblBD_PatronMasa[[Código Patrón]:[mN-(mpe–U95)]],12,FALSE)+731),""),IFERROR(IF(VLOOKUP($CH441,tblBD_PatronMasa[[Código Patrón]:[mN-(mpe–U95)]],12,FALSE)=0,"",VLOOKUP($CH441,tblBD_PatronMasa[[Código Patrón]:[mN-(mpe–U95)]],12,FALSE)+366),"")))</f>
        <v/>
      </c>
      <c r="CM441" s="33" t="str">
        <f>IFERROR(VLOOKUP($CH441,tblBD_PatronMasa[[Código Patrón]:[mN-(mpe–U95)]],3,FALSE),"")</f>
        <v/>
      </c>
      <c r="CS441" s="32"/>
      <c r="CU441"/>
      <c r="DC441" s="1"/>
      <c r="DD441" s="1"/>
      <c r="DF441"/>
      <c r="DG441"/>
    </row>
    <row r="442" spans="85:111" x14ac:dyDescent="0.3">
      <c r="CG442" s="38">
        <v>436</v>
      </c>
      <c r="CH442" s="35">
        <f t="shared" si="21"/>
        <v>0</v>
      </c>
      <c r="CI442" s="35" t="str">
        <f>IF(tblTrazabilidad[[#This Row],[Código]]=0,"",IFERROR(IF(SEARCH("JM",tblTrazabilidad[[#This Row],[Código]])&gt;0,"Juego de pesas",),"Pesa"))</f>
        <v/>
      </c>
      <c r="CJ442" s="35" t="str">
        <f>IFERROR(VLOOKUP($CH442,tblBD_PatronMasa[[Código Patrón]:[mN-(mpe–U95)]],2,FALSE),"")</f>
        <v/>
      </c>
      <c r="CK442" s="35" t="str">
        <f>IFERROR(VLOOKUP($CH442,tblBD_PatronMasa[[Código Patrón]:[mN-(mpe–U95)]],13,FALSE),"")</f>
        <v/>
      </c>
      <c r="CL442" s="34" t="str">
        <f>IF(tblTrazabilidad[[#This Row],[Clase]]="F2",IFERROR(IF(VLOOKUP($CH442,tblBD_PatronMasa[[Código Patrón]:[mN-(mpe–U95)]],12,FALSE)=0,"",VLOOKUP($CH442,tblBD_PatronMasa[[Código Patrón]:[mN-(mpe–U95)]],12,FALSE)+731),""),IF(tblTrazabilidad[[#This Row],[Clase]]="F1",IFERROR(IF(VLOOKUP($CH442,tblBD_PatronMasa[[Código Patrón]:[mN-(mpe–U95)]],12,FALSE)=0,"",VLOOKUP($CH442,tblBD_PatronMasa[[Código Patrón]:[mN-(mpe–U95)]],12,FALSE)+731),""),IFERROR(IF(VLOOKUP($CH442,tblBD_PatronMasa[[Código Patrón]:[mN-(mpe–U95)]],12,FALSE)=0,"",VLOOKUP($CH442,tblBD_PatronMasa[[Código Patrón]:[mN-(mpe–U95)]],12,FALSE)+366),"")))</f>
        <v/>
      </c>
      <c r="CM442" s="33" t="str">
        <f>IFERROR(VLOOKUP($CH442,tblBD_PatronMasa[[Código Patrón]:[mN-(mpe–U95)]],3,FALSE),"")</f>
        <v/>
      </c>
      <c r="CS442" s="32"/>
      <c r="CU442"/>
      <c r="DC442" s="1"/>
      <c r="DD442" s="1"/>
      <c r="DF442"/>
      <c r="DG442"/>
    </row>
    <row r="443" spans="85:111" x14ac:dyDescent="0.3">
      <c r="CG443" s="38">
        <v>437</v>
      </c>
      <c r="CH443" s="35">
        <f t="shared" si="21"/>
        <v>0</v>
      </c>
      <c r="CI443" s="35" t="str">
        <f>IF(tblTrazabilidad[[#This Row],[Código]]=0,"",IFERROR(IF(SEARCH("JM",tblTrazabilidad[[#This Row],[Código]])&gt;0,"Juego de pesas",),"Pesa"))</f>
        <v/>
      </c>
      <c r="CJ443" s="35" t="str">
        <f>IFERROR(VLOOKUP($CH443,tblBD_PatronMasa[[Código Patrón]:[mN-(mpe–U95)]],2,FALSE),"")</f>
        <v/>
      </c>
      <c r="CK443" s="35" t="str">
        <f>IFERROR(VLOOKUP($CH443,tblBD_PatronMasa[[Código Patrón]:[mN-(mpe–U95)]],13,FALSE),"")</f>
        <v/>
      </c>
      <c r="CL443" s="34" t="str">
        <f>IF(tblTrazabilidad[[#This Row],[Clase]]="F2",IFERROR(IF(VLOOKUP($CH443,tblBD_PatronMasa[[Código Patrón]:[mN-(mpe–U95)]],12,FALSE)=0,"",VLOOKUP($CH443,tblBD_PatronMasa[[Código Patrón]:[mN-(mpe–U95)]],12,FALSE)+731),""),IF(tblTrazabilidad[[#This Row],[Clase]]="F1",IFERROR(IF(VLOOKUP($CH443,tblBD_PatronMasa[[Código Patrón]:[mN-(mpe–U95)]],12,FALSE)=0,"",VLOOKUP($CH443,tblBD_PatronMasa[[Código Patrón]:[mN-(mpe–U95)]],12,FALSE)+731),""),IFERROR(IF(VLOOKUP($CH443,tblBD_PatronMasa[[Código Patrón]:[mN-(mpe–U95)]],12,FALSE)=0,"",VLOOKUP($CH443,tblBD_PatronMasa[[Código Patrón]:[mN-(mpe–U95)]],12,FALSE)+366),"")))</f>
        <v/>
      </c>
      <c r="CM443" s="33" t="str">
        <f>IFERROR(VLOOKUP($CH443,tblBD_PatronMasa[[Código Patrón]:[mN-(mpe–U95)]],3,FALSE),"")</f>
        <v/>
      </c>
      <c r="CS443" s="32"/>
      <c r="CU443"/>
      <c r="DC443" s="1"/>
      <c r="DD443" s="1"/>
      <c r="DF443"/>
      <c r="DG443"/>
    </row>
    <row r="444" spans="85:111" x14ac:dyDescent="0.3">
      <c r="CG444" s="38">
        <v>438</v>
      </c>
      <c r="CH444" s="35">
        <f t="shared" si="21"/>
        <v>0</v>
      </c>
      <c r="CI444" s="35" t="str">
        <f>IF(tblTrazabilidad[[#This Row],[Código]]=0,"",IFERROR(IF(SEARCH("JM",tblTrazabilidad[[#This Row],[Código]])&gt;0,"Juego de pesas",),"Pesa"))</f>
        <v/>
      </c>
      <c r="CJ444" s="35" t="str">
        <f>IFERROR(VLOOKUP($CH444,tblBD_PatronMasa[[Código Patrón]:[mN-(mpe–U95)]],2,FALSE),"")</f>
        <v/>
      </c>
      <c r="CK444" s="35" t="str">
        <f>IFERROR(VLOOKUP($CH444,tblBD_PatronMasa[[Código Patrón]:[mN-(mpe–U95)]],13,FALSE),"")</f>
        <v/>
      </c>
      <c r="CL444" s="34" t="str">
        <f>IF(tblTrazabilidad[[#This Row],[Clase]]="F2",IFERROR(IF(VLOOKUP($CH444,tblBD_PatronMasa[[Código Patrón]:[mN-(mpe–U95)]],12,FALSE)=0,"",VLOOKUP($CH444,tblBD_PatronMasa[[Código Patrón]:[mN-(mpe–U95)]],12,FALSE)+731),""),IF(tblTrazabilidad[[#This Row],[Clase]]="F1",IFERROR(IF(VLOOKUP($CH444,tblBD_PatronMasa[[Código Patrón]:[mN-(mpe–U95)]],12,FALSE)=0,"",VLOOKUP($CH444,tblBD_PatronMasa[[Código Patrón]:[mN-(mpe–U95)]],12,FALSE)+731),""),IFERROR(IF(VLOOKUP($CH444,tblBD_PatronMasa[[Código Patrón]:[mN-(mpe–U95)]],12,FALSE)=0,"",VLOOKUP($CH444,tblBD_PatronMasa[[Código Patrón]:[mN-(mpe–U95)]],12,FALSE)+366),"")))</f>
        <v/>
      </c>
      <c r="CM444" s="33" t="str">
        <f>IFERROR(VLOOKUP($CH444,tblBD_PatronMasa[[Código Patrón]:[mN-(mpe–U95)]],3,FALSE),"")</f>
        <v/>
      </c>
      <c r="CS444" s="32"/>
      <c r="CU444"/>
      <c r="DC444" s="1"/>
      <c r="DD444" s="1"/>
      <c r="DF444"/>
      <c r="DG444"/>
    </row>
    <row r="445" spans="85:111" x14ac:dyDescent="0.3">
      <c r="CG445" s="38">
        <v>439</v>
      </c>
      <c r="CH445" s="35">
        <f t="shared" si="21"/>
        <v>0</v>
      </c>
      <c r="CI445" s="35" t="str">
        <f>IF(tblTrazabilidad[[#This Row],[Código]]=0,"",IFERROR(IF(SEARCH("JM",tblTrazabilidad[[#This Row],[Código]])&gt;0,"Juego de pesas",),"Pesa"))</f>
        <v/>
      </c>
      <c r="CJ445" s="35" t="str">
        <f>IFERROR(VLOOKUP($CH445,tblBD_PatronMasa[[Código Patrón]:[mN-(mpe–U95)]],2,FALSE),"")</f>
        <v/>
      </c>
      <c r="CK445" s="35" t="str">
        <f>IFERROR(VLOOKUP($CH445,tblBD_PatronMasa[[Código Patrón]:[mN-(mpe–U95)]],13,FALSE),"")</f>
        <v/>
      </c>
      <c r="CL445" s="34" t="str">
        <f>IF(tblTrazabilidad[[#This Row],[Clase]]="F2",IFERROR(IF(VLOOKUP($CH445,tblBD_PatronMasa[[Código Patrón]:[mN-(mpe–U95)]],12,FALSE)=0,"",VLOOKUP($CH445,tblBD_PatronMasa[[Código Patrón]:[mN-(mpe–U95)]],12,FALSE)+731),""),IF(tblTrazabilidad[[#This Row],[Clase]]="F1",IFERROR(IF(VLOOKUP($CH445,tblBD_PatronMasa[[Código Patrón]:[mN-(mpe–U95)]],12,FALSE)=0,"",VLOOKUP($CH445,tblBD_PatronMasa[[Código Patrón]:[mN-(mpe–U95)]],12,FALSE)+731),""),IFERROR(IF(VLOOKUP($CH445,tblBD_PatronMasa[[Código Patrón]:[mN-(mpe–U95)]],12,FALSE)=0,"",VLOOKUP($CH445,tblBD_PatronMasa[[Código Patrón]:[mN-(mpe–U95)]],12,FALSE)+366),"")))</f>
        <v/>
      </c>
      <c r="CM445" s="33" t="str">
        <f>IFERROR(VLOOKUP($CH445,tblBD_PatronMasa[[Código Patrón]:[mN-(mpe–U95)]],3,FALSE),"")</f>
        <v/>
      </c>
      <c r="CS445" s="32"/>
      <c r="CU445"/>
      <c r="DC445" s="1"/>
      <c r="DD445" s="1"/>
      <c r="DF445"/>
      <c r="DG445"/>
    </row>
    <row r="446" spans="85:111" x14ac:dyDescent="0.3">
      <c r="CG446" s="38">
        <v>440</v>
      </c>
      <c r="CH446" s="35">
        <f t="shared" si="21"/>
        <v>0</v>
      </c>
      <c r="CI446" s="35" t="str">
        <f>IF(tblTrazabilidad[[#This Row],[Código]]=0,"",IFERROR(IF(SEARCH("JM",tblTrazabilidad[[#This Row],[Código]])&gt;0,"Juego de pesas",),"Pesa"))</f>
        <v/>
      </c>
      <c r="CJ446" s="35" t="str">
        <f>IFERROR(VLOOKUP($CH446,tblBD_PatronMasa[[Código Patrón]:[mN-(mpe–U95)]],2,FALSE),"")</f>
        <v/>
      </c>
      <c r="CK446" s="35" t="str">
        <f>IFERROR(VLOOKUP($CH446,tblBD_PatronMasa[[Código Patrón]:[mN-(mpe–U95)]],13,FALSE),"")</f>
        <v/>
      </c>
      <c r="CL446" s="34" t="str">
        <f>IF(tblTrazabilidad[[#This Row],[Clase]]="F2",IFERROR(IF(VLOOKUP($CH446,tblBD_PatronMasa[[Código Patrón]:[mN-(mpe–U95)]],12,FALSE)=0,"",VLOOKUP($CH446,tblBD_PatronMasa[[Código Patrón]:[mN-(mpe–U95)]],12,FALSE)+731),""),IF(tblTrazabilidad[[#This Row],[Clase]]="F1",IFERROR(IF(VLOOKUP($CH446,tblBD_PatronMasa[[Código Patrón]:[mN-(mpe–U95)]],12,FALSE)=0,"",VLOOKUP($CH446,tblBD_PatronMasa[[Código Patrón]:[mN-(mpe–U95)]],12,FALSE)+731),""),IFERROR(IF(VLOOKUP($CH446,tblBD_PatronMasa[[Código Patrón]:[mN-(mpe–U95)]],12,FALSE)=0,"",VLOOKUP($CH446,tblBD_PatronMasa[[Código Patrón]:[mN-(mpe–U95)]],12,FALSE)+366),"")))</f>
        <v/>
      </c>
      <c r="CM446" s="33" t="str">
        <f>IFERROR(VLOOKUP($CH446,tblBD_PatronMasa[[Código Patrón]:[mN-(mpe–U95)]],3,FALSE),"")</f>
        <v/>
      </c>
      <c r="CS446" s="32"/>
      <c r="CU446"/>
      <c r="DC446" s="1"/>
      <c r="DD446" s="1"/>
      <c r="DF446"/>
      <c r="DG446"/>
    </row>
    <row r="447" spans="85:111" x14ac:dyDescent="0.3">
      <c r="CG447" s="38">
        <v>441</v>
      </c>
      <c r="CH447" s="35">
        <f t="shared" si="21"/>
        <v>0</v>
      </c>
      <c r="CI447" s="35" t="str">
        <f>IF(tblTrazabilidad[[#This Row],[Código]]=0,"",IFERROR(IF(SEARCH("JM",tblTrazabilidad[[#This Row],[Código]])&gt;0,"Juego de pesas",),"Pesa"))</f>
        <v/>
      </c>
      <c r="CJ447" s="35" t="str">
        <f>IFERROR(VLOOKUP($CH447,tblBD_PatronMasa[[Código Patrón]:[mN-(mpe–U95)]],2,FALSE),"")</f>
        <v/>
      </c>
      <c r="CK447" s="35" t="str">
        <f>IFERROR(VLOOKUP($CH447,tblBD_PatronMasa[[Código Patrón]:[mN-(mpe–U95)]],13,FALSE),"")</f>
        <v/>
      </c>
      <c r="CL447" s="34" t="str">
        <f>IF(tblTrazabilidad[[#This Row],[Clase]]="F2",IFERROR(IF(VLOOKUP($CH447,tblBD_PatronMasa[[Código Patrón]:[mN-(mpe–U95)]],12,FALSE)=0,"",VLOOKUP($CH447,tblBD_PatronMasa[[Código Patrón]:[mN-(mpe–U95)]],12,FALSE)+731),""),IF(tblTrazabilidad[[#This Row],[Clase]]="F1",IFERROR(IF(VLOOKUP($CH447,tblBD_PatronMasa[[Código Patrón]:[mN-(mpe–U95)]],12,FALSE)=0,"",VLOOKUP($CH447,tblBD_PatronMasa[[Código Patrón]:[mN-(mpe–U95)]],12,FALSE)+731),""),IFERROR(IF(VLOOKUP($CH447,tblBD_PatronMasa[[Código Patrón]:[mN-(mpe–U95)]],12,FALSE)=0,"",VLOOKUP($CH447,tblBD_PatronMasa[[Código Patrón]:[mN-(mpe–U95)]],12,FALSE)+366),"")))</f>
        <v/>
      </c>
      <c r="CM447" s="33" t="str">
        <f>IFERROR(VLOOKUP($CH447,tblBD_PatronMasa[[Código Patrón]:[mN-(mpe–U95)]],3,FALSE),"")</f>
        <v/>
      </c>
      <c r="CS447" s="32"/>
      <c r="CU447"/>
      <c r="DC447" s="1"/>
      <c r="DD447" s="1"/>
      <c r="DF447"/>
      <c r="DG447"/>
    </row>
    <row r="448" spans="85:111" x14ac:dyDescent="0.3">
      <c r="CG448" s="38">
        <v>442</v>
      </c>
      <c r="CH448" s="35">
        <f t="shared" si="21"/>
        <v>0</v>
      </c>
      <c r="CI448" s="35" t="str">
        <f>IF(tblTrazabilidad[[#This Row],[Código]]=0,"",IFERROR(IF(SEARCH("JM",tblTrazabilidad[[#This Row],[Código]])&gt;0,"Juego de pesas",),"Pesa"))</f>
        <v/>
      </c>
      <c r="CJ448" s="35" t="str">
        <f>IFERROR(VLOOKUP($CH448,tblBD_PatronMasa[[Código Patrón]:[mN-(mpe–U95)]],2,FALSE),"")</f>
        <v/>
      </c>
      <c r="CK448" s="35" t="str">
        <f>IFERROR(VLOOKUP($CH448,tblBD_PatronMasa[[Código Patrón]:[mN-(mpe–U95)]],13,FALSE),"")</f>
        <v/>
      </c>
      <c r="CL448" s="34" t="str">
        <f>IF(tblTrazabilidad[[#This Row],[Clase]]="F2",IFERROR(IF(VLOOKUP($CH448,tblBD_PatronMasa[[Código Patrón]:[mN-(mpe–U95)]],12,FALSE)=0,"",VLOOKUP($CH448,tblBD_PatronMasa[[Código Patrón]:[mN-(mpe–U95)]],12,FALSE)+731),""),IF(tblTrazabilidad[[#This Row],[Clase]]="F1",IFERROR(IF(VLOOKUP($CH448,tblBD_PatronMasa[[Código Patrón]:[mN-(mpe–U95)]],12,FALSE)=0,"",VLOOKUP($CH448,tblBD_PatronMasa[[Código Patrón]:[mN-(mpe–U95)]],12,FALSE)+731),""),IFERROR(IF(VLOOKUP($CH448,tblBD_PatronMasa[[Código Patrón]:[mN-(mpe–U95)]],12,FALSE)=0,"",VLOOKUP($CH448,tblBD_PatronMasa[[Código Patrón]:[mN-(mpe–U95)]],12,FALSE)+366),"")))</f>
        <v/>
      </c>
      <c r="CM448" s="33" t="str">
        <f>IFERROR(VLOOKUP($CH448,tblBD_PatronMasa[[Código Patrón]:[mN-(mpe–U95)]],3,FALSE),"")</f>
        <v/>
      </c>
      <c r="CS448" s="32"/>
      <c r="CU448"/>
      <c r="DC448" s="1"/>
      <c r="DD448" s="1"/>
      <c r="DF448"/>
      <c r="DG448"/>
    </row>
    <row r="449" spans="85:111" x14ac:dyDescent="0.3">
      <c r="CG449" s="38">
        <v>443</v>
      </c>
      <c r="CH449" s="35">
        <f t="shared" si="21"/>
        <v>0</v>
      </c>
      <c r="CI449" s="35" t="str">
        <f>IF(tblTrazabilidad[[#This Row],[Código]]=0,"",IFERROR(IF(SEARCH("JM",tblTrazabilidad[[#This Row],[Código]])&gt;0,"Juego de pesas",),"Pesa"))</f>
        <v/>
      </c>
      <c r="CJ449" s="35" t="str">
        <f>IFERROR(VLOOKUP($CH449,tblBD_PatronMasa[[Código Patrón]:[mN-(mpe–U95)]],2,FALSE),"")</f>
        <v/>
      </c>
      <c r="CK449" s="35" t="str">
        <f>IFERROR(VLOOKUP($CH449,tblBD_PatronMasa[[Código Patrón]:[mN-(mpe–U95)]],13,FALSE),"")</f>
        <v/>
      </c>
      <c r="CL449" s="34" t="str">
        <f>IF(tblTrazabilidad[[#This Row],[Clase]]="F2",IFERROR(IF(VLOOKUP($CH449,tblBD_PatronMasa[[Código Patrón]:[mN-(mpe–U95)]],12,FALSE)=0,"",VLOOKUP($CH449,tblBD_PatronMasa[[Código Patrón]:[mN-(mpe–U95)]],12,FALSE)+731),""),IF(tblTrazabilidad[[#This Row],[Clase]]="F1",IFERROR(IF(VLOOKUP($CH449,tblBD_PatronMasa[[Código Patrón]:[mN-(mpe–U95)]],12,FALSE)=0,"",VLOOKUP($CH449,tblBD_PatronMasa[[Código Patrón]:[mN-(mpe–U95)]],12,FALSE)+731),""),IFERROR(IF(VLOOKUP($CH449,tblBD_PatronMasa[[Código Patrón]:[mN-(mpe–U95)]],12,FALSE)=0,"",VLOOKUP($CH449,tblBD_PatronMasa[[Código Patrón]:[mN-(mpe–U95)]],12,FALSE)+366),"")))</f>
        <v/>
      </c>
      <c r="CM449" s="33" t="str">
        <f>IFERROR(VLOOKUP($CH449,tblBD_PatronMasa[[Código Patrón]:[mN-(mpe–U95)]],3,FALSE),"")</f>
        <v/>
      </c>
      <c r="CS449" s="32"/>
      <c r="CU449"/>
      <c r="DC449" s="1"/>
      <c r="DD449" s="1"/>
      <c r="DF449"/>
      <c r="DG449"/>
    </row>
    <row r="450" spans="85:111" x14ac:dyDescent="0.3">
      <c r="CG450" s="38">
        <v>444</v>
      </c>
      <c r="CH450" s="35">
        <f t="shared" si="21"/>
        <v>0</v>
      </c>
      <c r="CI450" s="35" t="str">
        <f>IF(tblTrazabilidad[[#This Row],[Código]]=0,"",IFERROR(IF(SEARCH("JM",tblTrazabilidad[[#This Row],[Código]])&gt;0,"Juego de pesas",),"Pesa"))</f>
        <v/>
      </c>
      <c r="CJ450" s="35" t="str">
        <f>IFERROR(VLOOKUP($CH450,tblBD_PatronMasa[[Código Patrón]:[mN-(mpe–U95)]],2,FALSE),"")</f>
        <v/>
      </c>
      <c r="CK450" s="35" t="str">
        <f>IFERROR(VLOOKUP($CH450,tblBD_PatronMasa[[Código Patrón]:[mN-(mpe–U95)]],13,FALSE),"")</f>
        <v/>
      </c>
      <c r="CL450" s="34" t="str">
        <f>IF(tblTrazabilidad[[#This Row],[Clase]]="F2",IFERROR(IF(VLOOKUP($CH450,tblBD_PatronMasa[[Código Patrón]:[mN-(mpe–U95)]],12,FALSE)=0,"",VLOOKUP($CH450,tblBD_PatronMasa[[Código Patrón]:[mN-(mpe–U95)]],12,FALSE)+731),""),IF(tblTrazabilidad[[#This Row],[Clase]]="F1",IFERROR(IF(VLOOKUP($CH450,tblBD_PatronMasa[[Código Patrón]:[mN-(mpe–U95)]],12,FALSE)=0,"",VLOOKUP($CH450,tblBD_PatronMasa[[Código Patrón]:[mN-(mpe–U95)]],12,FALSE)+731),""),IFERROR(IF(VLOOKUP($CH450,tblBD_PatronMasa[[Código Patrón]:[mN-(mpe–U95)]],12,FALSE)=0,"",VLOOKUP($CH450,tblBD_PatronMasa[[Código Patrón]:[mN-(mpe–U95)]],12,FALSE)+366),"")))</f>
        <v/>
      </c>
      <c r="CM450" s="33" t="str">
        <f>IFERROR(VLOOKUP($CH450,tblBD_PatronMasa[[Código Patrón]:[mN-(mpe–U95)]],3,FALSE),"")</f>
        <v/>
      </c>
      <c r="CS450" s="32"/>
      <c r="CU450"/>
      <c r="DC450" s="1"/>
      <c r="DD450" s="1"/>
      <c r="DF450"/>
      <c r="DG450"/>
    </row>
    <row r="451" spans="85:111" x14ac:dyDescent="0.3">
      <c r="CG451" s="38">
        <v>445</v>
      </c>
      <c r="CH451" s="35">
        <f t="shared" si="21"/>
        <v>0</v>
      </c>
      <c r="CI451" s="35" t="str">
        <f>IF(tblTrazabilidad[[#This Row],[Código]]=0,"",IFERROR(IF(SEARCH("JM",tblTrazabilidad[[#This Row],[Código]])&gt;0,"Juego de pesas",),"Pesa"))</f>
        <v/>
      </c>
      <c r="CJ451" s="35" t="str">
        <f>IFERROR(VLOOKUP($CH451,tblBD_PatronMasa[[Código Patrón]:[mN-(mpe–U95)]],2,FALSE),"")</f>
        <v/>
      </c>
      <c r="CK451" s="35" t="str">
        <f>IFERROR(VLOOKUP($CH451,tblBD_PatronMasa[[Código Patrón]:[mN-(mpe–U95)]],13,FALSE),"")</f>
        <v/>
      </c>
      <c r="CL451" s="34" t="str">
        <f>IF(tblTrazabilidad[[#This Row],[Clase]]="F2",IFERROR(IF(VLOOKUP($CH451,tblBD_PatronMasa[[Código Patrón]:[mN-(mpe–U95)]],12,FALSE)=0,"",VLOOKUP($CH451,tblBD_PatronMasa[[Código Patrón]:[mN-(mpe–U95)]],12,FALSE)+731),""),IF(tblTrazabilidad[[#This Row],[Clase]]="F1",IFERROR(IF(VLOOKUP($CH451,tblBD_PatronMasa[[Código Patrón]:[mN-(mpe–U95)]],12,FALSE)=0,"",VLOOKUP($CH451,tblBD_PatronMasa[[Código Patrón]:[mN-(mpe–U95)]],12,FALSE)+731),""),IFERROR(IF(VLOOKUP($CH451,tblBD_PatronMasa[[Código Patrón]:[mN-(mpe–U95)]],12,FALSE)=0,"",VLOOKUP($CH451,tblBD_PatronMasa[[Código Patrón]:[mN-(mpe–U95)]],12,FALSE)+366),"")))</f>
        <v/>
      </c>
      <c r="CM451" s="33" t="str">
        <f>IFERROR(VLOOKUP($CH451,tblBD_PatronMasa[[Código Patrón]:[mN-(mpe–U95)]],3,FALSE),"")</f>
        <v/>
      </c>
      <c r="CS451" s="32"/>
      <c r="CU451"/>
      <c r="DC451" s="1"/>
      <c r="DD451" s="1"/>
      <c r="DF451"/>
      <c r="DG451"/>
    </row>
    <row r="452" spans="85:111" x14ac:dyDescent="0.3">
      <c r="CG452" s="38">
        <v>446</v>
      </c>
      <c r="CH452" s="35">
        <f t="shared" si="21"/>
        <v>0</v>
      </c>
      <c r="CI452" s="35" t="str">
        <f>IF(tblTrazabilidad[[#This Row],[Código]]=0,"",IFERROR(IF(SEARCH("JM",tblTrazabilidad[[#This Row],[Código]])&gt;0,"Juego de pesas",),"Pesa"))</f>
        <v/>
      </c>
      <c r="CJ452" s="35" t="str">
        <f>IFERROR(VLOOKUP($CH452,tblBD_PatronMasa[[Código Patrón]:[mN-(mpe–U95)]],2,FALSE),"")</f>
        <v/>
      </c>
      <c r="CK452" s="35" t="str">
        <f>IFERROR(VLOOKUP($CH452,tblBD_PatronMasa[[Código Patrón]:[mN-(mpe–U95)]],13,FALSE),"")</f>
        <v/>
      </c>
      <c r="CL452" s="34" t="str">
        <f>IF(tblTrazabilidad[[#This Row],[Clase]]="F2",IFERROR(IF(VLOOKUP($CH452,tblBD_PatronMasa[[Código Patrón]:[mN-(mpe–U95)]],12,FALSE)=0,"",VLOOKUP($CH452,tblBD_PatronMasa[[Código Patrón]:[mN-(mpe–U95)]],12,FALSE)+731),""),IF(tblTrazabilidad[[#This Row],[Clase]]="F1",IFERROR(IF(VLOOKUP($CH452,tblBD_PatronMasa[[Código Patrón]:[mN-(mpe–U95)]],12,FALSE)=0,"",VLOOKUP($CH452,tblBD_PatronMasa[[Código Patrón]:[mN-(mpe–U95)]],12,FALSE)+731),""),IFERROR(IF(VLOOKUP($CH452,tblBD_PatronMasa[[Código Patrón]:[mN-(mpe–U95)]],12,FALSE)=0,"",VLOOKUP($CH452,tblBD_PatronMasa[[Código Patrón]:[mN-(mpe–U95)]],12,FALSE)+366),"")))</f>
        <v/>
      </c>
      <c r="CM452" s="33" t="str">
        <f>IFERROR(VLOOKUP($CH452,tblBD_PatronMasa[[Código Patrón]:[mN-(mpe–U95)]],3,FALSE),"")</f>
        <v/>
      </c>
      <c r="CS452" s="32"/>
      <c r="CU452"/>
      <c r="DC452" s="1"/>
      <c r="DD452" s="1"/>
      <c r="DF452"/>
      <c r="DG452"/>
    </row>
    <row r="453" spans="85:111" x14ac:dyDescent="0.3">
      <c r="CG453" s="38">
        <v>447</v>
      </c>
      <c r="CH453" s="35">
        <f t="shared" si="21"/>
        <v>0</v>
      </c>
      <c r="CI453" s="35" t="str">
        <f>IF(tblTrazabilidad[[#This Row],[Código]]=0,"",IFERROR(IF(SEARCH("JM",tblTrazabilidad[[#This Row],[Código]])&gt;0,"Juego de pesas",),"Pesa"))</f>
        <v/>
      </c>
      <c r="CJ453" s="35" t="str">
        <f>IFERROR(VLOOKUP($CH453,tblBD_PatronMasa[[Código Patrón]:[mN-(mpe–U95)]],2,FALSE),"")</f>
        <v/>
      </c>
      <c r="CK453" s="35" t="str">
        <f>IFERROR(VLOOKUP($CH453,tblBD_PatronMasa[[Código Patrón]:[mN-(mpe–U95)]],13,FALSE),"")</f>
        <v/>
      </c>
      <c r="CL453" s="34" t="str">
        <f>IF(tblTrazabilidad[[#This Row],[Clase]]="F2",IFERROR(IF(VLOOKUP($CH453,tblBD_PatronMasa[[Código Patrón]:[mN-(mpe–U95)]],12,FALSE)=0,"",VLOOKUP($CH453,tblBD_PatronMasa[[Código Patrón]:[mN-(mpe–U95)]],12,FALSE)+731),""),IF(tblTrazabilidad[[#This Row],[Clase]]="F1",IFERROR(IF(VLOOKUP($CH453,tblBD_PatronMasa[[Código Patrón]:[mN-(mpe–U95)]],12,FALSE)=0,"",VLOOKUP($CH453,tblBD_PatronMasa[[Código Patrón]:[mN-(mpe–U95)]],12,FALSE)+731),""),IFERROR(IF(VLOOKUP($CH453,tblBD_PatronMasa[[Código Patrón]:[mN-(mpe–U95)]],12,FALSE)=0,"",VLOOKUP($CH453,tblBD_PatronMasa[[Código Patrón]:[mN-(mpe–U95)]],12,FALSE)+366),"")))</f>
        <v/>
      </c>
      <c r="CM453" s="33" t="str">
        <f>IFERROR(VLOOKUP($CH453,tblBD_PatronMasa[[Código Patrón]:[mN-(mpe–U95)]],3,FALSE),"")</f>
        <v/>
      </c>
      <c r="CS453" s="32"/>
      <c r="CU453"/>
      <c r="DC453" s="1"/>
      <c r="DD453" s="1"/>
      <c r="DF453"/>
      <c r="DG453"/>
    </row>
    <row r="454" spans="85:111" x14ac:dyDescent="0.3">
      <c r="CG454" s="38">
        <v>448</v>
      </c>
      <c r="CH454" s="35">
        <f t="shared" si="21"/>
        <v>0</v>
      </c>
      <c r="CI454" s="35" t="str">
        <f>IF(tblTrazabilidad[[#This Row],[Código]]=0,"",IFERROR(IF(SEARCH("JM",tblTrazabilidad[[#This Row],[Código]])&gt;0,"Juego de pesas",),"Pesa"))</f>
        <v/>
      </c>
      <c r="CJ454" s="35" t="str">
        <f>IFERROR(VLOOKUP($CH454,tblBD_PatronMasa[[Código Patrón]:[mN-(mpe–U95)]],2,FALSE),"")</f>
        <v/>
      </c>
      <c r="CK454" s="35" t="str">
        <f>IFERROR(VLOOKUP($CH454,tblBD_PatronMasa[[Código Patrón]:[mN-(mpe–U95)]],13,FALSE),"")</f>
        <v/>
      </c>
      <c r="CL454" s="34" t="str">
        <f>IF(tblTrazabilidad[[#This Row],[Clase]]="F2",IFERROR(IF(VLOOKUP($CH454,tblBD_PatronMasa[[Código Patrón]:[mN-(mpe–U95)]],12,FALSE)=0,"",VLOOKUP($CH454,tblBD_PatronMasa[[Código Patrón]:[mN-(mpe–U95)]],12,FALSE)+731),""),IF(tblTrazabilidad[[#This Row],[Clase]]="F1",IFERROR(IF(VLOOKUP($CH454,tblBD_PatronMasa[[Código Patrón]:[mN-(mpe–U95)]],12,FALSE)=0,"",VLOOKUP($CH454,tblBD_PatronMasa[[Código Patrón]:[mN-(mpe–U95)]],12,FALSE)+731),""),IFERROR(IF(VLOOKUP($CH454,tblBD_PatronMasa[[Código Patrón]:[mN-(mpe–U95)]],12,FALSE)=0,"",VLOOKUP($CH454,tblBD_PatronMasa[[Código Patrón]:[mN-(mpe–U95)]],12,FALSE)+366),"")))</f>
        <v/>
      </c>
      <c r="CM454" s="33" t="str">
        <f>IFERROR(VLOOKUP($CH454,tblBD_PatronMasa[[Código Patrón]:[mN-(mpe–U95)]],3,FALSE),"")</f>
        <v/>
      </c>
      <c r="CS454" s="32"/>
      <c r="CU454"/>
      <c r="DC454" s="1"/>
      <c r="DD454" s="1"/>
      <c r="DF454"/>
      <c r="DG454"/>
    </row>
    <row r="455" spans="85:111" x14ac:dyDescent="0.3">
      <c r="CG455" s="38">
        <v>449</v>
      </c>
      <c r="CH455" s="35">
        <f t="shared" si="21"/>
        <v>0</v>
      </c>
      <c r="CI455" s="35" t="str">
        <f>IF(tblTrazabilidad[[#This Row],[Código]]=0,"",IFERROR(IF(SEARCH("JM",tblTrazabilidad[[#This Row],[Código]])&gt;0,"Juego de pesas",),"Pesa"))</f>
        <v/>
      </c>
      <c r="CJ455" s="35" t="str">
        <f>IFERROR(VLOOKUP($CH455,tblBD_PatronMasa[[Código Patrón]:[mN-(mpe–U95)]],2,FALSE),"")</f>
        <v/>
      </c>
      <c r="CK455" s="35" t="str">
        <f>IFERROR(VLOOKUP($CH455,tblBD_PatronMasa[[Código Patrón]:[mN-(mpe–U95)]],13,FALSE),"")</f>
        <v/>
      </c>
      <c r="CL455" s="34" t="str">
        <f>IF(tblTrazabilidad[[#This Row],[Clase]]="F2",IFERROR(IF(VLOOKUP($CH455,tblBD_PatronMasa[[Código Patrón]:[mN-(mpe–U95)]],12,FALSE)=0,"",VLOOKUP($CH455,tblBD_PatronMasa[[Código Patrón]:[mN-(mpe–U95)]],12,FALSE)+731),""),IF(tblTrazabilidad[[#This Row],[Clase]]="F1",IFERROR(IF(VLOOKUP($CH455,tblBD_PatronMasa[[Código Patrón]:[mN-(mpe–U95)]],12,FALSE)=0,"",VLOOKUP($CH455,tblBD_PatronMasa[[Código Patrón]:[mN-(mpe–U95)]],12,FALSE)+731),""),IFERROR(IF(VLOOKUP($CH455,tblBD_PatronMasa[[Código Patrón]:[mN-(mpe–U95)]],12,FALSE)=0,"",VLOOKUP($CH455,tblBD_PatronMasa[[Código Patrón]:[mN-(mpe–U95)]],12,FALSE)+366),"")))</f>
        <v/>
      </c>
      <c r="CM455" s="33" t="str">
        <f>IFERROR(VLOOKUP($CH455,tblBD_PatronMasa[[Código Patrón]:[mN-(mpe–U95)]],3,FALSE),"")</f>
        <v/>
      </c>
      <c r="CS455" s="32"/>
      <c r="CU455"/>
      <c r="DC455" s="1"/>
      <c r="DD455" s="1"/>
      <c r="DF455"/>
      <c r="DG455"/>
    </row>
    <row r="456" spans="85:111" x14ac:dyDescent="0.3">
      <c r="CG456" s="38">
        <v>450</v>
      </c>
      <c r="CH456" s="35">
        <f t="shared" si="21"/>
        <v>0</v>
      </c>
      <c r="CI456" s="35" t="str">
        <f>IF(tblTrazabilidad[[#This Row],[Código]]=0,"",IFERROR(IF(SEARCH("JM",tblTrazabilidad[[#This Row],[Código]])&gt;0,"Juego de pesas",),"Pesa"))</f>
        <v/>
      </c>
      <c r="CJ456" s="35" t="str">
        <f>IFERROR(VLOOKUP($CH456,tblBD_PatronMasa[[Código Patrón]:[mN-(mpe–U95)]],2,FALSE),"")</f>
        <v/>
      </c>
      <c r="CK456" s="35" t="str">
        <f>IFERROR(VLOOKUP($CH456,tblBD_PatronMasa[[Código Patrón]:[mN-(mpe–U95)]],13,FALSE),"")</f>
        <v/>
      </c>
      <c r="CL456" s="34" t="str">
        <f>IF(tblTrazabilidad[[#This Row],[Clase]]="F2",IFERROR(IF(VLOOKUP($CH456,tblBD_PatronMasa[[Código Patrón]:[mN-(mpe–U95)]],12,FALSE)=0,"",VLOOKUP($CH456,tblBD_PatronMasa[[Código Patrón]:[mN-(mpe–U95)]],12,FALSE)+731),""),IF(tblTrazabilidad[[#This Row],[Clase]]="F1",IFERROR(IF(VLOOKUP($CH456,tblBD_PatronMasa[[Código Patrón]:[mN-(mpe–U95)]],12,FALSE)=0,"",VLOOKUP($CH456,tblBD_PatronMasa[[Código Patrón]:[mN-(mpe–U95)]],12,FALSE)+731),""),IFERROR(IF(VLOOKUP($CH456,tblBD_PatronMasa[[Código Patrón]:[mN-(mpe–U95)]],12,FALSE)=0,"",VLOOKUP($CH456,tblBD_PatronMasa[[Código Patrón]:[mN-(mpe–U95)]],12,FALSE)+366),"")))</f>
        <v/>
      </c>
      <c r="CM456" s="33" t="str">
        <f>IFERROR(VLOOKUP($CH456,tblBD_PatronMasa[[Código Patrón]:[mN-(mpe–U95)]],3,FALSE),"")</f>
        <v/>
      </c>
      <c r="CS456" s="32"/>
      <c r="CU456"/>
      <c r="DC456" s="1"/>
      <c r="DD456" s="1"/>
      <c r="DF456"/>
      <c r="DG456"/>
    </row>
    <row r="457" spans="85:111" x14ac:dyDescent="0.3">
      <c r="CG457" s="38">
        <v>451</v>
      </c>
      <c r="CH457" s="35">
        <f t="shared" ref="CH457:CH488" si="22">BX5</f>
        <v>0</v>
      </c>
      <c r="CI457" s="35" t="str">
        <f>IF(tblTrazabilidad[[#This Row],[Código]]=0,"",IFERROR(IF(SEARCH("JM",tblTrazabilidad[[#This Row],[Código]])&gt;0,"Juego de pesas",),"Pesa"))</f>
        <v/>
      </c>
      <c r="CJ457" s="35" t="str">
        <f>IFERROR(VLOOKUP($CH457,tblBD_PatronMasa[[Código Patrón]:[mN-(mpe–U95)]],2,FALSE),"")</f>
        <v/>
      </c>
      <c r="CK457" s="35" t="str">
        <f>IFERROR(VLOOKUP($CH457,tblBD_PatronMasa[[Código Patrón]:[mN-(mpe–U95)]],13,FALSE),"")</f>
        <v/>
      </c>
      <c r="CL457" s="34" t="str">
        <f>IF(tblTrazabilidad[[#This Row],[Clase]]="F2",IFERROR(IF(VLOOKUP($CH457,tblBD_PatronMasa[[Código Patrón]:[mN-(mpe–U95)]],12,FALSE)=0,"",VLOOKUP($CH457,tblBD_PatronMasa[[Código Patrón]:[mN-(mpe–U95)]],12,FALSE)+731),""),IF(tblTrazabilidad[[#This Row],[Clase]]="F1",IFERROR(IF(VLOOKUP($CH457,tblBD_PatronMasa[[Código Patrón]:[mN-(mpe–U95)]],12,FALSE)=0,"",VLOOKUP($CH457,tblBD_PatronMasa[[Código Patrón]:[mN-(mpe–U95)]],12,FALSE)+731),""),IFERROR(IF(VLOOKUP($CH457,tblBD_PatronMasa[[Código Patrón]:[mN-(mpe–U95)]],12,FALSE)=0,"",VLOOKUP($CH457,tblBD_PatronMasa[[Código Patrón]:[mN-(mpe–U95)]],12,FALSE)+366),"")))</f>
        <v/>
      </c>
      <c r="CM457" s="33" t="str">
        <f>IFERROR(VLOOKUP($CH457,tblBD_PatronMasa[[Código Patrón]:[mN-(mpe–U95)]],3,FALSE),"")</f>
        <v/>
      </c>
      <c r="CS457" s="32"/>
      <c r="CU457"/>
      <c r="DC457" s="1"/>
      <c r="DD457" s="1"/>
      <c r="DF457"/>
      <c r="DG457"/>
    </row>
    <row r="458" spans="85:111" x14ac:dyDescent="0.3">
      <c r="CG458" s="38">
        <v>452</v>
      </c>
      <c r="CH458" s="35">
        <f t="shared" si="22"/>
        <v>0</v>
      </c>
      <c r="CI458" s="35" t="str">
        <f>IF(tblTrazabilidad[[#This Row],[Código]]=0,"",IFERROR(IF(SEARCH("JM",tblTrazabilidad[[#This Row],[Código]])&gt;0,"Juego de pesas",),"Pesa"))</f>
        <v/>
      </c>
      <c r="CJ458" s="35" t="str">
        <f>IFERROR(VLOOKUP($CH458,tblBD_PatronMasa[[Código Patrón]:[mN-(mpe–U95)]],2,FALSE),"")</f>
        <v/>
      </c>
      <c r="CK458" s="35" t="str">
        <f>IFERROR(VLOOKUP($CH458,tblBD_PatronMasa[[Código Patrón]:[mN-(mpe–U95)]],13,FALSE),"")</f>
        <v/>
      </c>
      <c r="CL458" s="34" t="str">
        <f>IF(tblTrazabilidad[[#This Row],[Clase]]="F2",IFERROR(IF(VLOOKUP($CH458,tblBD_PatronMasa[[Código Patrón]:[mN-(mpe–U95)]],12,FALSE)=0,"",VLOOKUP($CH458,tblBD_PatronMasa[[Código Patrón]:[mN-(mpe–U95)]],12,FALSE)+731),""),IF(tblTrazabilidad[[#This Row],[Clase]]="F1",IFERROR(IF(VLOOKUP($CH458,tblBD_PatronMasa[[Código Patrón]:[mN-(mpe–U95)]],12,FALSE)=0,"",VLOOKUP($CH458,tblBD_PatronMasa[[Código Patrón]:[mN-(mpe–U95)]],12,FALSE)+731),""),IFERROR(IF(VLOOKUP($CH458,tblBD_PatronMasa[[Código Patrón]:[mN-(mpe–U95)]],12,FALSE)=0,"",VLOOKUP($CH458,tblBD_PatronMasa[[Código Patrón]:[mN-(mpe–U95)]],12,FALSE)+366),"")))</f>
        <v/>
      </c>
      <c r="CM458" s="33" t="str">
        <f>IFERROR(VLOOKUP($CH458,tblBD_PatronMasa[[Código Patrón]:[mN-(mpe–U95)]],3,FALSE),"")</f>
        <v/>
      </c>
      <c r="CS458" s="32"/>
      <c r="CU458"/>
      <c r="DC458" s="1"/>
      <c r="DD458" s="1"/>
      <c r="DF458"/>
      <c r="DG458"/>
    </row>
    <row r="459" spans="85:111" x14ac:dyDescent="0.3">
      <c r="CG459" s="38">
        <v>453</v>
      </c>
      <c r="CH459" s="35">
        <f t="shared" si="22"/>
        <v>0</v>
      </c>
      <c r="CI459" s="35" t="str">
        <f>IF(tblTrazabilidad[[#This Row],[Código]]=0,"",IFERROR(IF(SEARCH("JM",tblTrazabilidad[[#This Row],[Código]])&gt;0,"Juego de pesas",),"Pesa"))</f>
        <v/>
      </c>
      <c r="CJ459" s="35" t="str">
        <f>IFERROR(VLOOKUP($CH459,tblBD_PatronMasa[[Código Patrón]:[mN-(mpe–U95)]],2,FALSE),"")</f>
        <v/>
      </c>
      <c r="CK459" s="35" t="str">
        <f>IFERROR(VLOOKUP($CH459,tblBD_PatronMasa[[Código Patrón]:[mN-(mpe–U95)]],13,FALSE),"")</f>
        <v/>
      </c>
      <c r="CL459" s="34" t="str">
        <f>IF(tblTrazabilidad[[#This Row],[Clase]]="F2",IFERROR(IF(VLOOKUP($CH459,tblBD_PatronMasa[[Código Patrón]:[mN-(mpe–U95)]],12,FALSE)=0,"",VLOOKUP($CH459,tblBD_PatronMasa[[Código Patrón]:[mN-(mpe–U95)]],12,FALSE)+731),""),IF(tblTrazabilidad[[#This Row],[Clase]]="F1",IFERROR(IF(VLOOKUP($CH459,tblBD_PatronMasa[[Código Patrón]:[mN-(mpe–U95)]],12,FALSE)=0,"",VLOOKUP($CH459,tblBD_PatronMasa[[Código Patrón]:[mN-(mpe–U95)]],12,FALSE)+731),""),IFERROR(IF(VLOOKUP($CH459,tblBD_PatronMasa[[Código Patrón]:[mN-(mpe–U95)]],12,FALSE)=0,"",VLOOKUP($CH459,tblBD_PatronMasa[[Código Patrón]:[mN-(mpe–U95)]],12,FALSE)+366),"")))</f>
        <v/>
      </c>
      <c r="CM459" s="33" t="str">
        <f>IFERROR(VLOOKUP($CH459,tblBD_PatronMasa[[Código Patrón]:[mN-(mpe–U95)]],3,FALSE),"")</f>
        <v/>
      </c>
      <c r="CS459" s="32"/>
      <c r="CU459"/>
      <c r="DC459" s="1"/>
      <c r="DD459" s="1"/>
      <c r="DF459"/>
      <c r="DG459"/>
    </row>
    <row r="460" spans="85:111" x14ac:dyDescent="0.3">
      <c r="CG460" s="38">
        <v>454</v>
      </c>
      <c r="CH460" s="35">
        <f t="shared" si="22"/>
        <v>0</v>
      </c>
      <c r="CI460" s="35" t="str">
        <f>IF(tblTrazabilidad[[#This Row],[Código]]=0,"",IFERROR(IF(SEARCH("JM",tblTrazabilidad[[#This Row],[Código]])&gt;0,"Juego de pesas",),"Pesa"))</f>
        <v/>
      </c>
      <c r="CJ460" s="35" t="str">
        <f>IFERROR(VLOOKUP($CH460,tblBD_PatronMasa[[Código Patrón]:[mN-(mpe–U95)]],2,FALSE),"")</f>
        <v/>
      </c>
      <c r="CK460" s="35" t="str">
        <f>IFERROR(VLOOKUP($CH460,tblBD_PatronMasa[[Código Patrón]:[mN-(mpe–U95)]],13,FALSE),"")</f>
        <v/>
      </c>
      <c r="CL460" s="34" t="str">
        <f>IF(tblTrazabilidad[[#This Row],[Clase]]="F2",IFERROR(IF(VLOOKUP($CH460,tblBD_PatronMasa[[Código Patrón]:[mN-(mpe–U95)]],12,FALSE)=0,"",VLOOKUP($CH460,tblBD_PatronMasa[[Código Patrón]:[mN-(mpe–U95)]],12,FALSE)+731),""),IF(tblTrazabilidad[[#This Row],[Clase]]="F1",IFERROR(IF(VLOOKUP($CH460,tblBD_PatronMasa[[Código Patrón]:[mN-(mpe–U95)]],12,FALSE)=0,"",VLOOKUP($CH460,tblBD_PatronMasa[[Código Patrón]:[mN-(mpe–U95)]],12,FALSE)+731),""),IFERROR(IF(VLOOKUP($CH460,tblBD_PatronMasa[[Código Patrón]:[mN-(mpe–U95)]],12,FALSE)=0,"",VLOOKUP($CH460,tblBD_PatronMasa[[Código Patrón]:[mN-(mpe–U95)]],12,FALSE)+366),"")))</f>
        <v/>
      </c>
      <c r="CM460" s="33" t="str">
        <f>IFERROR(VLOOKUP($CH460,tblBD_PatronMasa[[Código Patrón]:[mN-(mpe–U95)]],3,FALSE),"")</f>
        <v/>
      </c>
      <c r="CS460" s="32"/>
      <c r="CU460"/>
      <c r="DC460" s="1"/>
      <c r="DD460" s="1"/>
      <c r="DF460"/>
      <c r="DG460"/>
    </row>
    <row r="461" spans="85:111" x14ac:dyDescent="0.3">
      <c r="CG461" s="38">
        <v>455</v>
      </c>
      <c r="CH461" s="35">
        <f t="shared" si="22"/>
        <v>0</v>
      </c>
      <c r="CI461" s="35" t="str">
        <f>IF(tblTrazabilidad[[#This Row],[Código]]=0,"",IFERROR(IF(SEARCH("JM",tblTrazabilidad[[#This Row],[Código]])&gt;0,"Juego de pesas",),"Pesa"))</f>
        <v/>
      </c>
      <c r="CJ461" s="35" t="str">
        <f>IFERROR(VLOOKUP($CH461,tblBD_PatronMasa[[Código Patrón]:[mN-(mpe–U95)]],2,FALSE),"")</f>
        <v/>
      </c>
      <c r="CK461" s="35" t="str">
        <f>IFERROR(VLOOKUP($CH461,tblBD_PatronMasa[[Código Patrón]:[mN-(mpe–U95)]],13,FALSE),"")</f>
        <v/>
      </c>
      <c r="CL461" s="34" t="str">
        <f>IF(tblTrazabilidad[[#This Row],[Clase]]="F2",IFERROR(IF(VLOOKUP($CH461,tblBD_PatronMasa[[Código Patrón]:[mN-(mpe–U95)]],12,FALSE)=0,"",VLOOKUP($CH461,tblBD_PatronMasa[[Código Patrón]:[mN-(mpe–U95)]],12,FALSE)+731),""),IF(tblTrazabilidad[[#This Row],[Clase]]="F1",IFERROR(IF(VLOOKUP($CH461,tblBD_PatronMasa[[Código Patrón]:[mN-(mpe–U95)]],12,FALSE)=0,"",VLOOKUP($CH461,tblBD_PatronMasa[[Código Patrón]:[mN-(mpe–U95)]],12,FALSE)+731),""),IFERROR(IF(VLOOKUP($CH461,tblBD_PatronMasa[[Código Patrón]:[mN-(mpe–U95)]],12,FALSE)=0,"",VLOOKUP($CH461,tblBD_PatronMasa[[Código Patrón]:[mN-(mpe–U95)]],12,FALSE)+366),"")))</f>
        <v/>
      </c>
      <c r="CM461" s="33" t="str">
        <f>IFERROR(VLOOKUP($CH461,tblBD_PatronMasa[[Código Patrón]:[mN-(mpe–U95)]],3,FALSE),"")</f>
        <v/>
      </c>
      <c r="CS461" s="32"/>
      <c r="CU461"/>
      <c r="DC461" s="1"/>
      <c r="DD461" s="1"/>
      <c r="DF461"/>
      <c r="DG461"/>
    </row>
    <row r="462" spans="85:111" x14ac:dyDescent="0.3">
      <c r="CG462" s="38">
        <v>456</v>
      </c>
      <c r="CH462" s="35">
        <f t="shared" si="22"/>
        <v>0</v>
      </c>
      <c r="CI462" s="35" t="str">
        <f>IF(tblTrazabilidad[[#This Row],[Código]]=0,"",IFERROR(IF(SEARCH("JM",tblTrazabilidad[[#This Row],[Código]])&gt;0,"Juego de pesas",),"Pesa"))</f>
        <v/>
      </c>
      <c r="CJ462" s="35" t="str">
        <f>IFERROR(VLOOKUP($CH462,tblBD_PatronMasa[[Código Patrón]:[mN-(mpe–U95)]],2,FALSE),"")</f>
        <v/>
      </c>
      <c r="CK462" s="35" t="str">
        <f>IFERROR(VLOOKUP($CH462,tblBD_PatronMasa[[Código Patrón]:[mN-(mpe–U95)]],13,FALSE),"")</f>
        <v/>
      </c>
      <c r="CL462" s="34" t="str">
        <f>IF(tblTrazabilidad[[#This Row],[Clase]]="F2",IFERROR(IF(VLOOKUP($CH462,tblBD_PatronMasa[[Código Patrón]:[mN-(mpe–U95)]],12,FALSE)=0,"",VLOOKUP($CH462,tblBD_PatronMasa[[Código Patrón]:[mN-(mpe–U95)]],12,FALSE)+731),""),IF(tblTrazabilidad[[#This Row],[Clase]]="F1",IFERROR(IF(VLOOKUP($CH462,tblBD_PatronMasa[[Código Patrón]:[mN-(mpe–U95)]],12,FALSE)=0,"",VLOOKUP($CH462,tblBD_PatronMasa[[Código Patrón]:[mN-(mpe–U95)]],12,FALSE)+731),""),IFERROR(IF(VLOOKUP($CH462,tblBD_PatronMasa[[Código Patrón]:[mN-(mpe–U95)]],12,FALSE)=0,"",VLOOKUP($CH462,tblBD_PatronMasa[[Código Patrón]:[mN-(mpe–U95)]],12,FALSE)+366),"")))</f>
        <v/>
      </c>
      <c r="CM462" s="33" t="str">
        <f>IFERROR(VLOOKUP($CH462,tblBD_PatronMasa[[Código Patrón]:[mN-(mpe–U95)]],3,FALSE),"")</f>
        <v/>
      </c>
      <c r="CS462" s="32"/>
      <c r="CU462"/>
      <c r="DC462" s="1"/>
      <c r="DD462" s="1"/>
      <c r="DF462"/>
      <c r="DG462"/>
    </row>
    <row r="463" spans="85:111" x14ac:dyDescent="0.3">
      <c r="CG463" s="38">
        <v>457</v>
      </c>
      <c r="CH463" s="35">
        <f t="shared" si="22"/>
        <v>0</v>
      </c>
      <c r="CI463" s="35" t="str">
        <f>IF(tblTrazabilidad[[#This Row],[Código]]=0,"",IFERROR(IF(SEARCH("JM",tblTrazabilidad[[#This Row],[Código]])&gt;0,"Juego de pesas",),"Pesa"))</f>
        <v/>
      </c>
      <c r="CJ463" s="35" t="str">
        <f>IFERROR(VLOOKUP($CH463,tblBD_PatronMasa[[Código Patrón]:[mN-(mpe–U95)]],2,FALSE),"")</f>
        <v/>
      </c>
      <c r="CK463" s="35" t="str">
        <f>IFERROR(VLOOKUP($CH463,tblBD_PatronMasa[[Código Patrón]:[mN-(mpe–U95)]],13,FALSE),"")</f>
        <v/>
      </c>
      <c r="CL463" s="34" t="str">
        <f>IF(tblTrazabilidad[[#This Row],[Clase]]="F2",IFERROR(IF(VLOOKUP($CH463,tblBD_PatronMasa[[Código Patrón]:[mN-(mpe–U95)]],12,FALSE)=0,"",VLOOKUP($CH463,tblBD_PatronMasa[[Código Patrón]:[mN-(mpe–U95)]],12,FALSE)+731),""),IF(tblTrazabilidad[[#This Row],[Clase]]="F1",IFERROR(IF(VLOOKUP($CH463,tblBD_PatronMasa[[Código Patrón]:[mN-(mpe–U95)]],12,FALSE)=0,"",VLOOKUP($CH463,tblBD_PatronMasa[[Código Patrón]:[mN-(mpe–U95)]],12,FALSE)+731),""),IFERROR(IF(VLOOKUP($CH463,tblBD_PatronMasa[[Código Patrón]:[mN-(mpe–U95)]],12,FALSE)=0,"",VLOOKUP($CH463,tblBD_PatronMasa[[Código Patrón]:[mN-(mpe–U95)]],12,FALSE)+366),"")))</f>
        <v/>
      </c>
      <c r="CM463" s="33" t="str">
        <f>IFERROR(VLOOKUP($CH463,tblBD_PatronMasa[[Código Patrón]:[mN-(mpe–U95)]],3,FALSE),"")</f>
        <v/>
      </c>
      <c r="CS463" s="32"/>
      <c r="CU463"/>
      <c r="DC463" s="1"/>
      <c r="DD463" s="1"/>
      <c r="DF463"/>
      <c r="DG463"/>
    </row>
    <row r="464" spans="85:111" x14ac:dyDescent="0.3">
      <c r="CG464" s="38">
        <v>458</v>
      </c>
      <c r="CH464" s="35">
        <f t="shared" si="22"/>
        <v>0</v>
      </c>
      <c r="CI464" s="35" t="str">
        <f>IF(tblTrazabilidad[[#This Row],[Código]]=0,"",IFERROR(IF(SEARCH("JM",tblTrazabilidad[[#This Row],[Código]])&gt;0,"Juego de pesas",),"Pesa"))</f>
        <v/>
      </c>
      <c r="CJ464" s="35" t="str">
        <f>IFERROR(VLOOKUP($CH464,tblBD_PatronMasa[[Código Patrón]:[mN-(mpe–U95)]],2,FALSE),"")</f>
        <v/>
      </c>
      <c r="CK464" s="35" t="str">
        <f>IFERROR(VLOOKUP($CH464,tblBD_PatronMasa[[Código Patrón]:[mN-(mpe–U95)]],13,FALSE),"")</f>
        <v/>
      </c>
      <c r="CL464" s="34" t="str">
        <f>IF(tblTrazabilidad[[#This Row],[Clase]]="F2",IFERROR(IF(VLOOKUP($CH464,tblBD_PatronMasa[[Código Patrón]:[mN-(mpe–U95)]],12,FALSE)=0,"",VLOOKUP($CH464,tblBD_PatronMasa[[Código Patrón]:[mN-(mpe–U95)]],12,FALSE)+731),""),IF(tblTrazabilidad[[#This Row],[Clase]]="F1",IFERROR(IF(VLOOKUP($CH464,tblBD_PatronMasa[[Código Patrón]:[mN-(mpe–U95)]],12,FALSE)=0,"",VLOOKUP($CH464,tblBD_PatronMasa[[Código Patrón]:[mN-(mpe–U95)]],12,FALSE)+731),""),IFERROR(IF(VLOOKUP($CH464,tblBD_PatronMasa[[Código Patrón]:[mN-(mpe–U95)]],12,FALSE)=0,"",VLOOKUP($CH464,tblBD_PatronMasa[[Código Patrón]:[mN-(mpe–U95)]],12,FALSE)+366),"")))</f>
        <v/>
      </c>
      <c r="CM464" s="33" t="str">
        <f>IFERROR(VLOOKUP($CH464,tblBD_PatronMasa[[Código Patrón]:[mN-(mpe–U95)]],3,FALSE),"")</f>
        <v/>
      </c>
      <c r="CS464" s="32"/>
      <c r="CU464"/>
      <c r="DC464" s="1"/>
      <c r="DD464" s="1"/>
      <c r="DF464"/>
      <c r="DG464"/>
    </row>
    <row r="465" spans="85:111" x14ac:dyDescent="0.3">
      <c r="CG465" s="38">
        <v>459</v>
      </c>
      <c r="CH465" s="35">
        <f t="shared" si="22"/>
        <v>0</v>
      </c>
      <c r="CI465" s="35" t="str">
        <f>IF(tblTrazabilidad[[#This Row],[Código]]=0,"",IFERROR(IF(SEARCH("JM",tblTrazabilidad[[#This Row],[Código]])&gt;0,"Juego de pesas",),"Pesa"))</f>
        <v/>
      </c>
      <c r="CJ465" s="35" t="str">
        <f>IFERROR(VLOOKUP($CH465,tblBD_PatronMasa[[Código Patrón]:[mN-(mpe–U95)]],2,FALSE),"")</f>
        <v/>
      </c>
      <c r="CK465" s="35" t="str">
        <f>IFERROR(VLOOKUP($CH465,tblBD_PatronMasa[[Código Patrón]:[mN-(mpe–U95)]],13,FALSE),"")</f>
        <v/>
      </c>
      <c r="CL465" s="34" t="str">
        <f>IF(tblTrazabilidad[[#This Row],[Clase]]="F2",IFERROR(IF(VLOOKUP($CH465,tblBD_PatronMasa[[Código Patrón]:[mN-(mpe–U95)]],12,FALSE)=0,"",VLOOKUP($CH465,tblBD_PatronMasa[[Código Patrón]:[mN-(mpe–U95)]],12,FALSE)+731),""),IF(tblTrazabilidad[[#This Row],[Clase]]="F1",IFERROR(IF(VLOOKUP($CH465,tblBD_PatronMasa[[Código Patrón]:[mN-(mpe–U95)]],12,FALSE)=0,"",VLOOKUP($CH465,tblBD_PatronMasa[[Código Patrón]:[mN-(mpe–U95)]],12,FALSE)+731),""),IFERROR(IF(VLOOKUP($CH465,tblBD_PatronMasa[[Código Patrón]:[mN-(mpe–U95)]],12,FALSE)=0,"",VLOOKUP($CH465,tblBD_PatronMasa[[Código Patrón]:[mN-(mpe–U95)]],12,FALSE)+366),"")))</f>
        <v/>
      </c>
      <c r="CM465" s="33" t="str">
        <f>IFERROR(VLOOKUP($CH465,tblBD_PatronMasa[[Código Patrón]:[mN-(mpe–U95)]],3,FALSE),"")</f>
        <v/>
      </c>
      <c r="CS465" s="32"/>
      <c r="CU465"/>
      <c r="DC465" s="1"/>
      <c r="DD465" s="1"/>
      <c r="DF465"/>
      <c r="DG465"/>
    </row>
    <row r="466" spans="85:111" x14ac:dyDescent="0.3">
      <c r="CG466" s="38">
        <v>460</v>
      </c>
      <c r="CH466" s="35">
        <f t="shared" si="22"/>
        <v>0</v>
      </c>
      <c r="CI466" s="35" t="str">
        <f>IF(tblTrazabilidad[[#This Row],[Código]]=0,"",IFERROR(IF(SEARCH("JM",tblTrazabilidad[[#This Row],[Código]])&gt;0,"Juego de pesas",),"Pesa"))</f>
        <v/>
      </c>
      <c r="CJ466" s="35" t="str">
        <f>IFERROR(VLOOKUP($CH466,tblBD_PatronMasa[[Código Patrón]:[mN-(mpe–U95)]],2,FALSE),"")</f>
        <v/>
      </c>
      <c r="CK466" s="35" t="str">
        <f>IFERROR(VLOOKUP($CH466,tblBD_PatronMasa[[Código Patrón]:[mN-(mpe–U95)]],13,FALSE),"")</f>
        <v/>
      </c>
      <c r="CL466" s="34" t="str">
        <f>IF(tblTrazabilidad[[#This Row],[Clase]]="F2",IFERROR(IF(VLOOKUP($CH466,tblBD_PatronMasa[[Código Patrón]:[mN-(mpe–U95)]],12,FALSE)=0,"",VLOOKUP($CH466,tblBD_PatronMasa[[Código Patrón]:[mN-(mpe–U95)]],12,FALSE)+731),""),IF(tblTrazabilidad[[#This Row],[Clase]]="F1",IFERROR(IF(VLOOKUP($CH466,tblBD_PatronMasa[[Código Patrón]:[mN-(mpe–U95)]],12,FALSE)=0,"",VLOOKUP($CH466,tblBD_PatronMasa[[Código Patrón]:[mN-(mpe–U95)]],12,FALSE)+731),""),IFERROR(IF(VLOOKUP($CH466,tblBD_PatronMasa[[Código Patrón]:[mN-(mpe–U95)]],12,FALSE)=0,"",VLOOKUP($CH466,tblBD_PatronMasa[[Código Patrón]:[mN-(mpe–U95)]],12,FALSE)+366),"")))</f>
        <v/>
      </c>
      <c r="CM466" s="33" t="str">
        <f>IFERROR(VLOOKUP($CH466,tblBD_PatronMasa[[Código Patrón]:[mN-(mpe–U95)]],3,FALSE),"")</f>
        <v/>
      </c>
      <c r="CS466" s="32"/>
      <c r="CU466"/>
      <c r="DC466" s="1"/>
      <c r="DD466" s="1"/>
      <c r="DF466"/>
      <c r="DG466"/>
    </row>
    <row r="467" spans="85:111" x14ac:dyDescent="0.3">
      <c r="CG467" s="38">
        <v>461</v>
      </c>
      <c r="CH467" s="35">
        <f t="shared" si="22"/>
        <v>0</v>
      </c>
      <c r="CI467" s="35" t="str">
        <f>IF(tblTrazabilidad[[#This Row],[Código]]=0,"",IFERROR(IF(SEARCH("JM",tblTrazabilidad[[#This Row],[Código]])&gt;0,"Juego de pesas",),"Pesa"))</f>
        <v/>
      </c>
      <c r="CJ467" s="35" t="str">
        <f>IFERROR(VLOOKUP($CH467,tblBD_PatronMasa[[Código Patrón]:[mN-(mpe–U95)]],2,FALSE),"")</f>
        <v/>
      </c>
      <c r="CK467" s="35" t="str">
        <f>IFERROR(VLOOKUP($CH467,tblBD_PatronMasa[[Código Patrón]:[mN-(mpe–U95)]],13,FALSE),"")</f>
        <v/>
      </c>
      <c r="CL467" s="34" t="str">
        <f>IF(tblTrazabilidad[[#This Row],[Clase]]="F2",IFERROR(IF(VLOOKUP($CH467,tblBD_PatronMasa[[Código Patrón]:[mN-(mpe–U95)]],12,FALSE)=0,"",VLOOKUP($CH467,tblBD_PatronMasa[[Código Patrón]:[mN-(mpe–U95)]],12,FALSE)+731),""),IF(tblTrazabilidad[[#This Row],[Clase]]="F1",IFERROR(IF(VLOOKUP($CH467,tblBD_PatronMasa[[Código Patrón]:[mN-(mpe–U95)]],12,FALSE)=0,"",VLOOKUP($CH467,tblBD_PatronMasa[[Código Patrón]:[mN-(mpe–U95)]],12,FALSE)+731),""),IFERROR(IF(VLOOKUP($CH467,tblBD_PatronMasa[[Código Patrón]:[mN-(mpe–U95)]],12,FALSE)=0,"",VLOOKUP($CH467,tblBD_PatronMasa[[Código Patrón]:[mN-(mpe–U95)]],12,FALSE)+366),"")))</f>
        <v/>
      </c>
      <c r="CM467" s="33" t="str">
        <f>IFERROR(VLOOKUP($CH467,tblBD_PatronMasa[[Código Patrón]:[mN-(mpe–U95)]],3,FALSE),"")</f>
        <v/>
      </c>
      <c r="CS467" s="32"/>
      <c r="CU467"/>
      <c r="DC467" s="1"/>
      <c r="DD467" s="1"/>
      <c r="DF467"/>
      <c r="DG467"/>
    </row>
    <row r="468" spans="85:111" x14ac:dyDescent="0.3">
      <c r="CG468" s="38">
        <v>462</v>
      </c>
      <c r="CH468" s="35">
        <f t="shared" si="22"/>
        <v>0</v>
      </c>
      <c r="CI468" s="35" t="str">
        <f>IF(tblTrazabilidad[[#This Row],[Código]]=0,"",IFERROR(IF(SEARCH("JM",tblTrazabilidad[[#This Row],[Código]])&gt;0,"Juego de pesas",),"Pesa"))</f>
        <v/>
      </c>
      <c r="CJ468" s="35" t="str">
        <f>IFERROR(VLOOKUP($CH468,tblBD_PatronMasa[[Código Patrón]:[mN-(mpe–U95)]],2,FALSE),"")</f>
        <v/>
      </c>
      <c r="CK468" s="35" t="str">
        <f>IFERROR(VLOOKUP($CH468,tblBD_PatronMasa[[Código Patrón]:[mN-(mpe–U95)]],13,FALSE),"")</f>
        <v/>
      </c>
      <c r="CL468" s="34" t="str">
        <f>IF(tblTrazabilidad[[#This Row],[Clase]]="F2",IFERROR(IF(VLOOKUP($CH468,tblBD_PatronMasa[[Código Patrón]:[mN-(mpe–U95)]],12,FALSE)=0,"",VLOOKUP($CH468,tblBD_PatronMasa[[Código Patrón]:[mN-(mpe–U95)]],12,FALSE)+731),""),IF(tblTrazabilidad[[#This Row],[Clase]]="F1",IFERROR(IF(VLOOKUP($CH468,tblBD_PatronMasa[[Código Patrón]:[mN-(mpe–U95)]],12,FALSE)=0,"",VLOOKUP($CH468,tblBD_PatronMasa[[Código Patrón]:[mN-(mpe–U95)]],12,FALSE)+731),""),IFERROR(IF(VLOOKUP($CH468,tblBD_PatronMasa[[Código Patrón]:[mN-(mpe–U95)]],12,FALSE)=0,"",VLOOKUP($CH468,tblBD_PatronMasa[[Código Patrón]:[mN-(mpe–U95)]],12,FALSE)+366),"")))</f>
        <v/>
      </c>
      <c r="CM468" s="33" t="str">
        <f>IFERROR(VLOOKUP($CH468,tblBD_PatronMasa[[Código Patrón]:[mN-(mpe–U95)]],3,FALSE),"")</f>
        <v/>
      </c>
      <c r="CS468" s="32"/>
      <c r="CU468"/>
      <c r="DC468" s="1"/>
      <c r="DD468" s="1"/>
      <c r="DF468"/>
      <c r="DG468"/>
    </row>
    <row r="469" spans="85:111" x14ac:dyDescent="0.3">
      <c r="CG469" s="38">
        <v>463</v>
      </c>
      <c r="CH469" s="35">
        <f t="shared" si="22"/>
        <v>0</v>
      </c>
      <c r="CI469" s="35" t="str">
        <f>IF(tblTrazabilidad[[#This Row],[Código]]=0,"",IFERROR(IF(SEARCH("JM",tblTrazabilidad[[#This Row],[Código]])&gt;0,"Juego de pesas",),"Pesa"))</f>
        <v/>
      </c>
      <c r="CJ469" s="35" t="str">
        <f>IFERROR(VLOOKUP($CH469,tblBD_PatronMasa[[Código Patrón]:[mN-(mpe–U95)]],2,FALSE),"")</f>
        <v/>
      </c>
      <c r="CK469" s="35" t="str">
        <f>IFERROR(VLOOKUP($CH469,tblBD_PatronMasa[[Código Patrón]:[mN-(mpe–U95)]],13,FALSE),"")</f>
        <v/>
      </c>
      <c r="CL469" s="34" t="str">
        <f>IF(tblTrazabilidad[[#This Row],[Clase]]="F2",IFERROR(IF(VLOOKUP($CH469,tblBD_PatronMasa[[Código Patrón]:[mN-(mpe–U95)]],12,FALSE)=0,"",VLOOKUP($CH469,tblBD_PatronMasa[[Código Patrón]:[mN-(mpe–U95)]],12,FALSE)+731),""),IF(tblTrazabilidad[[#This Row],[Clase]]="F1",IFERROR(IF(VLOOKUP($CH469,tblBD_PatronMasa[[Código Patrón]:[mN-(mpe–U95)]],12,FALSE)=0,"",VLOOKUP($CH469,tblBD_PatronMasa[[Código Patrón]:[mN-(mpe–U95)]],12,FALSE)+731),""),IFERROR(IF(VLOOKUP($CH469,tblBD_PatronMasa[[Código Patrón]:[mN-(mpe–U95)]],12,FALSE)=0,"",VLOOKUP($CH469,tblBD_PatronMasa[[Código Patrón]:[mN-(mpe–U95)]],12,FALSE)+366),"")))</f>
        <v/>
      </c>
      <c r="CM469" s="33" t="str">
        <f>IFERROR(VLOOKUP($CH469,tblBD_PatronMasa[[Código Patrón]:[mN-(mpe–U95)]],3,FALSE),"")</f>
        <v/>
      </c>
      <c r="CS469" s="32"/>
      <c r="CU469"/>
      <c r="DC469" s="1"/>
      <c r="DD469" s="1"/>
      <c r="DF469"/>
      <c r="DG469"/>
    </row>
    <row r="470" spans="85:111" x14ac:dyDescent="0.3">
      <c r="CG470" s="38">
        <v>464</v>
      </c>
      <c r="CH470" s="35">
        <f t="shared" si="22"/>
        <v>0</v>
      </c>
      <c r="CI470" s="35" t="str">
        <f>IF(tblTrazabilidad[[#This Row],[Código]]=0,"",IFERROR(IF(SEARCH("JM",tblTrazabilidad[[#This Row],[Código]])&gt;0,"Juego de pesas",),"Pesa"))</f>
        <v/>
      </c>
      <c r="CJ470" s="35" t="str">
        <f>IFERROR(VLOOKUP($CH470,tblBD_PatronMasa[[Código Patrón]:[mN-(mpe–U95)]],2,FALSE),"")</f>
        <v/>
      </c>
      <c r="CK470" s="35" t="str">
        <f>IFERROR(VLOOKUP($CH470,tblBD_PatronMasa[[Código Patrón]:[mN-(mpe–U95)]],13,FALSE),"")</f>
        <v/>
      </c>
      <c r="CL470" s="34" t="str">
        <f>IF(tblTrazabilidad[[#This Row],[Clase]]="F2",IFERROR(IF(VLOOKUP($CH470,tblBD_PatronMasa[[Código Patrón]:[mN-(mpe–U95)]],12,FALSE)=0,"",VLOOKUP($CH470,tblBD_PatronMasa[[Código Patrón]:[mN-(mpe–U95)]],12,FALSE)+731),""),IF(tblTrazabilidad[[#This Row],[Clase]]="F1",IFERROR(IF(VLOOKUP($CH470,tblBD_PatronMasa[[Código Patrón]:[mN-(mpe–U95)]],12,FALSE)=0,"",VLOOKUP($CH470,tblBD_PatronMasa[[Código Patrón]:[mN-(mpe–U95)]],12,FALSE)+731),""),IFERROR(IF(VLOOKUP($CH470,tblBD_PatronMasa[[Código Patrón]:[mN-(mpe–U95)]],12,FALSE)=0,"",VLOOKUP($CH470,tblBD_PatronMasa[[Código Patrón]:[mN-(mpe–U95)]],12,FALSE)+366),"")))</f>
        <v/>
      </c>
      <c r="CM470" s="33" t="str">
        <f>IFERROR(VLOOKUP($CH470,tblBD_PatronMasa[[Código Patrón]:[mN-(mpe–U95)]],3,FALSE),"")</f>
        <v/>
      </c>
      <c r="CS470" s="32"/>
      <c r="CU470"/>
      <c r="DC470" s="1"/>
      <c r="DD470" s="1"/>
      <c r="DF470"/>
      <c r="DG470"/>
    </row>
    <row r="471" spans="85:111" x14ac:dyDescent="0.3">
      <c r="CG471" s="38">
        <v>465</v>
      </c>
      <c r="CH471" s="35">
        <f t="shared" si="22"/>
        <v>0</v>
      </c>
      <c r="CI471" s="35" t="str">
        <f>IF(tblTrazabilidad[[#This Row],[Código]]=0,"",IFERROR(IF(SEARCH("JM",tblTrazabilidad[[#This Row],[Código]])&gt;0,"Juego de pesas",),"Pesa"))</f>
        <v/>
      </c>
      <c r="CJ471" s="35" t="str">
        <f>IFERROR(VLOOKUP($CH471,tblBD_PatronMasa[[Código Patrón]:[mN-(mpe–U95)]],2,FALSE),"")</f>
        <v/>
      </c>
      <c r="CK471" s="35" t="str">
        <f>IFERROR(VLOOKUP($CH471,tblBD_PatronMasa[[Código Patrón]:[mN-(mpe–U95)]],13,FALSE),"")</f>
        <v/>
      </c>
      <c r="CL471" s="34" t="str">
        <f>IF(tblTrazabilidad[[#This Row],[Clase]]="F2",IFERROR(IF(VLOOKUP($CH471,tblBD_PatronMasa[[Código Patrón]:[mN-(mpe–U95)]],12,FALSE)=0,"",VLOOKUP($CH471,tblBD_PatronMasa[[Código Patrón]:[mN-(mpe–U95)]],12,FALSE)+731),""),IF(tblTrazabilidad[[#This Row],[Clase]]="F1",IFERROR(IF(VLOOKUP($CH471,tblBD_PatronMasa[[Código Patrón]:[mN-(mpe–U95)]],12,FALSE)=0,"",VLOOKUP($CH471,tblBD_PatronMasa[[Código Patrón]:[mN-(mpe–U95)]],12,FALSE)+731),""),IFERROR(IF(VLOOKUP($CH471,tblBD_PatronMasa[[Código Patrón]:[mN-(mpe–U95)]],12,FALSE)=0,"",VLOOKUP($CH471,tblBD_PatronMasa[[Código Patrón]:[mN-(mpe–U95)]],12,FALSE)+366),"")))</f>
        <v/>
      </c>
      <c r="CM471" s="33" t="str">
        <f>IFERROR(VLOOKUP($CH471,tblBD_PatronMasa[[Código Patrón]:[mN-(mpe–U95)]],3,FALSE),"")</f>
        <v/>
      </c>
      <c r="CS471" s="32"/>
      <c r="CU471"/>
      <c r="DC471" s="1"/>
      <c r="DD471" s="1"/>
      <c r="DF471"/>
      <c r="DG471"/>
    </row>
    <row r="472" spans="85:111" x14ac:dyDescent="0.3">
      <c r="CG472" s="38">
        <v>466</v>
      </c>
      <c r="CH472" s="35">
        <f t="shared" si="22"/>
        <v>0</v>
      </c>
      <c r="CI472" s="35" t="str">
        <f>IF(tblTrazabilidad[[#This Row],[Código]]=0,"",IFERROR(IF(SEARCH("JM",tblTrazabilidad[[#This Row],[Código]])&gt;0,"Juego de pesas",),"Pesa"))</f>
        <v/>
      </c>
      <c r="CJ472" s="35" t="str">
        <f>IFERROR(VLOOKUP($CH472,tblBD_PatronMasa[[Código Patrón]:[mN-(mpe–U95)]],2,FALSE),"")</f>
        <v/>
      </c>
      <c r="CK472" s="35" t="str">
        <f>IFERROR(VLOOKUP($CH472,tblBD_PatronMasa[[Código Patrón]:[mN-(mpe–U95)]],13,FALSE),"")</f>
        <v/>
      </c>
      <c r="CL472" s="34" t="str">
        <f>IF(tblTrazabilidad[[#This Row],[Clase]]="F2",IFERROR(IF(VLOOKUP($CH472,tblBD_PatronMasa[[Código Patrón]:[mN-(mpe–U95)]],12,FALSE)=0,"",VLOOKUP($CH472,tblBD_PatronMasa[[Código Patrón]:[mN-(mpe–U95)]],12,FALSE)+731),""),IF(tblTrazabilidad[[#This Row],[Clase]]="F1",IFERROR(IF(VLOOKUP($CH472,tblBD_PatronMasa[[Código Patrón]:[mN-(mpe–U95)]],12,FALSE)=0,"",VLOOKUP($CH472,tblBD_PatronMasa[[Código Patrón]:[mN-(mpe–U95)]],12,FALSE)+731),""),IFERROR(IF(VLOOKUP($CH472,tblBD_PatronMasa[[Código Patrón]:[mN-(mpe–U95)]],12,FALSE)=0,"",VLOOKUP($CH472,tblBD_PatronMasa[[Código Patrón]:[mN-(mpe–U95)]],12,FALSE)+366),"")))</f>
        <v/>
      </c>
      <c r="CM472" s="33" t="str">
        <f>IFERROR(VLOOKUP($CH472,tblBD_PatronMasa[[Código Patrón]:[mN-(mpe–U95)]],3,FALSE),"")</f>
        <v/>
      </c>
      <c r="CS472" s="32"/>
      <c r="CU472"/>
      <c r="DC472" s="1"/>
      <c r="DD472" s="1"/>
      <c r="DF472"/>
      <c r="DG472"/>
    </row>
    <row r="473" spans="85:111" x14ac:dyDescent="0.3">
      <c r="CG473" s="38">
        <v>467</v>
      </c>
      <c r="CH473" s="35">
        <f t="shared" si="22"/>
        <v>0</v>
      </c>
      <c r="CI473" s="35" t="str">
        <f>IF(tblTrazabilidad[[#This Row],[Código]]=0,"",IFERROR(IF(SEARCH("JM",tblTrazabilidad[[#This Row],[Código]])&gt;0,"Juego de pesas",),"Pesa"))</f>
        <v/>
      </c>
      <c r="CJ473" s="35" t="str">
        <f>IFERROR(VLOOKUP($CH473,tblBD_PatronMasa[[Código Patrón]:[mN-(mpe–U95)]],2,FALSE),"")</f>
        <v/>
      </c>
      <c r="CK473" s="35" t="str">
        <f>IFERROR(VLOOKUP($CH473,tblBD_PatronMasa[[Código Patrón]:[mN-(mpe–U95)]],13,FALSE),"")</f>
        <v/>
      </c>
      <c r="CL473" s="34" t="str">
        <f>IF(tblTrazabilidad[[#This Row],[Clase]]="F2",IFERROR(IF(VLOOKUP($CH473,tblBD_PatronMasa[[Código Patrón]:[mN-(mpe–U95)]],12,FALSE)=0,"",VLOOKUP($CH473,tblBD_PatronMasa[[Código Patrón]:[mN-(mpe–U95)]],12,FALSE)+731),""),IF(tblTrazabilidad[[#This Row],[Clase]]="F1",IFERROR(IF(VLOOKUP($CH473,tblBD_PatronMasa[[Código Patrón]:[mN-(mpe–U95)]],12,FALSE)=0,"",VLOOKUP($CH473,tblBD_PatronMasa[[Código Patrón]:[mN-(mpe–U95)]],12,FALSE)+731),""),IFERROR(IF(VLOOKUP($CH473,tblBD_PatronMasa[[Código Patrón]:[mN-(mpe–U95)]],12,FALSE)=0,"",VLOOKUP($CH473,tblBD_PatronMasa[[Código Patrón]:[mN-(mpe–U95)]],12,FALSE)+366),"")))</f>
        <v/>
      </c>
      <c r="CM473" s="33" t="str">
        <f>IFERROR(VLOOKUP($CH473,tblBD_PatronMasa[[Código Patrón]:[mN-(mpe–U95)]],3,FALSE),"")</f>
        <v/>
      </c>
      <c r="CS473" s="32"/>
      <c r="CU473"/>
      <c r="DC473" s="1"/>
      <c r="DD473" s="1"/>
      <c r="DF473"/>
      <c r="DG473"/>
    </row>
    <row r="474" spans="85:111" x14ac:dyDescent="0.3">
      <c r="CG474" s="38">
        <v>468</v>
      </c>
      <c r="CH474" s="35">
        <f t="shared" si="22"/>
        <v>0</v>
      </c>
      <c r="CI474" s="35" t="str">
        <f>IF(tblTrazabilidad[[#This Row],[Código]]=0,"",IFERROR(IF(SEARCH("JM",tblTrazabilidad[[#This Row],[Código]])&gt;0,"Juego de pesas",),"Pesa"))</f>
        <v/>
      </c>
      <c r="CJ474" s="35" t="str">
        <f>IFERROR(VLOOKUP($CH474,tblBD_PatronMasa[[Código Patrón]:[mN-(mpe–U95)]],2,FALSE),"")</f>
        <v/>
      </c>
      <c r="CK474" s="35" t="str">
        <f>IFERROR(VLOOKUP($CH474,tblBD_PatronMasa[[Código Patrón]:[mN-(mpe–U95)]],13,FALSE),"")</f>
        <v/>
      </c>
      <c r="CL474" s="34" t="str">
        <f>IF(tblTrazabilidad[[#This Row],[Clase]]="F2",IFERROR(IF(VLOOKUP($CH474,tblBD_PatronMasa[[Código Patrón]:[mN-(mpe–U95)]],12,FALSE)=0,"",VLOOKUP($CH474,tblBD_PatronMasa[[Código Patrón]:[mN-(mpe–U95)]],12,FALSE)+731),""),IF(tblTrazabilidad[[#This Row],[Clase]]="F1",IFERROR(IF(VLOOKUP($CH474,tblBD_PatronMasa[[Código Patrón]:[mN-(mpe–U95)]],12,FALSE)=0,"",VLOOKUP($CH474,tblBD_PatronMasa[[Código Patrón]:[mN-(mpe–U95)]],12,FALSE)+731),""),IFERROR(IF(VLOOKUP($CH474,tblBD_PatronMasa[[Código Patrón]:[mN-(mpe–U95)]],12,FALSE)=0,"",VLOOKUP($CH474,tblBD_PatronMasa[[Código Patrón]:[mN-(mpe–U95)]],12,FALSE)+366),"")))</f>
        <v/>
      </c>
      <c r="CM474" s="33" t="str">
        <f>IFERROR(VLOOKUP($CH474,tblBD_PatronMasa[[Código Patrón]:[mN-(mpe–U95)]],3,FALSE),"")</f>
        <v/>
      </c>
      <c r="CS474" s="32"/>
      <c r="CU474"/>
      <c r="DC474" s="1"/>
      <c r="DD474" s="1"/>
      <c r="DF474"/>
      <c r="DG474"/>
    </row>
    <row r="475" spans="85:111" x14ac:dyDescent="0.3">
      <c r="CG475" s="38">
        <v>469</v>
      </c>
      <c r="CH475" s="35">
        <f t="shared" si="22"/>
        <v>0</v>
      </c>
      <c r="CI475" s="35" t="str">
        <f>IF(tblTrazabilidad[[#This Row],[Código]]=0,"",IFERROR(IF(SEARCH("JM",tblTrazabilidad[[#This Row],[Código]])&gt;0,"Juego de pesas",),"Pesa"))</f>
        <v/>
      </c>
      <c r="CJ475" s="35" t="str">
        <f>IFERROR(VLOOKUP($CH475,tblBD_PatronMasa[[Código Patrón]:[mN-(mpe–U95)]],2,FALSE),"")</f>
        <v/>
      </c>
      <c r="CK475" s="35" t="str">
        <f>IFERROR(VLOOKUP($CH475,tblBD_PatronMasa[[Código Patrón]:[mN-(mpe–U95)]],13,FALSE),"")</f>
        <v/>
      </c>
      <c r="CL475" s="34" t="str">
        <f>IF(tblTrazabilidad[[#This Row],[Clase]]="F2",IFERROR(IF(VLOOKUP($CH475,tblBD_PatronMasa[[Código Patrón]:[mN-(mpe–U95)]],12,FALSE)=0,"",VLOOKUP($CH475,tblBD_PatronMasa[[Código Patrón]:[mN-(mpe–U95)]],12,FALSE)+731),""),IF(tblTrazabilidad[[#This Row],[Clase]]="F1",IFERROR(IF(VLOOKUP($CH475,tblBD_PatronMasa[[Código Patrón]:[mN-(mpe–U95)]],12,FALSE)=0,"",VLOOKUP($CH475,tblBD_PatronMasa[[Código Patrón]:[mN-(mpe–U95)]],12,FALSE)+731),""),IFERROR(IF(VLOOKUP($CH475,tblBD_PatronMasa[[Código Patrón]:[mN-(mpe–U95)]],12,FALSE)=0,"",VLOOKUP($CH475,tblBD_PatronMasa[[Código Patrón]:[mN-(mpe–U95)]],12,FALSE)+366),"")))</f>
        <v/>
      </c>
      <c r="CM475" s="33" t="str">
        <f>IFERROR(VLOOKUP($CH475,tblBD_PatronMasa[[Código Patrón]:[mN-(mpe–U95)]],3,FALSE),"")</f>
        <v/>
      </c>
      <c r="CS475" s="32"/>
      <c r="CU475"/>
      <c r="DC475" s="1"/>
      <c r="DD475" s="1"/>
      <c r="DF475"/>
      <c r="DG475"/>
    </row>
    <row r="476" spans="85:111" x14ac:dyDescent="0.3">
      <c r="CG476" s="38">
        <v>470</v>
      </c>
      <c r="CH476" s="35">
        <f t="shared" si="22"/>
        <v>0</v>
      </c>
      <c r="CI476" s="35" t="str">
        <f>IF(tblTrazabilidad[[#This Row],[Código]]=0,"",IFERROR(IF(SEARCH("JM",tblTrazabilidad[[#This Row],[Código]])&gt;0,"Juego de pesas",),"Pesa"))</f>
        <v/>
      </c>
      <c r="CJ476" s="35" t="str">
        <f>IFERROR(VLOOKUP($CH476,tblBD_PatronMasa[[Código Patrón]:[mN-(mpe–U95)]],2,FALSE),"")</f>
        <v/>
      </c>
      <c r="CK476" s="35" t="str">
        <f>IFERROR(VLOOKUP($CH476,tblBD_PatronMasa[[Código Patrón]:[mN-(mpe–U95)]],13,FALSE),"")</f>
        <v/>
      </c>
      <c r="CL476" s="34" t="str">
        <f>IF(tblTrazabilidad[[#This Row],[Clase]]="F2",IFERROR(IF(VLOOKUP($CH476,tblBD_PatronMasa[[Código Patrón]:[mN-(mpe–U95)]],12,FALSE)=0,"",VLOOKUP($CH476,tblBD_PatronMasa[[Código Patrón]:[mN-(mpe–U95)]],12,FALSE)+731),""),IF(tblTrazabilidad[[#This Row],[Clase]]="F1",IFERROR(IF(VLOOKUP($CH476,tblBD_PatronMasa[[Código Patrón]:[mN-(mpe–U95)]],12,FALSE)=0,"",VLOOKUP($CH476,tblBD_PatronMasa[[Código Patrón]:[mN-(mpe–U95)]],12,FALSE)+731),""),IFERROR(IF(VLOOKUP($CH476,tblBD_PatronMasa[[Código Patrón]:[mN-(mpe–U95)]],12,FALSE)=0,"",VLOOKUP($CH476,tblBD_PatronMasa[[Código Patrón]:[mN-(mpe–U95)]],12,FALSE)+366),"")))</f>
        <v/>
      </c>
      <c r="CM476" s="33" t="str">
        <f>IFERROR(VLOOKUP($CH476,tblBD_PatronMasa[[Código Patrón]:[mN-(mpe–U95)]],3,FALSE),"")</f>
        <v/>
      </c>
      <c r="CS476" s="32"/>
      <c r="CU476"/>
      <c r="DC476" s="1"/>
      <c r="DD476" s="1"/>
      <c r="DF476"/>
      <c r="DG476"/>
    </row>
    <row r="477" spans="85:111" x14ac:dyDescent="0.3">
      <c r="CG477" s="38">
        <v>471</v>
      </c>
      <c r="CH477" s="35">
        <f t="shared" si="22"/>
        <v>0</v>
      </c>
      <c r="CI477" s="35" t="str">
        <f>IF(tblTrazabilidad[[#This Row],[Código]]=0,"",IFERROR(IF(SEARCH("JM",tblTrazabilidad[[#This Row],[Código]])&gt;0,"Juego de pesas",),"Pesa"))</f>
        <v/>
      </c>
      <c r="CJ477" s="35" t="str">
        <f>IFERROR(VLOOKUP($CH477,tblBD_PatronMasa[[Código Patrón]:[mN-(mpe–U95)]],2,FALSE),"")</f>
        <v/>
      </c>
      <c r="CK477" s="35" t="str">
        <f>IFERROR(VLOOKUP($CH477,tblBD_PatronMasa[[Código Patrón]:[mN-(mpe–U95)]],13,FALSE),"")</f>
        <v/>
      </c>
      <c r="CL477" s="34" t="str">
        <f>IF(tblTrazabilidad[[#This Row],[Clase]]="F2",IFERROR(IF(VLOOKUP($CH477,tblBD_PatronMasa[[Código Patrón]:[mN-(mpe–U95)]],12,FALSE)=0,"",VLOOKUP($CH477,tblBD_PatronMasa[[Código Patrón]:[mN-(mpe–U95)]],12,FALSE)+731),""),IF(tblTrazabilidad[[#This Row],[Clase]]="F1",IFERROR(IF(VLOOKUP($CH477,tblBD_PatronMasa[[Código Patrón]:[mN-(mpe–U95)]],12,FALSE)=0,"",VLOOKUP($CH477,tblBD_PatronMasa[[Código Patrón]:[mN-(mpe–U95)]],12,FALSE)+731),""),IFERROR(IF(VLOOKUP($CH477,tblBD_PatronMasa[[Código Patrón]:[mN-(mpe–U95)]],12,FALSE)=0,"",VLOOKUP($CH477,tblBD_PatronMasa[[Código Patrón]:[mN-(mpe–U95)]],12,FALSE)+366),"")))</f>
        <v/>
      </c>
      <c r="CM477" s="33" t="str">
        <f>IFERROR(VLOOKUP($CH477,tblBD_PatronMasa[[Código Patrón]:[mN-(mpe–U95)]],3,FALSE),"")</f>
        <v/>
      </c>
      <c r="CS477" s="32"/>
      <c r="CU477"/>
      <c r="DC477" s="1"/>
      <c r="DD477" s="1"/>
      <c r="DF477"/>
      <c r="DG477"/>
    </row>
    <row r="478" spans="85:111" x14ac:dyDescent="0.3">
      <c r="CG478" s="38">
        <v>472</v>
      </c>
      <c r="CH478" s="35">
        <f t="shared" si="22"/>
        <v>0</v>
      </c>
      <c r="CI478" s="35" t="str">
        <f>IF(tblTrazabilidad[[#This Row],[Código]]=0,"",IFERROR(IF(SEARCH("JM",tblTrazabilidad[[#This Row],[Código]])&gt;0,"Juego de pesas",),"Pesa"))</f>
        <v/>
      </c>
      <c r="CJ478" s="35" t="str">
        <f>IFERROR(VLOOKUP($CH478,tblBD_PatronMasa[[Código Patrón]:[mN-(mpe–U95)]],2,FALSE),"")</f>
        <v/>
      </c>
      <c r="CK478" s="35" t="str">
        <f>IFERROR(VLOOKUP($CH478,tblBD_PatronMasa[[Código Patrón]:[mN-(mpe–U95)]],13,FALSE),"")</f>
        <v/>
      </c>
      <c r="CL478" s="34" t="str">
        <f>IF(tblTrazabilidad[[#This Row],[Clase]]="F2",IFERROR(IF(VLOOKUP($CH478,tblBD_PatronMasa[[Código Patrón]:[mN-(mpe–U95)]],12,FALSE)=0,"",VLOOKUP($CH478,tblBD_PatronMasa[[Código Patrón]:[mN-(mpe–U95)]],12,FALSE)+731),""),IF(tblTrazabilidad[[#This Row],[Clase]]="F1",IFERROR(IF(VLOOKUP($CH478,tblBD_PatronMasa[[Código Patrón]:[mN-(mpe–U95)]],12,FALSE)=0,"",VLOOKUP($CH478,tblBD_PatronMasa[[Código Patrón]:[mN-(mpe–U95)]],12,FALSE)+731),""),IFERROR(IF(VLOOKUP($CH478,tblBD_PatronMasa[[Código Patrón]:[mN-(mpe–U95)]],12,FALSE)=0,"",VLOOKUP($CH478,tblBD_PatronMasa[[Código Patrón]:[mN-(mpe–U95)]],12,FALSE)+366),"")))</f>
        <v/>
      </c>
      <c r="CM478" s="33" t="str">
        <f>IFERROR(VLOOKUP($CH478,tblBD_PatronMasa[[Código Patrón]:[mN-(mpe–U95)]],3,FALSE),"")</f>
        <v/>
      </c>
      <c r="CS478" s="32"/>
      <c r="CU478"/>
      <c r="DC478" s="1"/>
      <c r="DD478" s="1"/>
      <c r="DF478"/>
      <c r="DG478"/>
    </row>
    <row r="479" spans="85:111" x14ac:dyDescent="0.3">
      <c r="CG479" s="38">
        <v>473</v>
      </c>
      <c r="CH479" s="35">
        <f t="shared" si="22"/>
        <v>0</v>
      </c>
      <c r="CI479" s="35" t="str">
        <f>IF(tblTrazabilidad[[#This Row],[Código]]=0,"",IFERROR(IF(SEARCH("JM",tblTrazabilidad[[#This Row],[Código]])&gt;0,"Juego de pesas",),"Pesa"))</f>
        <v/>
      </c>
      <c r="CJ479" s="35" t="str">
        <f>IFERROR(VLOOKUP($CH479,tblBD_PatronMasa[[Código Patrón]:[mN-(mpe–U95)]],2,FALSE),"")</f>
        <v/>
      </c>
      <c r="CK479" s="35" t="str">
        <f>IFERROR(VLOOKUP($CH479,tblBD_PatronMasa[[Código Patrón]:[mN-(mpe–U95)]],13,FALSE),"")</f>
        <v/>
      </c>
      <c r="CL479" s="34" t="str">
        <f>IF(tblTrazabilidad[[#This Row],[Clase]]="F2",IFERROR(IF(VLOOKUP($CH479,tblBD_PatronMasa[[Código Patrón]:[mN-(mpe–U95)]],12,FALSE)=0,"",VLOOKUP($CH479,tblBD_PatronMasa[[Código Patrón]:[mN-(mpe–U95)]],12,FALSE)+731),""),IF(tblTrazabilidad[[#This Row],[Clase]]="F1",IFERROR(IF(VLOOKUP($CH479,tblBD_PatronMasa[[Código Patrón]:[mN-(mpe–U95)]],12,FALSE)=0,"",VLOOKUP($CH479,tblBD_PatronMasa[[Código Patrón]:[mN-(mpe–U95)]],12,FALSE)+731),""),IFERROR(IF(VLOOKUP($CH479,tblBD_PatronMasa[[Código Patrón]:[mN-(mpe–U95)]],12,FALSE)=0,"",VLOOKUP($CH479,tblBD_PatronMasa[[Código Patrón]:[mN-(mpe–U95)]],12,FALSE)+366),"")))</f>
        <v/>
      </c>
      <c r="CM479" s="33" t="str">
        <f>IFERROR(VLOOKUP($CH479,tblBD_PatronMasa[[Código Patrón]:[mN-(mpe–U95)]],3,FALSE),"")</f>
        <v/>
      </c>
      <c r="CS479" s="32"/>
      <c r="CU479"/>
      <c r="DC479" s="1"/>
      <c r="DD479" s="1"/>
      <c r="DF479"/>
      <c r="DG479"/>
    </row>
    <row r="480" spans="85:111" x14ac:dyDescent="0.3">
      <c r="CG480" s="38">
        <v>474</v>
      </c>
      <c r="CH480" s="35">
        <f t="shared" si="22"/>
        <v>0</v>
      </c>
      <c r="CI480" s="35" t="str">
        <f>IF(tblTrazabilidad[[#This Row],[Código]]=0,"",IFERROR(IF(SEARCH("JM",tblTrazabilidad[[#This Row],[Código]])&gt;0,"Juego de pesas",),"Pesa"))</f>
        <v/>
      </c>
      <c r="CJ480" s="35" t="str">
        <f>IFERROR(VLOOKUP($CH480,tblBD_PatronMasa[[Código Patrón]:[mN-(mpe–U95)]],2,FALSE),"")</f>
        <v/>
      </c>
      <c r="CK480" s="35" t="str">
        <f>IFERROR(VLOOKUP($CH480,tblBD_PatronMasa[[Código Patrón]:[mN-(mpe–U95)]],13,FALSE),"")</f>
        <v/>
      </c>
      <c r="CL480" s="34" t="str">
        <f>IF(tblTrazabilidad[[#This Row],[Clase]]="F2",IFERROR(IF(VLOOKUP($CH480,tblBD_PatronMasa[[Código Patrón]:[mN-(mpe–U95)]],12,FALSE)=0,"",VLOOKUP($CH480,tblBD_PatronMasa[[Código Patrón]:[mN-(mpe–U95)]],12,FALSE)+731),""),IF(tblTrazabilidad[[#This Row],[Clase]]="F1",IFERROR(IF(VLOOKUP($CH480,tblBD_PatronMasa[[Código Patrón]:[mN-(mpe–U95)]],12,FALSE)=0,"",VLOOKUP($CH480,tblBD_PatronMasa[[Código Patrón]:[mN-(mpe–U95)]],12,FALSE)+731),""),IFERROR(IF(VLOOKUP($CH480,tblBD_PatronMasa[[Código Patrón]:[mN-(mpe–U95)]],12,FALSE)=0,"",VLOOKUP($CH480,tblBD_PatronMasa[[Código Patrón]:[mN-(mpe–U95)]],12,FALSE)+366),"")))</f>
        <v/>
      </c>
      <c r="CM480" s="33" t="str">
        <f>IFERROR(VLOOKUP($CH480,tblBD_PatronMasa[[Código Patrón]:[mN-(mpe–U95)]],3,FALSE),"")</f>
        <v/>
      </c>
      <c r="CS480" s="32"/>
      <c r="CU480"/>
      <c r="DC480" s="1"/>
      <c r="DD480" s="1"/>
      <c r="DF480"/>
      <c r="DG480"/>
    </row>
    <row r="481" spans="85:111" x14ac:dyDescent="0.3">
      <c r="CG481" s="38">
        <v>475</v>
      </c>
      <c r="CH481" s="35">
        <f t="shared" si="22"/>
        <v>0</v>
      </c>
      <c r="CI481" s="35" t="str">
        <f>IF(tblTrazabilidad[[#This Row],[Código]]=0,"",IFERROR(IF(SEARCH("JM",tblTrazabilidad[[#This Row],[Código]])&gt;0,"Juego de pesas",),"Pesa"))</f>
        <v/>
      </c>
      <c r="CJ481" s="35" t="str">
        <f>IFERROR(VLOOKUP($CH481,tblBD_PatronMasa[[Código Patrón]:[mN-(mpe–U95)]],2,FALSE),"")</f>
        <v/>
      </c>
      <c r="CK481" s="35" t="str">
        <f>IFERROR(VLOOKUP($CH481,tblBD_PatronMasa[[Código Patrón]:[mN-(mpe–U95)]],13,FALSE),"")</f>
        <v/>
      </c>
      <c r="CL481" s="34" t="str">
        <f>IF(tblTrazabilidad[[#This Row],[Clase]]="F2",IFERROR(IF(VLOOKUP($CH481,tblBD_PatronMasa[[Código Patrón]:[mN-(mpe–U95)]],12,FALSE)=0,"",VLOOKUP($CH481,tblBD_PatronMasa[[Código Patrón]:[mN-(mpe–U95)]],12,FALSE)+731),""),IF(tblTrazabilidad[[#This Row],[Clase]]="F1",IFERROR(IF(VLOOKUP($CH481,tblBD_PatronMasa[[Código Patrón]:[mN-(mpe–U95)]],12,FALSE)=0,"",VLOOKUP($CH481,tblBD_PatronMasa[[Código Patrón]:[mN-(mpe–U95)]],12,FALSE)+731),""),IFERROR(IF(VLOOKUP($CH481,tblBD_PatronMasa[[Código Patrón]:[mN-(mpe–U95)]],12,FALSE)=0,"",VLOOKUP($CH481,tblBD_PatronMasa[[Código Patrón]:[mN-(mpe–U95)]],12,FALSE)+366),"")))</f>
        <v/>
      </c>
      <c r="CM481" s="33" t="str">
        <f>IFERROR(VLOOKUP($CH481,tblBD_PatronMasa[[Código Patrón]:[mN-(mpe–U95)]],3,FALSE),"")</f>
        <v/>
      </c>
      <c r="CS481" s="32"/>
      <c r="CU481"/>
      <c r="DC481" s="1"/>
      <c r="DD481" s="1"/>
      <c r="DF481"/>
      <c r="DG481"/>
    </row>
    <row r="482" spans="85:111" x14ac:dyDescent="0.3">
      <c r="CG482" s="38">
        <v>476</v>
      </c>
      <c r="CH482" s="35">
        <f t="shared" si="22"/>
        <v>0</v>
      </c>
      <c r="CI482" s="35" t="str">
        <f>IF(tblTrazabilidad[[#This Row],[Código]]=0,"",IFERROR(IF(SEARCH("JM",tblTrazabilidad[[#This Row],[Código]])&gt;0,"Juego de pesas",),"Pesa"))</f>
        <v/>
      </c>
      <c r="CJ482" s="35" t="str">
        <f>IFERROR(VLOOKUP($CH482,tblBD_PatronMasa[[Código Patrón]:[mN-(mpe–U95)]],2,FALSE),"")</f>
        <v/>
      </c>
      <c r="CK482" s="35" t="str">
        <f>IFERROR(VLOOKUP($CH482,tblBD_PatronMasa[[Código Patrón]:[mN-(mpe–U95)]],13,FALSE),"")</f>
        <v/>
      </c>
      <c r="CL482" s="34" t="str">
        <f>IF(tblTrazabilidad[[#This Row],[Clase]]="F2",IFERROR(IF(VLOOKUP($CH482,tblBD_PatronMasa[[Código Patrón]:[mN-(mpe–U95)]],12,FALSE)=0,"",VLOOKUP($CH482,tblBD_PatronMasa[[Código Patrón]:[mN-(mpe–U95)]],12,FALSE)+731),""),IF(tblTrazabilidad[[#This Row],[Clase]]="F1",IFERROR(IF(VLOOKUP($CH482,tblBD_PatronMasa[[Código Patrón]:[mN-(mpe–U95)]],12,FALSE)=0,"",VLOOKUP($CH482,tblBD_PatronMasa[[Código Patrón]:[mN-(mpe–U95)]],12,FALSE)+731),""),IFERROR(IF(VLOOKUP($CH482,tblBD_PatronMasa[[Código Patrón]:[mN-(mpe–U95)]],12,FALSE)=0,"",VLOOKUP($CH482,tblBD_PatronMasa[[Código Patrón]:[mN-(mpe–U95)]],12,FALSE)+366),"")))</f>
        <v/>
      </c>
      <c r="CM482" s="33" t="str">
        <f>IFERROR(VLOOKUP($CH482,tblBD_PatronMasa[[Código Patrón]:[mN-(mpe–U95)]],3,FALSE),"")</f>
        <v/>
      </c>
      <c r="CS482" s="32"/>
      <c r="CU482"/>
      <c r="DC482" s="1"/>
      <c r="DD482" s="1"/>
      <c r="DF482"/>
      <c r="DG482"/>
    </row>
    <row r="483" spans="85:111" x14ac:dyDescent="0.3">
      <c r="CG483" s="38">
        <v>477</v>
      </c>
      <c r="CH483" s="35">
        <f t="shared" si="22"/>
        <v>0</v>
      </c>
      <c r="CI483" s="35" t="str">
        <f>IF(tblTrazabilidad[[#This Row],[Código]]=0,"",IFERROR(IF(SEARCH("JM",tblTrazabilidad[[#This Row],[Código]])&gt;0,"Juego de pesas",),"Pesa"))</f>
        <v/>
      </c>
      <c r="CJ483" s="35" t="str">
        <f>IFERROR(VLOOKUP($CH483,tblBD_PatronMasa[[Código Patrón]:[mN-(mpe–U95)]],2,FALSE),"")</f>
        <v/>
      </c>
      <c r="CK483" s="35" t="str">
        <f>IFERROR(VLOOKUP($CH483,tblBD_PatronMasa[[Código Patrón]:[mN-(mpe–U95)]],13,FALSE),"")</f>
        <v/>
      </c>
      <c r="CL483" s="34" t="str">
        <f>IF(tblTrazabilidad[[#This Row],[Clase]]="F2",IFERROR(IF(VLOOKUP($CH483,tblBD_PatronMasa[[Código Patrón]:[mN-(mpe–U95)]],12,FALSE)=0,"",VLOOKUP($CH483,tblBD_PatronMasa[[Código Patrón]:[mN-(mpe–U95)]],12,FALSE)+731),""),IF(tblTrazabilidad[[#This Row],[Clase]]="F1",IFERROR(IF(VLOOKUP($CH483,tblBD_PatronMasa[[Código Patrón]:[mN-(mpe–U95)]],12,FALSE)=0,"",VLOOKUP($CH483,tblBD_PatronMasa[[Código Patrón]:[mN-(mpe–U95)]],12,FALSE)+731),""),IFERROR(IF(VLOOKUP($CH483,tblBD_PatronMasa[[Código Patrón]:[mN-(mpe–U95)]],12,FALSE)=0,"",VLOOKUP($CH483,tblBD_PatronMasa[[Código Patrón]:[mN-(mpe–U95)]],12,FALSE)+366),"")))</f>
        <v/>
      </c>
      <c r="CM483" s="33" t="str">
        <f>IFERROR(VLOOKUP($CH483,tblBD_PatronMasa[[Código Patrón]:[mN-(mpe–U95)]],3,FALSE),"")</f>
        <v/>
      </c>
      <c r="CS483" s="32"/>
      <c r="CU483"/>
      <c r="DC483" s="1"/>
      <c r="DD483" s="1"/>
      <c r="DF483"/>
      <c r="DG483"/>
    </row>
    <row r="484" spans="85:111" x14ac:dyDescent="0.3">
      <c r="CG484" s="38">
        <v>478</v>
      </c>
      <c r="CH484" s="35">
        <f t="shared" si="22"/>
        <v>0</v>
      </c>
      <c r="CI484" s="35" t="str">
        <f>IF(tblTrazabilidad[[#This Row],[Código]]=0,"",IFERROR(IF(SEARCH("JM",tblTrazabilidad[[#This Row],[Código]])&gt;0,"Juego de pesas",),"Pesa"))</f>
        <v/>
      </c>
      <c r="CJ484" s="35" t="str">
        <f>IFERROR(VLOOKUP($CH484,tblBD_PatronMasa[[Código Patrón]:[mN-(mpe–U95)]],2,FALSE),"")</f>
        <v/>
      </c>
      <c r="CK484" s="35" t="str">
        <f>IFERROR(VLOOKUP($CH484,tblBD_PatronMasa[[Código Patrón]:[mN-(mpe–U95)]],13,FALSE),"")</f>
        <v/>
      </c>
      <c r="CL484" s="34" t="str">
        <f>IF(tblTrazabilidad[[#This Row],[Clase]]="F2",IFERROR(IF(VLOOKUP($CH484,tblBD_PatronMasa[[Código Patrón]:[mN-(mpe–U95)]],12,FALSE)=0,"",VLOOKUP($CH484,tblBD_PatronMasa[[Código Patrón]:[mN-(mpe–U95)]],12,FALSE)+731),""),IF(tblTrazabilidad[[#This Row],[Clase]]="F1",IFERROR(IF(VLOOKUP($CH484,tblBD_PatronMasa[[Código Patrón]:[mN-(mpe–U95)]],12,FALSE)=0,"",VLOOKUP($CH484,tblBD_PatronMasa[[Código Patrón]:[mN-(mpe–U95)]],12,FALSE)+731),""),IFERROR(IF(VLOOKUP($CH484,tblBD_PatronMasa[[Código Patrón]:[mN-(mpe–U95)]],12,FALSE)=0,"",VLOOKUP($CH484,tblBD_PatronMasa[[Código Patrón]:[mN-(mpe–U95)]],12,FALSE)+366),"")))</f>
        <v/>
      </c>
      <c r="CM484" s="33" t="str">
        <f>IFERROR(VLOOKUP($CH484,tblBD_PatronMasa[[Código Patrón]:[mN-(mpe–U95)]],3,FALSE),"")</f>
        <v/>
      </c>
      <c r="CS484" s="32"/>
      <c r="CU484"/>
      <c r="DC484" s="1"/>
      <c r="DD484" s="1"/>
      <c r="DF484"/>
      <c r="DG484"/>
    </row>
    <row r="485" spans="85:111" x14ac:dyDescent="0.3">
      <c r="CG485" s="38">
        <v>479</v>
      </c>
      <c r="CH485" s="35">
        <f t="shared" si="22"/>
        <v>0</v>
      </c>
      <c r="CI485" s="35" t="str">
        <f>IF(tblTrazabilidad[[#This Row],[Código]]=0,"",IFERROR(IF(SEARCH("JM",tblTrazabilidad[[#This Row],[Código]])&gt;0,"Juego de pesas",),"Pesa"))</f>
        <v/>
      </c>
      <c r="CJ485" s="35" t="str">
        <f>IFERROR(VLOOKUP($CH485,tblBD_PatronMasa[[Código Patrón]:[mN-(mpe–U95)]],2,FALSE),"")</f>
        <v/>
      </c>
      <c r="CK485" s="35" t="str">
        <f>IFERROR(VLOOKUP($CH485,tblBD_PatronMasa[[Código Patrón]:[mN-(mpe–U95)]],13,FALSE),"")</f>
        <v/>
      </c>
      <c r="CL485" s="34" t="str">
        <f>IF(tblTrazabilidad[[#This Row],[Clase]]="F2",IFERROR(IF(VLOOKUP($CH485,tblBD_PatronMasa[[Código Patrón]:[mN-(mpe–U95)]],12,FALSE)=0,"",VLOOKUP($CH485,tblBD_PatronMasa[[Código Patrón]:[mN-(mpe–U95)]],12,FALSE)+731),""),IF(tblTrazabilidad[[#This Row],[Clase]]="F1",IFERROR(IF(VLOOKUP($CH485,tblBD_PatronMasa[[Código Patrón]:[mN-(mpe–U95)]],12,FALSE)=0,"",VLOOKUP($CH485,tblBD_PatronMasa[[Código Patrón]:[mN-(mpe–U95)]],12,FALSE)+731),""),IFERROR(IF(VLOOKUP($CH485,tblBD_PatronMasa[[Código Patrón]:[mN-(mpe–U95)]],12,FALSE)=0,"",VLOOKUP($CH485,tblBD_PatronMasa[[Código Patrón]:[mN-(mpe–U95)]],12,FALSE)+366),"")))</f>
        <v/>
      </c>
      <c r="CM485" s="33" t="str">
        <f>IFERROR(VLOOKUP($CH485,tblBD_PatronMasa[[Código Patrón]:[mN-(mpe–U95)]],3,FALSE),"")</f>
        <v/>
      </c>
      <c r="CS485" s="32"/>
      <c r="CU485"/>
      <c r="DC485" s="1"/>
      <c r="DD485" s="1"/>
      <c r="DF485"/>
      <c r="DG485"/>
    </row>
    <row r="486" spans="85:111" x14ac:dyDescent="0.3">
      <c r="CG486" s="38">
        <v>480</v>
      </c>
      <c r="CH486" s="35">
        <f t="shared" si="22"/>
        <v>0</v>
      </c>
      <c r="CI486" s="35" t="str">
        <f>IF(tblTrazabilidad[[#This Row],[Código]]=0,"",IFERROR(IF(SEARCH("JM",tblTrazabilidad[[#This Row],[Código]])&gt;0,"Juego de pesas",),"Pesa"))</f>
        <v/>
      </c>
      <c r="CJ486" s="35" t="str">
        <f>IFERROR(VLOOKUP($CH486,tblBD_PatronMasa[[Código Patrón]:[mN-(mpe–U95)]],2,FALSE),"")</f>
        <v/>
      </c>
      <c r="CK486" s="35" t="str">
        <f>IFERROR(VLOOKUP($CH486,tblBD_PatronMasa[[Código Patrón]:[mN-(mpe–U95)]],13,FALSE),"")</f>
        <v/>
      </c>
      <c r="CL486" s="34" t="str">
        <f>IF(tblTrazabilidad[[#This Row],[Clase]]="F2",IFERROR(IF(VLOOKUP($CH486,tblBD_PatronMasa[[Código Patrón]:[mN-(mpe–U95)]],12,FALSE)=0,"",VLOOKUP($CH486,tblBD_PatronMasa[[Código Patrón]:[mN-(mpe–U95)]],12,FALSE)+731),""),IF(tblTrazabilidad[[#This Row],[Clase]]="F1",IFERROR(IF(VLOOKUP($CH486,tblBD_PatronMasa[[Código Patrón]:[mN-(mpe–U95)]],12,FALSE)=0,"",VLOOKUP($CH486,tblBD_PatronMasa[[Código Patrón]:[mN-(mpe–U95)]],12,FALSE)+731),""),IFERROR(IF(VLOOKUP($CH486,tblBD_PatronMasa[[Código Patrón]:[mN-(mpe–U95)]],12,FALSE)=0,"",VLOOKUP($CH486,tblBD_PatronMasa[[Código Patrón]:[mN-(mpe–U95)]],12,FALSE)+366),"")))</f>
        <v/>
      </c>
      <c r="CM486" s="33" t="str">
        <f>IFERROR(VLOOKUP($CH486,tblBD_PatronMasa[[Código Patrón]:[mN-(mpe–U95)]],3,FALSE),"")</f>
        <v/>
      </c>
      <c r="CS486" s="32"/>
      <c r="CU486"/>
      <c r="DC486" s="1"/>
      <c r="DD486" s="1"/>
      <c r="DF486"/>
      <c r="DG486"/>
    </row>
    <row r="487" spans="85:111" x14ac:dyDescent="0.3">
      <c r="CG487" s="38">
        <v>481</v>
      </c>
      <c r="CH487" s="35">
        <f t="shared" si="22"/>
        <v>0</v>
      </c>
      <c r="CI487" s="35" t="str">
        <f>IF(tblTrazabilidad[[#This Row],[Código]]=0,"",IFERROR(IF(SEARCH("JM",tblTrazabilidad[[#This Row],[Código]])&gt;0,"Juego de pesas",),"Pesa"))</f>
        <v/>
      </c>
      <c r="CJ487" s="35" t="str">
        <f>IFERROR(VLOOKUP($CH487,tblBD_PatronMasa[[Código Patrón]:[mN-(mpe–U95)]],2,FALSE),"")</f>
        <v/>
      </c>
      <c r="CK487" s="35" t="str">
        <f>IFERROR(VLOOKUP($CH487,tblBD_PatronMasa[[Código Patrón]:[mN-(mpe–U95)]],13,FALSE),"")</f>
        <v/>
      </c>
      <c r="CL487" s="34" t="str">
        <f>IF(tblTrazabilidad[[#This Row],[Clase]]="F2",IFERROR(IF(VLOOKUP($CH487,tblBD_PatronMasa[[Código Patrón]:[mN-(mpe–U95)]],12,FALSE)=0,"",VLOOKUP($CH487,tblBD_PatronMasa[[Código Patrón]:[mN-(mpe–U95)]],12,FALSE)+731),""),IF(tblTrazabilidad[[#This Row],[Clase]]="F1",IFERROR(IF(VLOOKUP($CH487,tblBD_PatronMasa[[Código Patrón]:[mN-(mpe–U95)]],12,FALSE)=0,"",VLOOKUP($CH487,tblBD_PatronMasa[[Código Patrón]:[mN-(mpe–U95)]],12,FALSE)+731),""),IFERROR(IF(VLOOKUP($CH487,tblBD_PatronMasa[[Código Patrón]:[mN-(mpe–U95)]],12,FALSE)=0,"",VLOOKUP($CH487,tblBD_PatronMasa[[Código Patrón]:[mN-(mpe–U95)]],12,FALSE)+366),"")))</f>
        <v/>
      </c>
      <c r="CM487" s="33" t="str">
        <f>IFERROR(VLOOKUP($CH487,tblBD_PatronMasa[[Código Patrón]:[mN-(mpe–U95)]],3,FALSE),"")</f>
        <v/>
      </c>
      <c r="CS487" s="32"/>
      <c r="CU487"/>
      <c r="DC487" s="1"/>
      <c r="DD487" s="1"/>
      <c r="DF487"/>
      <c r="DG487"/>
    </row>
    <row r="488" spans="85:111" x14ac:dyDescent="0.3">
      <c r="CG488" s="38">
        <v>482</v>
      </c>
      <c r="CH488" s="35">
        <f t="shared" si="22"/>
        <v>0</v>
      </c>
      <c r="CI488" s="35" t="str">
        <f>IF(tblTrazabilidad[[#This Row],[Código]]=0,"",IFERROR(IF(SEARCH("JM",tblTrazabilidad[[#This Row],[Código]])&gt;0,"Juego de pesas",),"Pesa"))</f>
        <v/>
      </c>
      <c r="CJ488" s="35" t="str">
        <f>IFERROR(VLOOKUP($CH488,tblBD_PatronMasa[[Código Patrón]:[mN-(mpe–U95)]],2,FALSE),"")</f>
        <v/>
      </c>
      <c r="CK488" s="35" t="str">
        <f>IFERROR(VLOOKUP($CH488,tblBD_PatronMasa[[Código Patrón]:[mN-(mpe–U95)]],13,FALSE),"")</f>
        <v/>
      </c>
      <c r="CL488" s="34" t="str">
        <f>IF(tblTrazabilidad[[#This Row],[Clase]]="F2",IFERROR(IF(VLOOKUP($CH488,tblBD_PatronMasa[[Código Patrón]:[mN-(mpe–U95)]],12,FALSE)=0,"",VLOOKUP($CH488,tblBD_PatronMasa[[Código Patrón]:[mN-(mpe–U95)]],12,FALSE)+731),""),IF(tblTrazabilidad[[#This Row],[Clase]]="F1",IFERROR(IF(VLOOKUP($CH488,tblBD_PatronMasa[[Código Patrón]:[mN-(mpe–U95)]],12,FALSE)=0,"",VLOOKUP($CH488,tblBD_PatronMasa[[Código Patrón]:[mN-(mpe–U95)]],12,FALSE)+731),""),IFERROR(IF(VLOOKUP($CH488,tblBD_PatronMasa[[Código Patrón]:[mN-(mpe–U95)]],12,FALSE)=0,"",VLOOKUP($CH488,tblBD_PatronMasa[[Código Patrón]:[mN-(mpe–U95)]],12,FALSE)+366),"")))</f>
        <v/>
      </c>
      <c r="CM488" s="33" t="str">
        <f>IFERROR(VLOOKUP($CH488,tblBD_PatronMasa[[Código Patrón]:[mN-(mpe–U95)]],3,FALSE),"")</f>
        <v/>
      </c>
      <c r="CS488" s="32"/>
      <c r="CU488"/>
      <c r="DC488" s="1"/>
      <c r="DD488" s="1"/>
      <c r="DF488"/>
      <c r="DG488"/>
    </row>
    <row r="489" spans="85:111" x14ac:dyDescent="0.3">
      <c r="CG489" s="38">
        <v>483</v>
      </c>
      <c r="CH489" s="35">
        <f t="shared" ref="CH489:CH506" si="23">BX37</f>
        <v>0</v>
      </c>
      <c r="CI489" s="35" t="str">
        <f>IF(tblTrazabilidad[[#This Row],[Código]]=0,"",IFERROR(IF(SEARCH("JM",tblTrazabilidad[[#This Row],[Código]])&gt;0,"Juego de pesas",),"Pesa"))</f>
        <v/>
      </c>
      <c r="CJ489" s="35" t="str">
        <f>IFERROR(VLOOKUP($CH489,tblBD_PatronMasa[[Código Patrón]:[mN-(mpe–U95)]],2,FALSE),"")</f>
        <v/>
      </c>
      <c r="CK489" s="35" t="str">
        <f>IFERROR(VLOOKUP($CH489,tblBD_PatronMasa[[Código Patrón]:[mN-(mpe–U95)]],13,FALSE),"")</f>
        <v/>
      </c>
      <c r="CL489" s="34" t="str">
        <f>IF(tblTrazabilidad[[#This Row],[Clase]]="F2",IFERROR(IF(VLOOKUP($CH489,tblBD_PatronMasa[[Código Patrón]:[mN-(mpe–U95)]],12,FALSE)=0,"",VLOOKUP($CH489,tblBD_PatronMasa[[Código Patrón]:[mN-(mpe–U95)]],12,FALSE)+731),""),IF(tblTrazabilidad[[#This Row],[Clase]]="F1",IFERROR(IF(VLOOKUP($CH489,tblBD_PatronMasa[[Código Patrón]:[mN-(mpe–U95)]],12,FALSE)=0,"",VLOOKUP($CH489,tblBD_PatronMasa[[Código Patrón]:[mN-(mpe–U95)]],12,FALSE)+731),""),IFERROR(IF(VLOOKUP($CH489,tblBD_PatronMasa[[Código Patrón]:[mN-(mpe–U95)]],12,FALSE)=0,"",VLOOKUP($CH489,tblBD_PatronMasa[[Código Patrón]:[mN-(mpe–U95)]],12,FALSE)+366),"")))</f>
        <v/>
      </c>
      <c r="CM489" s="33" t="str">
        <f>IFERROR(VLOOKUP($CH489,tblBD_PatronMasa[[Código Patrón]:[mN-(mpe–U95)]],3,FALSE),"")</f>
        <v/>
      </c>
      <c r="CS489" s="32"/>
      <c r="CU489"/>
      <c r="DC489" s="1"/>
      <c r="DD489" s="1"/>
      <c r="DF489"/>
      <c r="DG489"/>
    </row>
    <row r="490" spans="85:111" x14ac:dyDescent="0.3">
      <c r="CG490" s="38">
        <v>484</v>
      </c>
      <c r="CH490" s="35">
        <f t="shared" si="23"/>
        <v>0</v>
      </c>
      <c r="CI490" s="35" t="str">
        <f>IF(tblTrazabilidad[[#This Row],[Código]]=0,"",IFERROR(IF(SEARCH("JM",tblTrazabilidad[[#This Row],[Código]])&gt;0,"Juego de pesas",),"Pesa"))</f>
        <v/>
      </c>
      <c r="CJ490" s="35" t="str">
        <f>IFERROR(VLOOKUP($CH490,tblBD_PatronMasa[[Código Patrón]:[mN-(mpe–U95)]],2,FALSE),"")</f>
        <v/>
      </c>
      <c r="CK490" s="35" t="str">
        <f>IFERROR(VLOOKUP($CH490,tblBD_PatronMasa[[Código Patrón]:[mN-(mpe–U95)]],13,FALSE),"")</f>
        <v/>
      </c>
      <c r="CL490" s="34" t="str">
        <f>IF(tblTrazabilidad[[#This Row],[Clase]]="F2",IFERROR(IF(VLOOKUP($CH490,tblBD_PatronMasa[[Código Patrón]:[mN-(mpe–U95)]],12,FALSE)=0,"",VLOOKUP($CH490,tblBD_PatronMasa[[Código Patrón]:[mN-(mpe–U95)]],12,FALSE)+731),""),IF(tblTrazabilidad[[#This Row],[Clase]]="F1",IFERROR(IF(VLOOKUP($CH490,tblBD_PatronMasa[[Código Patrón]:[mN-(mpe–U95)]],12,FALSE)=0,"",VLOOKUP($CH490,tblBD_PatronMasa[[Código Patrón]:[mN-(mpe–U95)]],12,FALSE)+731),""),IFERROR(IF(VLOOKUP($CH490,tblBD_PatronMasa[[Código Patrón]:[mN-(mpe–U95)]],12,FALSE)=0,"",VLOOKUP($CH490,tblBD_PatronMasa[[Código Patrón]:[mN-(mpe–U95)]],12,FALSE)+366),"")))</f>
        <v/>
      </c>
      <c r="CM490" s="33" t="str">
        <f>IFERROR(VLOOKUP($CH490,tblBD_PatronMasa[[Código Patrón]:[mN-(mpe–U95)]],3,FALSE),"")</f>
        <v/>
      </c>
      <c r="CS490" s="32"/>
      <c r="CU490"/>
      <c r="DC490" s="1"/>
      <c r="DD490" s="1"/>
      <c r="DF490"/>
      <c r="DG490"/>
    </row>
    <row r="491" spans="85:111" x14ac:dyDescent="0.3">
      <c r="CG491" s="38">
        <v>485</v>
      </c>
      <c r="CH491" s="35">
        <f t="shared" si="23"/>
        <v>0</v>
      </c>
      <c r="CI491" s="35" t="str">
        <f>IF(tblTrazabilidad[[#This Row],[Código]]=0,"",IFERROR(IF(SEARCH("JM",tblTrazabilidad[[#This Row],[Código]])&gt;0,"Juego de pesas",),"Pesa"))</f>
        <v/>
      </c>
      <c r="CJ491" s="35" t="str">
        <f>IFERROR(VLOOKUP($CH491,tblBD_PatronMasa[[Código Patrón]:[mN-(mpe–U95)]],2,FALSE),"")</f>
        <v/>
      </c>
      <c r="CK491" s="35" t="str">
        <f>IFERROR(VLOOKUP($CH491,tblBD_PatronMasa[[Código Patrón]:[mN-(mpe–U95)]],13,FALSE),"")</f>
        <v/>
      </c>
      <c r="CL491" s="34" t="str">
        <f>IF(tblTrazabilidad[[#This Row],[Clase]]="F2",IFERROR(IF(VLOOKUP($CH491,tblBD_PatronMasa[[Código Patrón]:[mN-(mpe–U95)]],12,FALSE)=0,"",VLOOKUP($CH491,tblBD_PatronMasa[[Código Patrón]:[mN-(mpe–U95)]],12,FALSE)+731),""),IF(tblTrazabilidad[[#This Row],[Clase]]="F1",IFERROR(IF(VLOOKUP($CH491,tblBD_PatronMasa[[Código Patrón]:[mN-(mpe–U95)]],12,FALSE)=0,"",VLOOKUP($CH491,tblBD_PatronMasa[[Código Patrón]:[mN-(mpe–U95)]],12,FALSE)+731),""),IFERROR(IF(VLOOKUP($CH491,tblBD_PatronMasa[[Código Patrón]:[mN-(mpe–U95)]],12,FALSE)=0,"",VLOOKUP($CH491,tblBD_PatronMasa[[Código Patrón]:[mN-(mpe–U95)]],12,FALSE)+366),"")))</f>
        <v/>
      </c>
      <c r="CM491" s="33" t="str">
        <f>IFERROR(VLOOKUP($CH491,tblBD_PatronMasa[[Código Patrón]:[mN-(mpe–U95)]],3,FALSE),"")</f>
        <v/>
      </c>
      <c r="CS491" s="32"/>
      <c r="CU491"/>
      <c r="DC491" s="1"/>
      <c r="DD491" s="1"/>
      <c r="DF491"/>
      <c r="DG491"/>
    </row>
    <row r="492" spans="85:111" x14ac:dyDescent="0.3">
      <c r="CG492" s="38">
        <v>486</v>
      </c>
      <c r="CH492" s="35">
        <f t="shared" si="23"/>
        <v>0</v>
      </c>
      <c r="CI492" s="35" t="str">
        <f>IF(tblTrazabilidad[[#This Row],[Código]]=0,"",IFERROR(IF(SEARCH("JM",tblTrazabilidad[[#This Row],[Código]])&gt;0,"Juego de pesas",),"Pesa"))</f>
        <v/>
      </c>
      <c r="CJ492" s="35" t="str">
        <f>IFERROR(VLOOKUP($CH492,tblBD_PatronMasa[[Código Patrón]:[mN-(mpe–U95)]],2,FALSE),"")</f>
        <v/>
      </c>
      <c r="CK492" s="35" t="str">
        <f>IFERROR(VLOOKUP($CH492,tblBD_PatronMasa[[Código Patrón]:[mN-(mpe–U95)]],13,FALSE),"")</f>
        <v/>
      </c>
      <c r="CL492" s="34" t="str">
        <f>IF(tblTrazabilidad[[#This Row],[Clase]]="F2",IFERROR(IF(VLOOKUP($CH492,tblBD_PatronMasa[[Código Patrón]:[mN-(mpe–U95)]],12,FALSE)=0,"",VLOOKUP($CH492,tblBD_PatronMasa[[Código Patrón]:[mN-(mpe–U95)]],12,FALSE)+731),""),IF(tblTrazabilidad[[#This Row],[Clase]]="F1",IFERROR(IF(VLOOKUP($CH492,tblBD_PatronMasa[[Código Patrón]:[mN-(mpe–U95)]],12,FALSE)=0,"",VLOOKUP($CH492,tblBD_PatronMasa[[Código Patrón]:[mN-(mpe–U95)]],12,FALSE)+731),""),IFERROR(IF(VLOOKUP($CH492,tblBD_PatronMasa[[Código Patrón]:[mN-(mpe–U95)]],12,FALSE)=0,"",VLOOKUP($CH492,tblBD_PatronMasa[[Código Patrón]:[mN-(mpe–U95)]],12,FALSE)+366),"")))</f>
        <v/>
      </c>
      <c r="CM492" s="33" t="str">
        <f>IFERROR(VLOOKUP($CH492,tblBD_PatronMasa[[Código Patrón]:[mN-(mpe–U95)]],3,FALSE),"")</f>
        <v/>
      </c>
      <c r="CS492" s="32"/>
      <c r="CU492"/>
      <c r="DC492" s="1"/>
      <c r="DD492" s="1"/>
      <c r="DF492"/>
      <c r="DG492"/>
    </row>
    <row r="493" spans="85:111" x14ac:dyDescent="0.3">
      <c r="CG493" s="38">
        <v>487</v>
      </c>
      <c r="CH493" s="35">
        <f t="shared" si="23"/>
        <v>0</v>
      </c>
      <c r="CI493" s="35" t="str">
        <f>IF(tblTrazabilidad[[#This Row],[Código]]=0,"",IFERROR(IF(SEARCH("JM",tblTrazabilidad[[#This Row],[Código]])&gt;0,"Juego de pesas",),"Pesa"))</f>
        <v/>
      </c>
      <c r="CJ493" s="35" t="str">
        <f>IFERROR(VLOOKUP($CH493,tblBD_PatronMasa[[Código Patrón]:[mN-(mpe–U95)]],2,FALSE),"")</f>
        <v/>
      </c>
      <c r="CK493" s="35" t="str">
        <f>IFERROR(VLOOKUP($CH493,tblBD_PatronMasa[[Código Patrón]:[mN-(mpe–U95)]],13,FALSE),"")</f>
        <v/>
      </c>
      <c r="CL493" s="34" t="str">
        <f>IF(tblTrazabilidad[[#This Row],[Clase]]="F2",IFERROR(IF(VLOOKUP($CH493,tblBD_PatronMasa[[Código Patrón]:[mN-(mpe–U95)]],12,FALSE)=0,"",VLOOKUP($CH493,tblBD_PatronMasa[[Código Patrón]:[mN-(mpe–U95)]],12,FALSE)+731),""),IF(tblTrazabilidad[[#This Row],[Clase]]="F1",IFERROR(IF(VLOOKUP($CH493,tblBD_PatronMasa[[Código Patrón]:[mN-(mpe–U95)]],12,FALSE)=0,"",VLOOKUP($CH493,tblBD_PatronMasa[[Código Patrón]:[mN-(mpe–U95)]],12,FALSE)+731),""),IFERROR(IF(VLOOKUP($CH493,tblBD_PatronMasa[[Código Patrón]:[mN-(mpe–U95)]],12,FALSE)=0,"",VLOOKUP($CH493,tblBD_PatronMasa[[Código Patrón]:[mN-(mpe–U95)]],12,FALSE)+366),"")))</f>
        <v/>
      </c>
      <c r="CM493" s="33" t="str">
        <f>IFERROR(VLOOKUP($CH493,tblBD_PatronMasa[[Código Patrón]:[mN-(mpe–U95)]],3,FALSE),"")</f>
        <v/>
      </c>
      <c r="CS493" s="32"/>
      <c r="CU493"/>
      <c r="DC493" s="1"/>
      <c r="DD493" s="1"/>
      <c r="DF493"/>
      <c r="DG493"/>
    </row>
    <row r="494" spans="85:111" x14ac:dyDescent="0.3">
      <c r="CG494" s="38">
        <v>488</v>
      </c>
      <c r="CH494" s="35">
        <f t="shared" si="23"/>
        <v>0</v>
      </c>
      <c r="CI494" s="35" t="str">
        <f>IF(tblTrazabilidad[[#This Row],[Código]]=0,"",IFERROR(IF(SEARCH("JM",tblTrazabilidad[[#This Row],[Código]])&gt;0,"Juego de pesas",),"Pesa"))</f>
        <v/>
      </c>
      <c r="CJ494" s="35" t="str">
        <f>IFERROR(VLOOKUP($CH494,tblBD_PatronMasa[[Código Patrón]:[mN-(mpe–U95)]],2,FALSE),"")</f>
        <v/>
      </c>
      <c r="CK494" s="35" t="str">
        <f>IFERROR(VLOOKUP($CH494,tblBD_PatronMasa[[Código Patrón]:[mN-(mpe–U95)]],13,FALSE),"")</f>
        <v/>
      </c>
      <c r="CL494" s="34" t="str">
        <f>IF(tblTrazabilidad[[#This Row],[Clase]]="F2",IFERROR(IF(VLOOKUP($CH494,tblBD_PatronMasa[[Código Patrón]:[mN-(mpe–U95)]],12,FALSE)=0,"",VLOOKUP($CH494,tblBD_PatronMasa[[Código Patrón]:[mN-(mpe–U95)]],12,FALSE)+731),""),IF(tblTrazabilidad[[#This Row],[Clase]]="F1",IFERROR(IF(VLOOKUP($CH494,tblBD_PatronMasa[[Código Patrón]:[mN-(mpe–U95)]],12,FALSE)=0,"",VLOOKUP($CH494,tblBD_PatronMasa[[Código Patrón]:[mN-(mpe–U95)]],12,FALSE)+731),""),IFERROR(IF(VLOOKUP($CH494,tblBD_PatronMasa[[Código Patrón]:[mN-(mpe–U95)]],12,FALSE)=0,"",VLOOKUP($CH494,tblBD_PatronMasa[[Código Patrón]:[mN-(mpe–U95)]],12,FALSE)+366),"")))</f>
        <v/>
      </c>
      <c r="CM494" s="33" t="str">
        <f>IFERROR(VLOOKUP($CH494,tblBD_PatronMasa[[Código Patrón]:[mN-(mpe–U95)]],3,FALSE),"")</f>
        <v/>
      </c>
      <c r="CS494" s="32"/>
      <c r="CU494"/>
      <c r="DC494" s="1"/>
      <c r="DD494" s="1"/>
      <c r="DF494"/>
      <c r="DG494"/>
    </row>
    <row r="495" spans="85:111" x14ac:dyDescent="0.3">
      <c r="CG495" s="38">
        <v>489</v>
      </c>
      <c r="CH495" s="35">
        <f t="shared" si="23"/>
        <v>0</v>
      </c>
      <c r="CI495" s="35" t="str">
        <f>IF(tblTrazabilidad[[#This Row],[Código]]=0,"",IFERROR(IF(SEARCH("JM",tblTrazabilidad[[#This Row],[Código]])&gt;0,"Juego de pesas",),"Pesa"))</f>
        <v/>
      </c>
      <c r="CJ495" s="35" t="str">
        <f>IFERROR(VLOOKUP($CH495,tblBD_PatronMasa[[Código Patrón]:[mN-(mpe–U95)]],2,FALSE),"")</f>
        <v/>
      </c>
      <c r="CK495" s="35" t="str">
        <f>IFERROR(VLOOKUP($CH495,tblBD_PatronMasa[[Código Patrón]:[mN-(mpe–U95)]],13,FALSE),"")</f>
        <v/>
      </c>
      <c r="CL495" s="34" t="str">
        <f>IF(tblTrazabilidad[[#This Row],[Clase]]="F2",IFERROR(IF(VLOOKUP($CH495,tblBD_PatronMasa[[Código Patrón]:[mN-(mpe–U95)]],12,FALSE)=0,"",VLOOKUP($CH495,tblBD_PatronMasa[[Código Patrón]:[mN-(mpe–U95)]],12,FALSE)+731),""),IF(tblTrazabilidad[[#This Row],[Clase]]="F1",IFERROR(IF(VLOOKUP($CH495,tblBD_PatronMasa[[Código Patrón]:[mN-(mpe–U95)]],12,FALSE)=0,"",VLOOKUP($CH495,tblBD_PatronMasa[[Código Patrón]:[mN-(mpe–U95)]],12,FALSE)+731),""),IFERROR(IF(VLOOKUP($CH495,tblBD_PatronMasa[[Código Patrón]:[mN-(mpe–U95)]],12,FALSE)=0,"",VLOOKUP($CH495,tblBD_PatronMasa[[Código Patrón]:[mN-(mpe–U95)]],12,FALSE)+366),"")))</f>
        <v/>
      </c>
      <c r="CM495" s="33" t="str">
        <f>IFERROR(VLOOKUP($CH495,tblBD_PatronMasa[[Código Patrón]:[mN-(mpe–U95)]],3,FALSE),"")</f>
        <v/>
      </c>
      <c r="CS495" s="32"/>
      <c r="CU495"/>
      <c r="DC495" s="1"/>
      <c r="DD495" s="1"/>
      <c r="DF495"/>
      <c r="DG495"/>
    </row>
    <row r="496" spans="85:111" x14ac:dyDescent="0.3">
      <c r="CG496" s="38">
        <v>490</v>
      </c>
      <c r="CH496" s="35">
        <f t="shared" si="23"/>
        <v>0</v>
      </c>
      <c r="CI496" s="35" t="str">
        <f>IF(tblTrazabilidad[[#This Row],[Código]]=0,"",IFERROR(IF(SEARCH("JM",tblTrazabilidad[[#This Row],[Código]])&gt;0,"Juego de pesas",),"Pesa"))</f>
        <v/>
      </c>
      <c r="CJ496" s="35" t="str">
        <f>IFERROR(VLOOKUP($CH496,tblBD_PatronMasa[[Código Patrón]:[mN-(mpe–U95)]],2,FALSE),"")</f>
        <v/>
      </c>
      <c r="CK496" s="35" t="str">
        <f>IFERROR(VLOOKUP($CH496,tblBD_PatronMasa[[Código Patrón]:[mN-(mpe–U95)]],13,FALSE),"")</f>
        <v/>
      </c>
      <c r="CL496" s="34" t="str">
        <f>IF(tblTrazabilidad[[#This Row],[Clase]]="F2",IFERROR(IF(VLOOKUP($CH496,tblBD_PatronMasa[[Código Patrón]:[mN-(mpe–U95)]],12,FALSE)=0,"",VLOOKUP($CH496,tblBD_PatronMasa[[Código Patrón]:[mN-(mpe–U95)]],12,FALSE)+731),""),IF(tblTrazabilidad[[#This Row],[Clase]]="F1",IFERROR(IF(VLOOKUP($CH496,tblBD_PatronMasa[[Código Patrón]:[mN-(mpe–U95)]],12,FALSE)=0,"",VLOOKUP($CH496,tblBD_PatronMasa[[Código Patrón]:[mN-(mpe–U95)]],12,FALSE)+731),""),IFERROR(IF(VLOOKUP($CH496,tblBD_PatronMasa[[Código Patrón]:[mN-(mpe–U95)]],12,FALSE)=0,"",VLOOKUP($CH496,tblBD_PatronMasa[[Código Patrón]:[mN-(mpe–U95)]],12,FALSE)+366),"")))</f>
        <v/>
      </c>
      <c r="CM496" s="33" t="str">
        <f>IFERROR(VLOOKUP($CH496,tblBD_PatronMasa[[Código Patrón]:[mN-(mpe–U95)]],3,FALSE),"")</f>
        <v/>
      </c>
      <c r="CS496" s="32"/>
      <c r="CU496"/>
      <c r="DC496" s="1"/>
      <c r="DD496" s="1"/>
      <c r="DF496"/>
      <c r="DG496"/>
    </row>
    <row r="497" spans="85:111" x14ac:dyDescent="0.3">
      <c r="CG497" s="38">
        <v>491</v>
      </c>
      <c r="CH497" s="35">
        <f t="shared" si="23"/>
        <v>0</v>
      </c>
      <c r="CI497" s="35" t="str">
        <f>IF(tblTrazabilidad[[#This Row],[Código]]=0,"",IFERROR(IF(SEARCH("JM",tblTrazabilidad[[#This Row],[Código]])&gt;0,"Juego de pesas",),"Pesa"))</f>
        <v/>
      </c>
      <c r="CJ497" s="35" t="str">
        <f>IFERROR(VLOOKUP($CH497,tblBD_PatronMasa[[Código Patrón]:[mN-(mpe–U95)]],2,FALSE),"")</f>
        <v/>
      </c>
      <c r="CK497" s="35" t="str">
        <f>IFERROR(VLOOKUP($CH497,tblBD_PatronMasa[[Código Patrón]:[mN-(mpe–U95)]],13,FALSE),"")</f>
        <v/>
      </c>
      <c r="CL497" s="34" t="str">
        <f>IF(tblTrazabilidad[[#This Row],[Clase]]="F2",IFERROR(IF(VLOOKUP($CH497,tblBD_PatronMasa[[Código Patrón]:[mN-(mpe–U95)]],12,FALSE)=0,"",VLOOKUP($CH497,tblBD_PatronMasa[[Código Patrón]:[mN-(mpe–U95)]],12,FALSE)+731),""),IF(tblTrazabilidad[[#This Row],[Clase]]="F1",IFERROR(IF(VLOOKUP($CH497,tblBD_PatronMasa[[Código Patrón]:[mN-(mpe–U95)]],12,FALSE)=0,"",VLOOKUP($CH497,tblBD_PatronMasa[[Código Patrón]:[mN-(mpe–U95)]],12,FALSE)+731),""),IFERROR(IF(VLOOKUP($CH497,tblBD_PatronMasa[[Código Patrón]:[mN-(mpe–U95)]],12,FALSE)=0,"",VLOOKUP($CH497,tblBD_PatronMasa[[Código Patrón]:[mN-(mpe–U95)]],12,FALSE)+366),"")))</f>
        <v/>
      </c>
      <c r="CM497" s="33" t="str">
        <f>IFERROR(VLOOKUP($CH497,tblBD_PatronMasa[[Código Patrón]:[mN-(mpe–U95)]],3,FALSE),"")</f>
        <v/>
      </c>
      <c r="CS497" s="32"/>
      <c r="CU497"/>
      <c r="DC497" s="1"/>
      <c r="DD497" s="1"/>
      <c r="DF497"/>
      <c r="DG497"/>
    </row>
    <row r="498" spans="85:111" x14ac:dyDescent="0.3">
      <c r="CG498" s="38">
        <v>492</v>
      </c>
      <c r="CH498" s="35">
        <f t="shared" si="23"/>
        <v>0</v>
      </c>
      <c r="CI498" s="35" t="str">
        <f>IF(tblTrazabilidad[[#This Row],[Código]]=0,"",IFERROR(IF(SEARCH("JM",tblTrazabilidad[[#This Row],[Código]])&gt;0,"Juego de pesas",),"Pesa"))</f>
        <v/>
      </c>
      <c r="CJ498" s="35" t="str">
        <f>IFERROR(VLOOKUP($CH498,tblBD_PatronMasa[[Código Patrón]:[mN-(mpe–U95)]],2,FALSE),"")</f>
        <v/>
      </c>
      <c r="CK498" s="35" t="str">
        <f>IFERROR(VLOOKUP($CH498,tblBD_PatronMasa[[Código Patrón]:[mN-(mpe–U95)]],13,FALSE),"")</f>
        <v/>
      </c>
      <c r="CL498" s="34" t="str">
        <f>IF(tblTrazabilidad[[#This Row],[Clase]]="F2",IFERROR(IF(VLOOKUP($CH498,tblBD_PatronMasa[[Código Patrón]:[mN-(mpe–U95)]],12,FALSE)=0,"",VLOOKUP($CH498,tblBD_PatronMasa[[Código Patrón]:[mN-(mpe–U95)]],12,FALSE)+731),""),IF(tblTrazabilidad[[#This Row],[Clase]]="F1",IFERROR(IF(VLOOKUP($CH498,tblBD_PatronMasa[[Código Patrón]:[mN-(mpe–U95)]],12,FALSE)=0,"",VLOOKUP($CH498,tblBD_PatronMasa[[Código Patrón]:[mN-(mpe–U95)]],12,FALSE)+731),""),IFERROR(IF(VLOOKUP($CH498,tblBD_PatronMasa[[Código Patrón]:[mN-(mpe–U95)]],12,FALSE)=0,"",VLOOKUP($CH498,tblBD_PatronMasa[[Código Patrón]:[mN-(mpe–U95)]],12,FALSE)+366),"")))</f>
        <v/>
      </c>
      <c r="CM498" s="33" t="str">
        <f>IFERROR(VLOOKUP($CH498,tblBD_PatronMasa[[Código Patrón]:[mN-(mpe–U95)]],3,FALSE),"")</f>
        <v/>
      </c>
      <c r="CS498" s="32"/>
      <c r="CU498"/>
      <c r="DC498" s="1"/>
      <c r="DD498" s="1"/>
      <c r="DF498"/>
      <c r="DG498"/>
    </row>
    <row r="499" spans="85:111" x14ac:dyDescent="0.3">
      <c r="CG499" s="38">
        <v>493</v>
      </c>
      <c r="CH499" s="35">
        <f t="shared" si="23"/>
        <v>0</v>
      </c>
      <c r="CI499" s="35" t="str">
        <f>IF(tblTrazabilidad[[#This Row],[Código]]=0,"",IFERROR(IF(SEARCH("JM",tblTrazabilidad[[#This Row],[Código]])&gt;0,"Juego de pesas",),"Pesa"))</f>
        <v/>
      </c>
      <c r="CJ499" s="35" t="str">
        <f>IFERROR(VLOOKUP($CH499,tblBD_PatronMasa[[Código Patrón]:[mN-(mpe–U95)]],2,FALSE),"")</f>
        <v/>
      </c>
      <c r="CK499" s="35" t="str">
        <f>IFERROR(VLOOKUP($CH499,tblBD_PatronMasa[[Código Patrón]:[mN-(mpe–U95)]],13,FALSE),"")</f>
        <v/>
      </c>
      <c r="CL499" s="34" t="str">
        <f>IF(tblTrazabilidad[[#This Row],[Clase]]="F2",IFERROR(IF(VLOOKUP($CH499,tblBD_PatronMasa[[Código Patrón]:[mN-(mpe–U95)]],12,FALSE)=0,"",VLOOKUP($CH499,tblBD_PatronMasa[[Código Patrón]:[mN-(mpe–U95)]],12,FALSE)+731),""),IF(tblTrazabilidad[[#This Row],[Clase]]="F1",IFERROR(IF(VLOOKUP($CH499,tblBD_PatronMasa[[Código Patrón]:[mN-(mpe–U95)]],12,FALSE)=0,"",VLOOKUP($CH499,tblBD_PatronMasa[[Código Patrón]:[mN-(mpe–U95)]],12,FALSE)+731),""),IFERROR(IF(VLOOKUP($CH499,tblBD_PatronMasa[[Código Patrón]:[mN-(mpe–U95)]],12,FALSE)=0,"",VLOOKUP($CH499,tblBD_PatronMasa[[Código Patrón]:[mN-(mpe–U95)]],12,FALSE)+366),"")))</f>
        <v/>
      </c>
      <c r="CM499" s="33" t="str">
        <f>IFERROR(VLOOKUP($CH499,tblBD_PatronMasa[[Código Patrón]:[mN-(mpe–U95)]],3,FALSE),"")</f>
        <v/>
      </c>
      <c r="CS499" s="32"/>
      <c r="CU499"/>
      <c r="DC499" s="1"/>
      <c r="DD499" s="1"/>
      <c r="DF499"/>
      <c r="DG499"/>
    </row>
    <row r="500" spans="85:111" x14ac:dyDescent="0.3">
      <c r="CG500" s="38">
        <v>494</v>
      </c>
      <c r="CH500" s="35">
        <f t="shared" si="23"/>
        <v>0</v>
      </c>
      <c r="CI500" s="35" t="str">
        <f>IF(tblTrazabilidad[[#This Row],[Código]]=0,"",IFERROR(IF(SEARCH("JM",tblTrazabilidad[[#This Row],[Código]])&gt;0,"Juego de pesas",),"Pesa"))</f>
        <v/>
      </c>
      <c r="CJ500" s="35" t="str">
        <f>IFERROR(VLOOKUP($CH500,tblBD_PatronMasa[[Código Patrón]:[mN-(mpe–U95)]],2,FALSE),"")</f>
        <v/>
      </c>
      <c r="CK500" s="35" t="str">
        <f>IFERROR(VLOOKUP($CH500,tblBD_PatronMasa[[Código Patrón]:[mN-(mpe–U95)]],13,FALSE),"")</f>
        <v/>
      </c>
      <c r="CL500" s="34" t="str">
        <f>IF(tblTrazabilidad[[#This Row],[Clase]]="F2",IFERROR(IF(VLOOKUP($CH500,tblBD_PatronMasa[[Código Patrón]:[mN-(mpe–U95)]],12,FALSE)=0,"",VLOOKUP($CH500,tblBD_PatronMasa[[Código Patrón]:[mN-(mpe–U95)]],12,FALSE)+731),""),IF(tblTrazabilidad[[#This Row],[Clase]]="F1",IFERROR(IF(VLOOKUP($CH500,tblBD_PatronMasa[[Código Patrón]:[mN-(mpe–U95)]],12,FALSE)=0,"",VLOOKUP($CH500,tblBD_PatronMasa[[Código Patrón]:[mN-(mpe–U95)]],12,FALSE)+731),""),IFERROR(IF(VLOOKUP($CH500,tblBD_PatronMasa[[Código Patrón]:[mN-(mpe–U95)]],12,FALSE)=0,"",VLOOKUP($CH500,tblBD_PatronMasa[[Código Patrón]:[mN-(mpe–U95)]],12,FALSE)+366),"")))</f>
        <v/>
      </c>
      <c r="CM500" s="33" t="str">
        <f>IFERROR(VLOOKUP($CH500,tblBD_PatronMasa[[Código Patrón]:[mN-(mpe–U95)]],3,FALSE),"")</f>
        <v/>
      </c>
      <c r="CS500" s="32"/>
      <c r="CU500"/>
      <c r="DC500" s="1"/>
      <c r="DD500" s="1"/>
      <c r="DF500"/>
      <c r="DG500"/>
    </row>
    <row r="501" spans="85:111" x14ac:dyDescent="0.3">
      <c r="CG501" s="38">
        <v>495</v>
      </c>
      <c r="CH501" s="35">
        <f t="shared" si="23"/>
        <v>0</v>
      </c>
      <c r="CI501" s="35" t="str">
        <f>IF(tblTrazabilidad[[#This Row],[Código]]=0,"",IFERROR(IF(SEARCH("JM",tblTrazabilidad[[#This Row],[Código]])&gt;0,"Juego de pesas",),"Pesa"))</f>
        <v/>
      </c>
      <c r="CJ501" s="35" t="str">
        <f>IFERROR(VLOOKUP($CH501,tblBD_PatronMasa[[Código Patrón]:[mN-(mpe–U95)]],2,FALSE),"")</f>
        <v/>
      </c>
      <c r="CK501" s="35" t="str">
        <f>IFERROR(VLOOKUP($CH501,tblBD_PatronMasa[[Código Patrón]:[mN-(mpe–U95)]],13,FALSE),"")</f>
        <v/>
      </c>
      <c r="CL501" s="34" t="str">
        <f>IF(tblTrazabilidad[[#This Row],[Clase]]="F2",IFERROR(IF(VLOOKUP($CH501,tblBD_PatronMasa[[Código Patrón]:[mN-(mpe–U95)]],12,FALSE)=0,"",VLOOKUP($CH501,tblBD_PatronMasa[[Código Patrón]:[mN-(mpe–U95)]],12,FALSE)+731),""),IF(tblTrazabilidad[[#This Row],[Clase]]="F1",IFERROR(IF(VLOOKUP($CH501,tblBD_PatronMasa[[Código Patrón]:[mN-(mpe–U95)]],12,FALSE)=0,"",VLOOKUP($CH501,tblBD_PatronMasa[[Código Patrón]:[mN-(mpe–U95)]],12,FALSE)+731),""),IFERROR(IF(VLOOKUP($CH501,tblBD_PatronMasa[[Código Patrón]:[mN-(mpe–U95)]],12,FALSE)=0,"",VLOOKUP($CH501,tblBD_PatronMasa[[Código Patrón]:[mN-(mpe–U95)]],12,FALSE)+366),"")))</f>
        <v/>
      </c>
      <c r="CM501" s="33" t="str">
        <f>IFERROR(VLOOKUP($CH501,tblBD_PatronMasa[[Código Patrón]:[mN-(mpe–U95)]],3,FALSE),"")</f>
        <v/>
      </c>
      <c r="CS501" s="32"/>
      <c r="CU501"/>
      <c r="DC501" s="1"/>
      <c r="DD501" s="1"/>
      <c r="DF501"/>
      <c r="DG501"/>
    </row>
    <row r="502" spans="85:111" x14ac:dyDescent="0.3">
      <c r="CG502" s="38">
        <v>496</v>
      </c>
      <c r="CH502" s="35">
        <f t="shared" si="23"/>
        <v>0</v>
      </c>
      <c r="CI502" s="35" t="str">
        <f>IF(tblTrazabilidad[[#This Row],[Código]]=0,"",IFERROR(IF(SEARCH("JM",tblTrazabilidad[[#This Row],[Código]])&gt;0,"Juego de pesas",),"Pesa"))</f>
        <v/>
      </c>
      <c r="CJ502" s="35" t="str">
        <f>IFERROR(VLOOKUP($CH502,tblBD_PatronMasa[[Código Patrón]:[mN-(mpe–U95)]],2,FALSE),"")</f>
        <v/>
      </c>
      <c r="CK502" s="35" t="str">
        <f>IFERROR(VLOOKUP($CH502,tblBD_PatronMasa[[Código Patrón]:[mN-(mpe–U95)]],13,FALSE),"")</f>
        <v/>
      </c>
      <c r="CL502" s="34" t="str">
        <f>IF(tblTrazabilidad[[#This Row],[Clase]]="F2",IFERROR(IF(VLOOKUP($CH502,tblBD_PatronMasa[[Código Patrón]:[mN-(mpe–U95)]],12,FALSE)=0,"",VLOOKUP($CH502,tblBD_PatronMasa[[Código Patrón]:[mN-(mpe–U95)]],12,FALSE)+731),""),IF(tblTrazabilidad[[#This Row],[Clase]]="F1",IFERROR(IF(VLOOKUP($CH502,tblBD_PatronMasa[[Código Patrón]:[mN-(mpe–U95)]],12,FALSE)=0,"",VLOOKUP($CH502,tblBD_PatronMasa[[Código Patrón]:[mN-(mpe–U95)]],12,FALSE)+731),""),IFERROR(IF(VLOOKUP($CH502,tblBD_PatronMasa[[Código Patrón]:[mN-(mpe–U95)]],12,FALSE)=0,"",VLOOKUP($CH502,tblBD_PatronMasa[[Código Patrón]:[mN-(mpe–U95)]],12,FALSE)+366),"")))</f>
        <v/>
      </c>
      <c r="CM502" s="33" t="str">
        <f>IFERROR(VLOOKUP($CH502,tblBD_PatronMasa[[Código Patrón]:[mN-(mpe–U95)]],3,FALSE),"")</f>
        <v/>
      </c>
      <c r="CS502" s="32"/>
      <c r="CU502"/>
      <c r="DC502" s="1"/>
      <c r="DD502" s="1"/>
      <c r="DF502"/>
      <c r="DG502"/>
    </row>
    <row r="503" spans="85:111" x14ac:dyDescent="0.3">
      <c r="CG503" s="38">
        <v>497</v>
      </c>
      <c r="CH503" s="35">
        <f t="shared" si="23"/>
        <v>0</v>
      </c>
      <c r="CI503" s="35" t="str">
        <f>IF(tblTrazabilidad[[#This Row],[Código]]=0,"",IFERROR(IF(SEARCH("JM",tblTrazabilidad[[#This Row],[Código]])&gt;0,"Juego de pesas",),"Pesa"))</f>
        <v/>
      </c>
      <c r="CJ503" s="35" t="str">
        <f>IFERROR(VLOOKUP($CH503,tblBD_PatronMasa[[Código Patrón]:[mN-(mpe–U95)]],2,FALSE),"")</f>
        <v/>
      </c>
      <c r="CK503" s="35" t="str">
        <f>IFERROR(VLOOKUP($CH503,tblBD_PatronMasa[[Código Patrón]:[mN-(mpe–U95)]],13,FALSE),"")</f>
        <v/>
      </c>
      <c r="CL503" s="34" t="str">
        <f>IF(tblTrazabilidad[[#This Row],[Clase]]="F2",IFERROR(IF(VLOOKUP($CH503,tblBD_PatronMasa[[Código Patrón]:[mN-(mpe–U95)]],12,FALSE)=0,"",VLOOKUP($CH503,tblBD_PatronMasa[[Código Patrón]:[mN-(mpe–U95)]],12,FALSE)+731),""),IF(tblTrazabilidad[[#This Row],[Clase]]="F1",IFERROR(IF(VLOOKUP($CH503,tblBD_PatronMasa[[Código Patrón]:[mN-(mpe–U95)]],12,FALSE)=0,"",VLOOKUP($CH503,tblBD_PatronMasa[[Código Patrón]:[mN-(mpe–U95)]],12,FALSE)+731),""),IFERROR(IF(VLOOKUP($CH503,tblBD_PatronMasa[[Código Patrón]:[mN-(mpe–U95)]],12,FALSE)=0,"",VLOOKUP($CH503,tblBD_PatronMasa[[Código Patrón]:[mN-(mpe–U95)]],12,FALSE)+366),"")))</f>
        <v/>
      </c>
      <c r="CM503" s="33" t="str">
        <f>IFERROR(VLOOKUP($CH503,tblBD_PatronMasa[[Código Patrón]:[mN-(mpe–U95)]],3,FALSE),"")</f>
        <v/>
      </c>
      <c r="CS503" s="32"/>
      <c r="CU503"/>
      <c r="DC503" s="1"/>
      <c r="DD503" s="1"/>
      <c r="DF503"/>
      <c r="DG503"/>
    </row>
    <row r="504" spans="85:111" x14ac:dyDescent="0.3">
      <c r="CG504" s="38">
        <v>498</v>
      </c>
      <c r="CH504" s="35">
        <f t="shared" si="23"/>
        <v>0</v>
      </c>
      <c r="CI504" s="35" t="str">
        <f>IF(tblTrazabilidad[[#This Row],[Código]]=0,"",IFERROR(IF(SEARCH("JM",tblTrazabilidad[[#This Row],[Código]])&gt;0,"Juego de pesas",),"Pesa"))</f>
        <v/>
      </c>
      <c r="CJ504" s="35" t="str">
        <f>IFERROR(VLOOKUP($CH504,tblBD_PatronMasa[[Código Patrón]:[mN-(mpe–U95)]],2,FALSE),"")</f>
        <v/>
      </c>
      <c r="CK504" s="35" t="str">
        <f>IFERROR(VLOOKUP($CH504,tblBD_PatronMasa[[Código Patrón]:[mN-(mpe–U95)]],13,FALSE),"")</f>
        <v/>
      </c>
      <c r="CL504" s="34" t="str">
        <f>IF(tblTrazabilidad[[#This Row],[Clase]]="F2",IFERROR(IF(VLOOKUP($CH504,tblBD_PatronMasa[[Código Patrón]:[mN-(mpe–U95)]],12,FALSE)=0,"",VLOOKUP($CH504,tblBD_PatronMasa[[Código Patrón]:[mN-(mpe–U95)]],12,FALSE)+731),""),IF(tblTrazabilidad[[#This Row],[Clase]]="F1",IFERROR(IF(VLOOKUP($CH504,tblBD_PatronMasa[[Código Patrón]:[mN-(mpe–U95)]],12,FALSE)=0,"",VLOOKUP($CH504,tblBD_PatronMasa[[Código Patrón]:[mN-(mpe–U95)]],12,FALSE)+731),""),IFERROR(IF(VLOOKUP($CH504,tblBD_PatronMasa[[Código Patrón]:[mN-(mpe–U95)]],12,FALSE)=0,"",VLOOKUP($CH504,tblBD_PatronMasa[[Código Patrón]:[mN-(mpe–U95)]],12,FALSE)+366),"")))</f>
        <v/>
      </c>
      <c r="CM504" s="33" t="str">
        <f>IFERROR(VLOOKUP($CH504,tblBD_PatronMasa[[Código Patrón]:[mN-(mpe–U95)]],3,FALSE),"")</f>
        <v/>
      </c>
      <c r="CS504" s="32"/>
      <c r="CU504"/>
      <c r="DC504" s="1"/>
      <c r="DD504" s="1"/>
      <c r="DF504"/>
      <c r="DG504"/>
    </row>
    <row r="505" spans="85:111" x14ac:dyDescent="0.3">
      <c r="CG505" s="38">
        <v>499</v>
      </c>
      <c r="CH505" s="35">
        <f t="shared" si="23"/>
        <v>0</v>
      </c>
      <c r="CI505" s="35" t="str">
        <f>IF(tblTrazabilidad[[#This Row],[Código]]=0,"",IFERROR(IF(SEARCH("JM",tblTrazabilidad[[#This Row],[Código]])&gt;0,"Juego de pesas",),"Pesa"))</f>
        <v/>
      </c>
      <c r="CJ505" s="35" t="str">
        <f>IFERROR(VLOOKUP($CH505,tblBD_PatronMasa[[Código Patrón]:[mN-(mpe–U95)]],2,FALSE),"")</f>
        <v/>
      </c>
      <c r="CK505" s="35" t="str">
        <f>IFERROR(VLOOKUP($CH505,tblBD_PatronMasa[[Código Patrón]:[mN-(mpe–U95)]],13,FALSE),"")</f>
        <v/>
      </c>
      <c r="CL505" s="34" t="str">
        <f>IF(tblTrazabilidad[[#This Row],[Clase]]="F2",IFERROR(IF(VLOOKUP($CH505,tblBD_PatronMasa[[Código Patrón]:[mN-(mpe–U95)]],12,FALSE)=0,"",VLOOKUP($CH505,tblBD_PatronMasa[[Código Patrón]:[mN-(mpe–U95)]],12,FALSE)+731),""),IF(tblTrazabilidad[[#This Row],[Clase]]="F1",IFERROR(IF(VLOOKUP($CH505,tblBD_PatronMasa[[Código Patrón]:[mN-(mpe–U95)]],12,FALSE)=0,"",VLOOKUP($CH505,tblBD_PatronMasa[[Código Patrón]:[mN-(mpe–U95)]],12,FALSE)+731),""),IFERROR(IF(VLOOKUP($CH505,tblBD_PatronMasa[[Código Patrón]:[mN-(mpe–U95)]],12,FALSE)=0,"",VLOOKUP($CH505,tblBD_PatronMasa[[Código Patrón]:[mN-(mpe–U95)]],12,FALSE)+366),"")))</f>
        <v/>
      </c>
      <c r="CM505" s="33" t="str">
        <f>IFERROR(VLOOKUP($CH505,tblBD_PatronMasa[[Código Patrón]:[mN-(mpe–U95)]],3,FALSE),"")</f>
        <v/>
      </c>
      <c r="CS505" s="32"/>
      <c r="CU505"/>
      <c r="DC505" s="1"/>
      <c r="DD505" s="1"/>
      <c r="DF505"/>
      <c r="DG505"/>
    </row>
    <row r="506" spans="85:111" x14ac:dyDescent="0.3">
      <c r="CG506" s="37">
        <v>500</v>
      </c>
      <c r="CH506" s="36">
        <f t="shared" si="23"/>
        <v>0</v>
      </c>
      <c r="CI506" s="35" t="str">
        <f>IF(tblTrazabilidad[[#This Row],[Código]]=0,"",IFERROR(IF(SEARCH("JM",tblTrazabilidad[[#This Row],[Código]])&gt;0,"Juego de pesas",),"Pesa"))</f>
        <v/>
      </c>
      <c r="CJ506" s="35" t="str">
        <f>IFERROR(VLOOKUP($CH506,tblBD_PatronMasa[[Código Patrón]:[mN-(mpe–U95)]],2,FALSE),"")</f>
        <v/>
      </c>
      <c r="CK506" s="35" t="str">
        <f>IFERROR(VLOOKUP($CH506,tblBD_PatronMasa[[Código Patrón]:[mN-(mpe–U95)]],13,FALSE),"")</f>
        <v/>
      </c>
      <c r="CL506" s="34" t="str">
        <f>IF(tblTrazabilidad[[#This Row],[Clase]]="F2",IFERROR(IF(VLOOKUP($CH506,tblBD_PatronMasa[[Código Patrón]:[mN-(mpe–U95)]],12,FALSE)=0,"",VLOOKUP($CH506,tblBD_PatronMasa[[Código Patrón]:[mN-(mpe–U95)]],12,FALSE)+731),""),IF(tblTrazabilidad[[#This Row],[Clase]]="F1",IFERROR(IF(VLOOKUP($CH506,tblBD_PatronMasa[[Código Patrón]:[mN-(mpe–U95)]],12,FALSE)=0,"",VLOOKUP($CH506,tblBD_PatronMasa[[Código Patrón]:[mN-(mpe–U95)]],12,FALSE)+731),""),IFERROR(IF(VLOOKUP($CH506,tblBD_PatronMasa[[Código Patrón]:[mN-(mpe–U95)]],12,FALSE)=0,"",VLOOKUP($CH506,tblBD_PatronMasa[[Código Patrón]:[mN-(mpe–U95)]],12,FALSE)+366),"")))</f>
        <v/>
      </c>
      <c r="CM506" s="33" t="str">
        <f>IFERROR(VLOOKUP($CH506,tblBD_PatronMasa[[Código Patrón]:[mN-(mpe–U95)]],3,FALSE),"")</f>
        <v/>
      </c>
      <c r="CS506" s="32"/>
      <c r="CU506"/>
      <c r="DC506" s="1"/>
      <c r="DD506" s="1"/>
      <c r="DF506"/>
      <c r="DG506"/>
    </row>
  </sheetData>
  <sheetProtection formatCells="0" formatColumns="0"/>
  <dataConsolidate/>
  <mergeCells count="2">
    <mergeCell ref="G6:J6"/>
    <mergeCell ref="H39:K40"/>
  </mergeCells>
  <conditionalFormatting sqref="D23:D33">
    <cfRule type="expression" priority="21">
      <formula>D23=ROUNDUP(D23,decimales)</formula>
    </cfRule>
  </conditionalFormatting>
  <conditionalFormatting sqref="E40:F44">
    <cfRule type="expression" priority="20">
      <formula>E40=ROUND(E40,decimales)</formula>
    </cfRule>
  </conditionalFormatting>
  <conditionalFormatting sqref="G9:G11">
    <cfRule type="expression" dxfId="55" priority="26">
      <formula>IF(AND($J$3&lt;&gt;0,$J$3-$I$3&lt;0.15*$H$3),ABS(G9-$H$3*0.55)=MIN(ABS($G$9:$G$11-$H$3*0.55)),)</formula>
    </cfRule>
    <cfRule type="expression" dxfId="54" priority="27">
      <formula>IF(AND($J$3&lt;&gt;0,$J$3-$I$3&lt;0.15*$H$3),ABS(G9-$H$3/3)=MIN(ABS($G$9:$G$12-$H$3/3)),0)</formula>
    </cfRule>
  </conditionalFormatting>
  <conditionalFormatting sqref="H9:H13">
    <cfRule type="expression" dxfId="53" priority="25">
      <formula>IF($H$3&lt;&gt;0,IF($J$3&lt;&gt;0,ABS(H9-$J$3*0.55)=MIN(ABS($H$9:$H$13-$J$3*0.55)),ABS(H9-$H$3*0.55)=MIN(ABS($H$9:$H$13-$H$3*0.55))),)</formula>
    </cfRule>
    <cfRule type="expression" dxfId="52" priority="30">
      <formula>IF($H$3&lt;&gt;0,IF($J$3=0,ABS(H9-$H$3/3)=MIN(ABS($H$9:$H$13-$H$3/3)),ABS(H9-($I$3+($J$3-$I$3)/3))=MIN(ABS($H$9:$H$13-($I$3+($J$3-$I$3)/3)))),)</formula>
    </cfRule>
  </conditionalFormatting>
  <conditionalFormatting sqref="H51:H55">
    <cfRule type="colorScale" priority="19">
      <colorScale>
        <cfvo type="min"/>
        <cfvo type="max"/>
        <color theme="4"/>
        <color theme="4" tint="0.79998168889431442"/>
      </colorScale>
    </cfRule>
  </conditionalFormatting>
  <conditionalFormatting sqref="I9:I14">
    <cfRule type="expression" dxfId="51" priority="28">
      <formula>IF($H$3&lt;&gt;0,IF($J$3&lt;&gt;0,ABS(I9-$J$3*0.55)=MIN(ABS($I$9:$I$14-$J$3*0.55)),ABS(I9-$H$3*0.55)=MIN(ABS($I$9:$I$14-$H$3*0.55))),)</formula>
    </cfRule>
    <cfRule type="expression" dxfId="50" priority="29">
      <formula>IF($H$3&lt;&gt;0,IF($J$3=0,ABS(I9-$H$3/3)=MIN(ABS($I$9:$I$14-$H$3/3)),ABS(I9-($I$3+($J$3-$I$3)/3))=MIN(ABS($I$9:$I$14-($I$3+($J$3-$I$3)/3)))),)</formula>
    </cfRule>
  </conditionalFormatting>
  <conditionalFormatting sqref="J8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9:K30">
    <cfRule type="expression" dxfId="49" priority="24">
      <formula>OR(K29&lt;-2,K29&gt;2)</formula>
    </cfRule>
  </conditionalFormatting>
  <conditionalFormatting sqref="M5:M54">
    <cfRule type="duplicateValues" dxfId="48" priority="22"/>
  </conditionalFormatting>
  <conditionalFormatting sqref="T5:T53">
    <cfRule type="duplicateValues" dxfId="47" priority="9"/>
  </conditionalFormatting>
  <conditionalFormatting sqref="T54">
    <cfRule type="duplicateValues" dxfId="46" priority="18"/>
  </conditionalFormatting>
  <conditionalFormatting sqref="AA5:AA53">
    <cfRule type="duplicateValues" dxfId="45" priority="8"/>
  </conditionalFormatting>
  <conditionalFormatting sqref="AA54">
    <cfRule type="duplicateValues" dxfId="44" priority="17"/>
  </conditionalFormatting>
  <conditionalFormatting sqref="AH5:AH53">
    <cfRule type="duplicateValues" dxfId="43" priority="7"/>
  </conditionalFormatting>
  <conditionalFormatting sqref="AH54">
    <cfRule type="duplicateValues" dxfId="42" priority="16"/>
  </conditionalFormatting>
  <conditionalFormatting sqref="AO5:AO53">
    <cfRule type="duplicateValues" dxfId="41" priority="6"/>
  </conditionalFormatting>
  <conditionalFormatting sqref="AO54">
    <cfRule type="duplicateValues" dxfId="40" priority="15"/>
  </conditionalFormatting>
  <conditionalFormatting sqref="AV5:AV53">
    <cfRule type="duplicateValues" dxfId="39" priority="5"/>
  </conditionalFormatting>
  <conditionalFormatting sqref="AV54">
    <cfRule type="duplicateValues" dxfId="38" priority="14"/>
  </conditionalFormatting>
  <conditionalFormatting sqref="BC5:BC53">
    <cfRule type="duplicateValues" dxfId="37" priority="4"/>
  </conditionalFormatting>
  <conditionalFormatting sqref="BC54">
    <cfRule type="duplicateValues" dxfId="36" priority="13"/>
  </conditionalFormatting>
  <conditionalFormatting sqref="BJ5:BJ53">
    <cfRule type="duplicateValues" dxfId="35" priority="3"/>
  </conditionalFormatting>
  <conditionalFormatting sqref="BJ54">
    <cfRule type="duplicateValues" dxfId="34" priority="12"/>
  </conditionalFormatting>
  <conditionalFormatting sqref="BQ5:BQ53">
    <cfRule type="duplicateValues" dxfId="33" priority="2"/>
  </conditionalFormatting>
  <conditionalFormatting sqref="BQ54">
    <cfRule type="duplicateValues" dxfId="32" priority="11"/>
  </conditionalFormatting>
  <conditionalFormatting sqref="BX5:BX53">
    <cfRule type="duplicateValues" dxfId="31" priority="1"/>
  </conditionalFormatting>
  <conditionalFormatting sqref="BX54">
    <cfRule type="duplicateValues" dxfId="30" priority="10"/>
  </conditionalFormatting>
  <dataValidations count="4">
    <dataValidation type="list" showInputMessage="1" showErrorMessage="1" sqref="C37" xr:uid="{00000000-0002-0000-0100-000003000000}">
      <formula1>$DC$106:$DC$116</formula1>
    </dataValidation>
    <dataValidation type="custom" allowBlank="1" showInputMessage="1" showErrorMessage="1" errorTitle="Error metrológico" error="La resolución de una indicación no puede ser mayor que la división de escala del instrumento de pesaje." sqref="E40:F44 E51:F55 D23:E33" xr:uid="{00000000-0002-0000-0100-000002000000}">
      <formula1>EXACT(D23,ROUND(D23,decimales))</formula1>
    </dataValidation>
    <dataValidation type="list" allowBlank="1" showInputMessage="1" showErrorMessage="1" sqref="C48" xr:uid="{00000000-0002-0000-0100-000001000000}">
      <formula1>$DC$106:$DC$116</formula1>
    </dataValidation>
    <dataValidation type="list" allowBlank="1" showInputMessage="1" showErrorMessage="1" sqref="C15" xr:uid="{00000000-0002-0000-0100-000000000000}">
      <formula1>$DC$85:$DC$87</formula1>
    </dataValidation>
  </dataValidations>
  <pageMargins left="0.7" right="0.7" top="0.75" bottom="0.75" header="0.3" footer="0.3"/>
  <pageSetup orientation="portrait" horizontalDpi="1200" verticalDpi="1200" r:id="rId1"/>
  <drawing r:id="rId2"/>
  <tableParts count="2">
    <tablePart r:id="rId3"/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95B34-111C-4B31-A6F8-6F1D24CF65DB}">
  <dimension ref="B1:AA137"/>
  <sheetViews>
    <sheetView view="pageLayout" topLeftCell="A28" zoomScaleNormal="100" workbookViewId="0">
      <selection activeCell="F38" sqref="F38"/>
    </sheetView>
  </sheetViews>
  <sheetFormatPr baseColWidth="10" defaultColWidth="8.88671875" defaultRowHeight="13.2" x14ac:dyDescent="0.25"/>
  <cols>
    <col min="1" max="1" width="3.109375" style="221" customWidth="1"/>
    <col min="2" max="6" width="7.5546875" style="221" customWidth="1"/>
    <col min="7" max="7" width="6" style="221" customWidth="1"/>
    <col min="8" max="10" width="7.5546875" style="221" customWidth="1"/>
    <col min="11" max="11" width="9" style="221" customWidth="1"/>
    <col min="12" max="13" width="7.5546875" style="221" customWidth="1"/>
    <col min="14" max="16384" width="8.88671875" style="221"/>
  </cols>
  <sheetData>
    <row r="1" spans="2:13" x14ac:dyDescent="0.25">
      <c r="B1" s="223"/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</row>
    <row r="2" spans="2:13" x14ac:dyDescent="0.25">
      <c r="B2" s="223"/>
      <c r="C2" s="223"/>
      <c r="D2" s="223"/>
      <c r="E2" s="223"/>
      <c r="F2" s="223"/>
      <c r="G2" s="223"/>
      <c r="H2" s="223"/>
      <c r="I2" s="223"/>
      <c r="J2" s="223"/>
      <c r="K2" s="223"/>
      <c r="L2" s="223"/>
      <c r="M2" s="223"/>
    </row>
    <row r="3" spans="2:13" x14ac:dyDescent="0.25">
      <c r="B3" s="223"/>
      <c r="C3" s="223"/>
      <c r="D3" s="223"/>
      <c r="E3" s="223"/>
      <c r="F3" s="223"/>
      <c r="G3" s="223"/>
      <c r="H3" s="223"/>
      <c r="I3" s="223"/>
      <c r="J3" s="223"/>
      <c r="K3" s="223"/>
      <c r="L3" s="223"/>
      <c r="M3" s="223"/>
    </row>
    <row r="4" spans="2:13" x14ac:dyDescent="0.25">
      <c r="B4" s="223"/>
      <c r="C4" s="223"/>
      <c r="D4" s="223"/>
      <c r="E4" s="223"/>
      <c r="F4" s="223"/>
      <c r="G4" s="223"/>
      <c r="H4" s="223"/>
      <c r="I4" s="223"/>
      <c r="J4" s="223"/>
      <c r="K4" s="223"/>
      <c r="L4" s="223"/>
      <c r="M4" s="223"/>
    </row>
    <row r="5" spans="2:13" x14ac:dyDescent="0.25">
      <c r="B5" s="223"/>
      <c r="C5" s="223"/>
      <c r="D5" s="223"/>
      <c r="E5" s="223"/>
      <c r="F5" s="223"/>
      <c r="G5" s="223"/>
      <c r="H5" s="223"/>
      <c r="I5" s="223"/>
      <c r="J5" s="223"/>
      <c r="K5" s="223"/>
      <c r="L5" s="223"/>
      <c r="M5" s="223"/>
    </row>
    <row r="6" spans="2:13" ht="19.5" customHeight="1" x14ac:dyDescent="0.25">
      <c r="B6" s="223"/>
      <c r="C6" s="223"/>
      <c r="D6" s="223"/>
      <c r="E6" s="223"/>
      <c r="F6" s="223"/>
      <c r="G6" s="223"/>
      <c r="H6" s="223"/>
      <c r="I6" s="223"/>
      <c r="J6" s="223"/>
      <c r="K6" s="223"/>
      <c r="L6" s="223"/>
      <c r="M6" s="223"/>
    </row>
    <row r="7" spans="2:13" x14ac:dyDescent="0.25">
      <c r="B7" s="223"/>
      <c r="C7" s="223"/>
      <c r="D7" s="223"/>
      <c r="E7" s="223"/>
      <c r="F7" s="223"/>
      <c r="G7" s="223"/>
      <c r="H7" s="223"/>
      <c r="I7" s="223"/>
      <c r="J7" s="223"/>
      <c r="K7" s="223"/>
      <c r="L7" s="223"/>
      <c r="M7" s="223"/>
    </row>
    <row r="8" spans="2:13" x14ac:dyDescent="0.25">
      <c r="B8" s="223"/>
      <c r="C8" s="223"/>
      <c r="D8" s="223"/>
      <c r="E8" s="223"/>
      <c r="F8" s="223"/>
      <c r="G8" s="223"/>
      <c r="H8" s="223"/>
      <c r="I8" s="223"/>
      <c r="J8" s="223"/>
      <c r="K8" s="223"/>
      <c r="L8" s="223"/>
      <c r="M8" s="223"/>
    </row>
    <row r="9" spans="2:13" x14ac:dyDescent="0.25">
      <c r="B9" s="236" t="s">
        <v>437</v>
      </c>
      <c r="C9" s="223"/>
      <c r="D9" s="223"/>
      <c r="E9" s="223"/>
      <c r="F9" s="223"/>
      <c r="G9" s="223"/>
      <c r="H9" s="235" t="str">
        <f>CertNum</f>
        <v>NI-MC-B-XXX-2020</v>
      </c>
      <c r="I9" s="223"/>
      <c r="J9" s="223"/>
      <c r="K9" s="223"/>
      <c r="L9" s="223"/>
      <c r="M9" s="223"/>
    </row>
    <row r="10" spans="2:13" x14ac:dyDescent="0.25">
      <c r="B10" s="236" t="s">
        <v>471</v>
      </c>
      <c r="C10" s="223"/>
      <c r="D10" s="223"/>
      <c r="E10" s="223"/>
      <c r="F10" s="223"/>
      <c r="G10" s="223"/>
      <c r="H10" s="239" t="str">
        <f>CertCode</f>
        <v>NI-CS-075-17</v>
      </c>
      <c r="I10" s="223"/>
      <c r="J10" s="223"/>
      <c r="K10" s="223"/>
      <c r="L10" s="223"/>
      <c r="M10" s="223"/>
    </row>
    <row r="11" spans="2:13" x14ac:dyDescent="0.25">
      <c r="B11" s="236" t="s">
        <v>470</v>
      </c>
      <c r="C11" s="223"/>
      <c r="D11" s="223"/>
      <c r="E11" s="223"/>
      <c r="F11" s="223"/>
      <c r="G11" s="223"/>
      <c r="H11" s="238" t="str">
        <f>CertDate</f>
        <v>2021-01-01</v>
      </c>
      <c r="I11" s="223"/>
      <c r="J11" s="223"/>
      <c r="K11" s="223"/>
      <c r="L11" s="223"/>
      <c r="M11" s="223"/>
    </row>
    <row r="12" spans="2:13" x14ac:dyDescent="0.25">
      <c r="B12" s="236" t="s">
        <v>469</v>
      </c>
      <c r="C12" s="223"/>
      <c r="D12" s="223"/>
      <c r="E12" s="223"/>
      <c r="F12" s="223"/>
      <c r="G12" s="223"/>
      <c r="H12" s="363">
        <f ca="1">NOW()</f>
        <v>45497.601785300925</v>
      </c>
      <c r="I12" s="363"/>
      <c r="J12" s="223"/>
      <c r="K12" s="223"/>
      <c r="L12" s="223"/>
      <c r="M12" s="223"/>
    </row>
    <row r="13" spans="2:13" x14ac:dyDescent="0.25">
      <c r="B13" s="236" t="s">
        <v>468</v>
      </c>
      <c r="C13" s="223"/>
      <c r="D13" s="223"/>
      <c r="E13" s="223"/>
      <c r="F13" s="223"/>
      <c r="G13" s="223"/>
      <c r="H13" s="232" t="str">
        <f>BalanzaTipo</f>
        <v>Balanza Digital</v>
      </c>
      <c r="I13" s="223"/>
      <c r="J13" s="223"/>
      <c r="K13" s="223"/>
      <c r="L13" s="223"/>
      <c r="M13" s="223"/>
    </row>
    <row r="14" spans="2:13" x14ac:dyDescent="0.25">
      <c r="B14" s="236" t="s">
        <v>467</v>
      </c>
      <c r="C14" s="223"/>
      <c r="D14" s="223"/>
      <c r="E14" s="223"/>
      <c r="F14" s="223"/>
      <c r="G14" s="223"/>
      <c r="H14" s="232" t="str">
        <f>BalanzaMarca</f>
        <v>gtergd</v>
      </c>
      <c r="I14" s="223"/>
      <c r="J14" s="223"/>
      <c r="K14" s="223"/>
      <c r="L14" s="223"/>
      <c r="M14" s="223"/>
    </row>
    <row r="15" spans="2:13" x14ac:dyDescent="0.25">
      <c r="B15" s="236" t="s">
        <v>466</v>
      </c>
      <c r="C15" s="223"/>
      <c r="D15" s="223"/>
      <c r="E15" s="223"/>
      <c r="F15" s="223"/>
      <c r="G15" s="223"/>
      <c r="H15" s="232" t="str">
        <f>BalanzaSerie</f>
        <v>54654asd</v>
      </c>
      <c r="I15" s="223"/>
      <c r="J15" s="223"/>
      <c r="K15" s="223"/>
      <c r="L15" s="223"/>
      <c r="M15" s="223"/>
    </row>
    <row r="16" spans="2:13" x14ac:dyDescent="0.25">
      <c r="B16" s="236" t="s">
        <v>465</v>
      </c>
      <c r="C16" s="223"/>
      <c r="D16" s="223"/>
      <c r="E16" s="223"/>
      <c r="F16" s="223"/>
      <c r="G16" s="223"/>
      <c r="H16" s="232" t="str">
        <f>BalanzaModelo</f>
        <v>346asd</v>
      </c>
      <c r="I16" s="223"/>
      <c r="J16" s="223"/>
      <c r="K16" s="223"/>
      <c r="L16" s="223"/>
      <c r="M16" s="223"/>
    </row>
    <row r="17" spans="2:13" x14ac:dyDescent="0.25">
      <c r="B17" s="236" t="s">
        <v>464</v>
      </c>
      <c r="C17" s="223"/>
      <c r="D17" s="223"/>
      <c r="E17" s="223"/>
      <c r="F17" s="223"/>
      <c r="G17" s="223"/>
      <c r="H17" s="232" t="str">
        <f>BalanzaRango1</f>
        <v>0 g a 100 g</v>
      </c>
      <c r="I17" s="223"/>
      <c r="J17" s="223"/>
      <c r="K17" s="223"/>
      <c r="L17" s="223"/>
      <c r="M17" s="223"/>
    </row>
    <row r="18" spans="2:13" x14ac:dyDescent="0.25">
      <c r="B18" s="236" t="s">
        <v>463</v>
      </c>
      <c r="C18" s="223"/>
      <c r="D18" s="223"/>
      <c r="E18" s="223"/>
      <c r="F18" s="223"/>
      <c r="G18" s="223"/>
      <c r="H18" s="232" t="str">
        <f>BalanzaResol1</f>
        <v>0,01 g</v>
      </c>
      <c r="I18" s="223"/>
      <c r="J18" s="223"/>
      <c r="K18" s="223"/>
      <c r="L18" s="223"/>
      <c r="M18" s="223"/>
    </row>
    <row r="19" spans="2:13" x14ac:dyDescent="0.25">
      <c r="B19" s="236" t="s">
        <v>462</v>
      </c>
      <c r="C19" s="223"/>
      <c r="D19" s="223"/>
      <c r="E19" s="223"/>
      <c r="F19" s="223"/>
      <c r="G19" s="223"/>
      <c r="H19" s="232" t="str">
        <f>BalanzaCode</f>
        <v>002456635</v>
      </c>
      <c r="I19" s="223"/>
      <c r="J19" s="223"/>
      <c r="K19" s="223"/>
      <c r="L19" s="223"/>
      <c r="M19" s="223"/>
    </row>
    <row r="20" spans="2:13" x14ac:dyDescent="0.25">
      <c r="B20" s="236" t="s">
        <v>461</v>
      </c>
      <c r="C20" s="223"/>
      <c r="D20" s="223"/>
      <c r="E20" s="223"/>
      <c r="F20" s="223"/>
      <c r="G20" s="223"/>
      <c r="H20" s="232" t="str">
        <f>ClientName</f>
        <v>San Lotano Cigars S.A.</v>
      </c>
      <c r="I20" s="223"/>
      <c r="J20" s="223"/>
      <c r="K20" s="223"/>
      <c r="L20" s="223"/>
      <c r="M20" s="223"/>
    </row>
    <row r="21" spans="2:13" x14ac:dyDescent="0.25">
      <c r="B21" s="236" t="s">
        <v>460</v>
      </c>
      <c r="C21" s="223"/>
      <c r="D21" s="223"/>
      <c r="E21" s="223"/>
      <c r="F21" s="223"/>
      <c r="G21" s="223"/>
      <c r="H21" s="232" t="str">
        <f>ClientAdr</f>
        <v>km 129 Carretera a Ocotal 300m al Oeste Valle de Verapaz, Totogalpa, Madriz</v>
      </c>
      <c r="I21" s="223"/>
      <c r="J21" s="223"/>
      <c r="K21" s="223"/>
      <c r="L21" s="223"/>
      <c r="M21" s="223"/>
    </row>
    <row r="22" spans="2:13" x14ac:dyDescent="0.25">
      <c r="B22" s="236" t="s">
        <v>459</v>
      </c>
      <c r="C22" s="223"/>
      <c r="D22" s="223"/>
      <c r="E22" s="223"/>
      <c r="F22" s="223"/>
      <c r="G22" s="223"/>
      <c r="H22" s="370" t="str">
        <f>ClientPlace</f>
        <v>Nicaragua, Managua, Bello Horizonte VI Etapa, Casa #135.</v>
      </c>
      <c r="I22" s="370"/>
      <c r="J22" s="370"/>
      <c r="K22" s="370"/>
      <c r="L22" s="370"/>
      <c r="M22" s="370"/>
    </row>
    <row r="23" spans="2:13" x14ac:dyDescent="0.25">
      <c r="B23" s="236"/>
      <c r="C23" s="223"/>
      <c r="D23" s="223"/>
      <c r="E23" s="223"/>
      <c r="F23" s="223"/>
      <c r="G23" s="223"/>
      <c r="H23" s="370"/>
      <c r="I23" s="370"/>
      <c r="J23" s="370"/>
      <c r="K23" s="370"/>
      <c r="L23" s="370"/>
      <c r="M23" s="370"/>
    </row>
    <row r="24" spans="2:13" x14ac:dyDescent="0.25">
      <c r="B24" s="236"/>
      <c r="C24" s="223"/>
      <c r="D24" s="223"/>
      <c r="E24" s="223"/>
      <c r="F24" s="223"/>
      <c r="G24" s="223"/>
      <c r="H24" s="237"/>
      <c r="I24" s="237"/>
      <c r="J24" s="237"/>
      <c r="K24" s="237"/>
      <c r="L24" s="237"/>
      <c r="M24" s="237"/>
    </row>
    <row r="25" spans="2:13" x14ac:dyDescent="0.25">
      <c r="B25" s="236" t="s">
        <v>458</v>
      </c>
      <c r="C25" s="223"/>
      <c r="D25" s="223"/>
      <c r="E25" s="223"/>
      <c r="F25" s="223"/>
      <c r="G25" s="223"/>
      <c r="H25" s="223"/>
      <c r="I25" s="223"/>
      <c r="J25" s="223"/>
      <c r="K25" s="223"/>
      <c r="L25" s="223"/>
      <c r="M25" s="223"/>
    </row>
    <row r="26" spans="2:13" x14ac:dyDescent="0.25">
      <c r="B26" s="371" t="s">
        <v>457</v>
      </c>
      <c r="C26" s="371"/>
      <c r="D26" s="371"/>
      <c r="E26" s="371"/>
      <c r="F26" s="371"/>
      <c r="G26" s="371"/>
      <c r="H26" s="371"/>
      <c r="I26" s="371"/>
      <c r="J26" s="371"/>
      <c r="K26" s="371"/>
      <c r="L26" s="371"/>
      <c r="M26" s="371"/>
    </row>
    <row r="27" spans="2:13" ht="8.4" customHeight="1" x14ac:dyDescent="0.25">
      <c r="B27" s="223"/>
      <c r="C27" s="223"/>
      <c r="D27" s="223"/>
      <c r="E27" s="236"/>
      <c r="F27" s="223"/>
      <c r="G27" s="223"/>
      <c r="H27" s="223"/>
      <c r="I27" s="223"/>
      <c r="J27" s="223"/>
      <c r="K27" s="223"/>
      <c r="L27" s="223"/>
      <c r="M27" s="223"/>
    </row>
    <row r="28" spans="2:13" x14ac:dyDescent="0.25">
      <c r="B28" s="366" t="s">
        <v>456</v>
      </c>
      <c r="C28" s="366"/>
      <c r="D28" s="366" t="s">
        <v>455</v>
      </c>
      <c r="E28" s="366"/>
      <c r="F28" s="366" t="s">
        <v>454</v>
      </c>
      <c r="G28" s="366"/>
      <c r="H28" s="366" t="s">
        <v>346</v>
      </c>
      <c r="I28" s="366"/>
      <c r="J28" s="366" t="s">
        <v>453</v>
      </c>
      <c r="K28" s="366"/>
      <c r="L28" s="366" t="s">
        <v>452</v>
      </c>
      <c r="M28" s="366"/>
    </row>
    <row r="29" spans="2:13" x14ac:dyDescent="0.25">
      <c r="B29" s="366"/>
      <c r="C29" s="366"/>
      <c r="D29" s="366"/>
      <c r="E29" s="366"/>
      <c r="F29" s="366"/>
      <c r="G29" s="366"/>
      <c r="H29" s="366"/>
      <c r="I29" s="366"/>
      <c r="J29" s="366"/>
      <c r="K29" s="366"/>
      <c r="L29" s="366"/>
      <c r="M29" s="366"/>
    </row>
    <row r="30" spans="2:13" x14ac:dyDescent="0.25">
      <c r="B30" s="367" t="str">
        <f>UnidadEscala</f>
        <v>g</v>
      </c>
      <c r="C30" s="367"/>
      <c r="D30" s="367" t="str">
        <f>UnidadEscala</f>
        <v>g</v>
      </c>
      <c r="E30" s="367"/>
      <c r="F30" s="367" t="str">
        <f>UnidadEscala</f>
        <v>g</v>
      </c>
      <c r="G30" s="367"/>
      <c r="H30" s="367" t="str">
        <f>UnidadEscala</f>
        <v>g</v>
      </c>
      <c r="I30" s="367"/>
      <c r="J30" s="367" t="str">
        <f>UnidadEscala</f>
        <v>g</v>
      </c>
      <c r="K30" s="367"/>
      <c r="L30" s="367" t="str">
        <f>UnidadEscala</f>
        <v>g</v>
      </c>
      <c r="M30" s="367"/>
    </row>
    <row r="31" spans="2:13" x14ac:dyDescent="0.25">
      <c r="B31" s="360" t="str">
        <f>FIXED('kU(E)'!T21,decim + 2)</f>
        <v>0.000</v>
      </c>
      <c r="C31" s="360"/>
      <c r="D31" s="360" t="str">
        <f>IFERROR(FIXED('kU(E)'!U21,decim + 2),"")</f>
        <v>0.000</v>
      </c>
      <c r="E31" s="360"/>
      <c r="F31" s="360" t="str">
        <f>IFERROR(FIXED('kU(E)'!V21,decim + 2),"")</f>
        <v>0.000</v>
      </c>
      <c r="G31" s="360"/>
      <c r="H31" s="360" t="str">
        <f>IFERROR(IF(Calibración!$E$40=0,"No aplica (N/A)",FIXED(u_rep,decim)),"")</f>
        <v>No aplica (N/A)</v>
      </c>
      <c r="I31" s="360"/>
      <c r="J31" s="360" t="str">
        <f>IFERROR(IF(Calibración!$E$51=0,"No aplica (N/A)",FIXED(ecc_error_max,decim)),"")</f>
        <v>No aplica (N/A)</v>
      </c>
      <c r="K31" s="360"/>
      <c r="L31" s="358" t="str">
        <f>IFERROR(FIXED('kU(E)'!X21,decim+5),"")</f>
        <v>0.000000</v>
      </c>
      <c r="M31" s="359"/>
    </row>
    <row r="32" spans="2:13" x14ac:dyDescent="0.25">
      <c r="B32" s="360" t="str">
        <f>FIXED('kU(E)'!T22,decim + 2)</f>
        <v>0.000</v>
      </c>
      <c r="C32" s="360"/>
      <c r="D32" s="360" t="str">
        <f>IFERROR(FIXED('kU(E)'!U22,decim + 2),"")</f>
        <v/>
      </c>
      <c r="E32" s="360"/>
      <c r="F32" s="360" t="str">
        <f>IFERROR(FIXED('kU(E)'!V22,decim + 2),"")</f>
        <v/>
      </c>
      <c r="G32" s="360"/>
      <c r="H32" s="360"/>
      <c r="I32" s="360"/>
      <c r="J32" s="360"/>
      <c r="K32" s="360"/>
      <c r="L32" s="358" t="str">
        <f>IFERROR(FIXED('kU(E)'!X22,decim+5),"")</f>
        <v>0.000000</v>
      </c>
      <c r="M32" s="359"/>
    </row>
    <row r="33" spans="2:13" x14ac:dyDescent="0.25">
      <c r="B33" s="360" t="str">
        <f>FIXED('kU(E)'!T23,decim + 2)</f>
        <v>0.000</v>
      </c>
      <c r="C33" s="360"/>
      <c r="D33" s="360" t="str">
        <f>IFERROR(FIXED('kU(E)'!U23,decim + 2),"")</f>
        <v/>
      </c>
      <c r="E33" s="360"/>
      <c r="F33" s="360" t="str">
        <f>IFERROR(FIXED('kU(E)'!V23,decim + 2),"")</f>
        <v/>
      </c>
      <c r="G33" s="360"/>
      <c r="H33" s="360"/>
      <c r="I33" s="360"/>
      <c r="J33" s="360"/>
      <c r="K33" s="360"/>
      <c r="L33" s="358" t="str">
        <f>IFERROR(FIXED('kU(E)'!X23,decim+5),"")</f>
        <v/>
      </c>
      <c r="M33" s="359"/>
    </row>
    <row r="34" spans="2:13" x14ac:dyDescent="0.25">
      <c r="B34" s="360" t="str">
        <f>FIXED('kU(E)'!T24,decim + 2)</f>
        <v>0.000</v>
      </c>
      <c r="C34" s="360"/>
      <c r="D34" s="360" t="str">
        <f>IFERROR(FIXED('kU(E)'!U24,decim + 2),"")</f>
        <v/>
      </c>
      <c r="E34" s="360"/>
      <c r="F34" s="360" t="str">
        <f>IFERROR(FIXED('kU(E)'!V24,decim + 2),"")</f>
        <v/>
      </c>
      <c r="G34" s="360"/>
      <c r="H34" s="360"/>
      <c r="I34" s="360"/>
      <c r="J34" s="360"/>
      <c r="K34" s="360"/>
      <c r="L34" s="358" t="str">
        <f>IFERROR(FIXED('kU(E)'!X24,decim+5),"")</f>
        <v/>
      </c>
      <c r="M34" s="359"/>
    </row>
    <row r="35" spans="2:13" x14ac:dyDescent="0.25">
      <c r="B35" s="360" t="str">
        <f>FIXED('kU(E)'!T25,decim + 2)</f>
        <v>0.000</v>
      </c>
      <c r="C35" s="360"/>
      <c r="D35" s="360" t="str">
        <f>IFERROR(FIXED('kU(E)'!U25,decim + 2),"")</f>
        <v/>
      </c>
      <c r="E35" s="360"/>
      <c r="F35" s="360" t="str">
        <f>IFERROR(FIXED('kU(E)'!V25,decim + 2),"")</f>
        <v/>
      </c>
      <c r="G35" s="360"/>
      <c r="H35" s="360"/>
      <c r="I35" s="360"/>
      <c r="J35" s="360"/>
      <c r="K35" s="360"/>
      <c r="L35" s="358" t="str">
        <f>IFERROR(FIXED('kU(E)'!X25,decim+5),"")</f>
        <v/>
      </c>
      <c r="M35" s="359"/>
    </row>
    <row r="36" spans="2:13" x14ac:dyDescent="0.25">
      <c r="B36" s="360" t="str">
        <f>FIXED('kU(E)'!T26,decim + 2)</f>
        <v>0.000</v>
      </c>
      <c r="C36" s="360"/>
      <c r="D36" s="360" t="str">
        <f>IFERROR(FIXED('kU(E)'!U26,decim + 2),"")</f>
        <v/>
      </c>
      <c r="E36" s="360"/>
      <c r="F36" s="360" t="str">
        <f>IFERROR(FIXED('kU(E)'!V26,decim + 2),"")</f>
        <v/>
      </c>
      <c r="G36" s="360"/>
      <c r="H36" s="360"/>
      <c r="I36" s="360"/>
      <c r="J36" s="360"/>
      <c r="K36" s="360"/>
      <c r="L36" s="358" t="str">
        <f>IFERROR(FIXED('kU(E)'!X26,decim+5),"")</f>
        <v/>
      </c>
      <c r="M36" s="359"/>
    </row>
    <row r="37" spans="2:13" x14ac:dyDescent="0.25">
      <c r="B37" s="360" t="str">
        <f>FIXED('kU(E)'!T27,decim + 2)</f>
        <v>0.000</v>
      </c>
      <c r="C37" s="360"/>
      <c r="D37" s="360" t="str">
        <f>IFERROR(FIXED('kU(E)'!U27,decim + 2),"")</f>
        <v/>
      </c>
      <c r="E37" s="360"/>
      <c r="F37" s="360" t="str">
        <f>IFERROR(FIXED('kU(E)'!V27,decim + 2),"")</f>
        <v/>
      </c>
      <c r="G37" s="360"/>
      <c r="H37" s="360"/>
      <c r="I37" s="360"/>
      <c r="J37" s="360"/>
      <c r="K37" s="360"/>
      <c r="L37" s="358" t="str">
        <f>IFERROR(FIXED('kU(E)'!X27,decim+5),"")</f>
        <v/>
      </c>
      <c r="M37" s="359"/>
    </row>
    <row r="38" spans="2:13" x14ac:dyDescent="0.25">
      <c r="B38" s="350"/>
      <c r="C38" s="350"/>
      <c r="D38" s="350"/>
      <c r="E38" s="350"/>
      <c r="F38" s="350"/>
      <c r="G38" s="350"/>
      <c r="H38" s="350"/>
      <c r="I38" s="350"/>
      <c r="J38" s="350"/>
      <c r="K38" s="350"/>
      <c r="L38" s="351"/>
      <c r="M38" s="351"/>
    </row>
    <row r="39" spans="2:13" x14ac:dyDescent="0.25">
      <c r="B39" s="350"/>
      <c r="C39" s="350"/>
      <c r="D39" s="350"/>
      <c r="E39" s="350"/>
      <c r="F39" s="350"/>
      <c r="G39" s="350"/>
      <c r="H39" s="350"/>
      <c r="I39" s="350"/>
      <c r="J39" s="350"/>
      <c r="K39" s="350"/>
      <c r="L39" s="351"/>
      <c r="M39" s="351"/>
    </row>
    <row r="40" spans="2:13" x14ac:dyDescent="0.25">
      <c r="B40" s="350"/>
      <c r="C40" s="350"/>
      <c r="D40" s="350"/>
      <c r="E40" s="350"/>
      <c r="F40" s="350"/>
      <c r="G40" s="350"/>
      <c r="H40" s="350"/>
      <c r="I40" s="350"/>
      <c r="J40" s="350"/>
      <c r="K40" s="350"/>
      <c r="L40" s="351"/>
      <c r="M40" s="351"/>
    </row>
    <row r="41" spans="2:13" x14ac:dyDescent="0.25">
      <c r="B41" s="350"/>
      <c r="C41" s="350"/>
      <c r="D41" s="350"/>
      <c r="E41" s="350"/>
      <c r="F41" s="350"/>
      <c r="G41" s="350"/>
      <c r="H41" s="350"/>
      <c r="I41" s="350"/>
      <c r="J41" s="350"/>
      <c r="K41" s="350"/>
      <c r="L41" s="351"/>
      <c r="M41" s="351"/>
    </row>
    <row r="42" spans="2:13" x14ac:dyDescent="0.25">
      <c r="B42" s="350"/>
      <c r="C42" s="350"/>
      <c r="D42" s="350"/>
      <c r="E42" s="350"/>
      <c r="F42" s="350"/>
      <c r="G42" s="350"/>
      <c r="H42" s="350"/>
      <c r="I42" s="350"/>
      <c r="J42" s="350"/>
      <c r="K42" s="350"/>
      <c r="L42" s="351"/>
      <c r="M42" s="351"/>
    </row>
    <row r="43" spans="2:13" x14ac:dyDescent="0.25">
      <c r="B43" s="350"/>
      <c r="C43" s="350"/>
      <c r="D43" s="350"/>
      <c r="E43" s="350"/>
      <c r="F43" s="350"/>
      <c r="G43" s="350"/>
      <c r="H43" s="350"/>
      <c r="I43" s="350"/>
      <c r="J43" s="350"/>
      <c r="K43" s="350"/>
      <c r="L43" s="351"/>
      <c r="M43" s="351"/>
    </row>
    <row r="44" spans="2:13" x14ac:dyDescent="0.25">
      <c r="B44" s="350"/>
      <c r="C44" s="350"/>
      <c r="D44" s="350"/>
      <c r="E44" s="350"/>
      <c r="F44" s="350"/>
      <c r="G44" s="350"/>
      <c r="H44" s="350"/>
      <c r="I44" s="350"/>
      <c r="J44" s="350"/>
      <c r="K44" s="350"/>
      <c r="L44" s="351"/>
      <c r="M44" s="351"/>
    </row>
    <row r="45" spans="2:13" x14ac:dyDescent="0.25">
      <c r="B45" s="350"/>
      <c r="C45" s="350"/>
      <c r="D45" s="350"/>
      <c r="E45" s="350"/>
      <c r="F45" s="350"/>
      <c r="G45" s="350"/>
      <c r="H45" s="350"/>
      <c r="I45" s="350"/>
      <c r="J45" s="350"/>
      <c r="K45" s="350"/>
      <c r="L45" s="351"/>
      <c r="M45" s="351"/>
    </row>
    <row r="46" spans="2:13" x14ac:dyDescent="0.25">
      <c r="B46" s="350"/>
      <c r="C46" s="350"/>
      <c r="D46" s="350"/>
      <c r="E46" s="350"/>
      <c r="F46" s="350"/>
      <c r="G46" s="350"/>
      <c r="H46" s="350"/>
      <c r="I46" s="350"/>
      <c r="J46" s="350"/>
      <c r="K46" s="350"/>
      <c r="L46" s="351"/>
      <c r="M46" s="351"/>
    </row>
    <row r="47" spans="2:13" x14ac:dyDescent="0.25">
      <c r="B47" s="350"/>
      <c r="C47" s="350"/>
      <c r="D47" s="350"/>
      <c r="E47" s="350"/>
      <c r="F47" s="350"/>
      <c r="G47" s="350"/>
      <c r="H47" s="350"/>
      <c r="I47" s="350"/>
      <c r="J47" s="350"/>
      <c r="K47" s="350"/>
      <c r="L47" s="351"/>
      <c r="M47" s="351"/>
    </row>
    <row r="48" spans="2:13" x14ac:dyDescent="0.25">
      <c r="B48" s="350"/>
      <c r="C48" s="350"/>
      <c r="D48" s="350"/>
      <c r="E48" s="350"/>
      <c r="F48" s="350"/>
      <c r="G48" s="350"/>
      <c r="H48" s="350"/>
      <c r="I48" s="350"/>
      <c r="J48" s="350"/>
      <c r="K48" s="350"/>
      <c r="L48" s="351"/>
      <c r="M48" s="351"/>
    </row>
    <row r="49" spans="2:13" x14ac:dyDescent="0.25">
      <c r="B49" s="350"/>
      <c r="C49" s="350"/>
      <c r="D49" s="350"/>
      <c r="E49" s="350"/>
      <c r="F49" s="350"/>
      <c r="G49" s="350"/>
      <c r="H49" s="350"/>
      <c r="I49" s="350"/>
      <c r="J49" s="350"/>
      <c r="K49" s="350"/>
      <c r="L49" s="351"/>
      <c r="M49" s="351"/>
    </row>
    <row r="50" spans="2:13" x14ac:dyDescent="0.25">
      <c r="B50" s="350"/>
      <c r="C50" s="350"/>
      <c r="D50" s="350"/>
      <c r="E50" s="350"/>
      <c r="F50" s="350"/>
      <c r="G50" s="350"/>
      <c r="H50" s="350"/>
      <c r="I50" s="350"/>
      <c r="J50" s="350"/>
      <c r="K50" s="350"/>
      <c r="L50" s="351"/>
      <c r="M50" s="351"/>
    </row>
    <row r="51" spans="2:13" x14ac:dyDescent="0.25">
      <c r="B51" s="350"/>
      <c r="C51" s="350"/>
      <c r="D51" s="350"/>
      <c r="E51" s="350"/>
      <c r="F51" s="350"/>
      <c r="G51" s="350"/>
      <c r="H51" s="350"/>
      <c r="I51" s="350"/>
      <c r="J51" s="350"/>
      <c r="K51" s="350"/>
      <c r="L51" s="351"/>
      <c r="M51" s="351"/>
    </row>
    <row r="52" spans="2:13" x14ac:dyDescent="0.25">
      <c r="B52" s="350"/>
      <c r="C52" s="350"/>
      <c r="D52" s="350"/>
      <c r="E52" s="350"/>
      <c r="F52" s="350"/>
      <c r="G52" s="350"/>
      <c r="H52" s="350"/>
      <c r="I52" s="350"/>
      <c r="J52" s="350"/>
      <c r="K52" s="350"/>
      <c r="L52" s="351"/>
      <c r="M52" s="351"/>
    </row>
    <row r="53" spans="2:13" x14ac:dyDescent="0.25">
      <c r="B53" s="350"/>
      <c r="C53" s="350"/>
      <c r="D53" s="350"/>
      <c r="E53" s="350"/>
      <c r="F53" s="350"/>
      <c r="G53" s="350"/>
      <c r="H53" s="350"/>
      <c r="I53" s="350"/>
      <c r="J53" s="350"/>
      <c r="K53" s="350"/>
      <c r="L53" s="351"/>
      <c r="M53" s="351"/>
    </row>
    <row r="54" spans="2:13" x14ac:dyDescent="0.25">
      <c r="B54" s="350"/>
      <c r="C54" s="350"/>
      <c r="D54" s="350"/>
      <c r="E54" s="350"/>
      <c r="F54" s="350"/>
      <c r="G54" s="350"/>
      <c r="H54" s="350"/>
      <c r="I54" s="350"/>
      <c r="J54" s="350"/>
      <c r="K54" s="350"/>
      <c r="L54" s="351"/>
      <c r="M54" s="351"/>
    </row>
    <row r="55" spans="2:13" x14ac:dyDescent="0.25">
      <c r="B55" s="350"/>
      <c r="C55" s="350"/>
      <c r="D55" s="350"/>
      <c r="E55" s="350"/>
      <c r="F55" s="350"/>
      <c r="G55" s="350"/>
      <c r="H55" s="350"/>
      <c r="I55" s="350"/>
      <c r="J55" s="350"/>
      <c r="K55" s="350"/>
      <c r="L55" s="351"/>
      <c r="M55" s="351"/>
    </row>
    <row r="56" spans="2:13" x14ac:dyDescent="0.25">
      <c r="B56" s="350"/>
      <c r="C56" s="350"/>
      <c r="D56" s="350"/>
      <c r="E56" s="350"/>
      <c r="F56" s="350"/>
      <c r="G56" s="350"/>
      <c r="H56" s="350"/>
      <c r="I56" s="350"/>
      <c r="J56" s="350"/>
      <c r="K56" s="350"/>
      <c r="L56" s="351"/>
      <c r="M56" s="351"/>
    </row>
    <row r="57" spans="2:13" x14ac:dyDescent="0.25">
      <c r="B57" s="350"/>
      <c r="C57" s="350"/>
      <c r="D57" s="350"/>
      <c r="E57" s="350"/>
      <c r="F57" s="350"/>
      <c r="G57" s="350"/>
      <c r="H57" s="350"/>
      <c r="I57" s="350"/>
      <c r="J57" s="350"/>
      <c r="K57" s="350"/>
      <c r="L57" s="351"/>
      <c r="M57" s="351"/>
    </row>
    <row r="58" spans="2:13" x14ac:dyDescent="0.25">
      <c r="B58" s="350"/>
      <c r="C58" s="350"/>
      <c r="D58" s="350"/>
      <c r="E58" s="350"/>
      <c r="F58" s="350"/>
      <c r="G58" s="350"/>
      <c r="H58" s="350"/>
      <c r="I58" s="350"/>
      <c r="J58" s="350"/>
      <c r="K58" s="350"/>
      <c r="L58" s="351"/>
      <c r="M58" s="351"/>
    </row>
    <row r="59" spans="2:13" x14ac:dyDescent="0.25">
      <c r="B59" s="350"/>
      <c r="C59" s="350"/>
      <c r="D59" s="350"/>
      <c r="E59" s="350"/>
      <c r="F59" s="350"/>
      <c r="G59" s="350"/>
      <c r="H59" s="350"/>
      <c r="I59" s="350"/>
      <c r="J59" s="350"/>
      <c r="K59" s="350"/>
      <c r="L59" s="351"/>
      <c r="M59" s="351"/>
    </row>
    <row r="60" spans="2:13" x14ac:dyDescent="0.25">
      <c r="B60" s="350"/>
      <c r="C60" s="350"/>
      <c r="D60" s="350"/>
      <c r="E60" s="350"/>
      <c r="F60" s="350"/>
      <c r="G60" s="350"/>
      <c r="H60" s="350"/>
      <c r="I60" s="350"/>
      <c r="J60" s="350"/>
      <c r="K60" s="350"/>
      <c r="L60" s="351"/>
      <c r="M60" s="351"/>
    </row>
    <row r="61" spans="2:13" x14ac:dyDescent="0.25">
      <c r="B61" s="350"/>
      <c r="C61" s="350"/>
      <c r="D61" s="350"/>
      <c r="E61" s="350"/>
      <c r="F61" s="350"/>
      <c r="G61" s="350"/>
      <c r="H61" s="350"/>
      <c r="I61" s="350"/>
      <c r="J61" s="350"/>
      <c r="K61" s="350"/>
      <c r="L61" s="351"/>
      <c r="M61" s="351"/>
    </row>
    <row r="63" spans="2:13" x14ac:dyDescent="0.25">
      <c r="B63" s="236" t="s">
        <v>451</v>
      </c>
      <c r="C63" s="223"/>
      <c r="D63" s="223"/>
      <c r="E63" s="223"/>
      <c r="F63" s="223"/>
      <c r="G63" s="223"/>
      <c r="H63" s="235" t="s">
        <v>450</v>
      </c>
      <c r="I63" s="223"/>
      <c r="J63" s="223"/>
      <c r="K63" s="223"/>
      <c r="L63" s="223"/>
      <c r="M63" s="223"/>
    </row>
    <row r="64" spans="2:13" x14ac:dyDescent="0.25">
      <c r="B64" s="232" t="s">
        <v>449</v>
      </c>
      <c r="C64" s="223"/>
      <c r="D64" s="231" t="str">
        <f>FIXED(CertTempC,1)</f>
        <v>21.3</v>
      </c>
      <c r="E64" s="224" t="s">
        <v>443</v>
      </c>
      <c r="F64" s="231" t="str">
        <f>FIXED(CertTempIncerti,1)</f>
        <v>0.4</v>
      </c>
      <c r="G64" s="223" t="s">
        <v>448</v>
      </c>
      <c r="H64" s="232" t="s">
        <v>447</v>
      </c>
      <c r="I64" s="234" t="s">
        <v>444</v>
      </c>
      <c r="J64" s="233">
        <f>CertPres</f>
        <v>1001</v>
      </c>
      <c r="K64" s="224" t="s">
        <v>443</v>
      </c>
      <c r="L64" s="233">
        <f>CertPresIncert</f>
        <v>10</v>
      </c>
      <c r="M64" s="223" t="s">
        <v>446</v>
      </c>
    </row>
    <row r="65" spans="2:27" ht="14.4" customHeight="1" x14ac:dyDescent="0.25">
      <c r="B65" s="232" t="s">
        <v>445</v>
      </c>
      <c r="C65" s="224" t="s">
        <v>444</v>
      </c>
      <c r="D65" s="231" t="str">
        <f>FIXED(CertHR,1)</f>
        <v>49.4</v>
      </c>
      <c r="E65" s="224" t="s">
        <v>443</v>
      </c>
      <c r="F65" s="231" t="str">
        <f>FIXED(CertHRIncerti,1)</f>
        <v>1.3</v>
      </c>
      <c r="G65" s="223" t="s">
        <v>442</v>
      </c>
      <c r="N65" s="225"/>
      <c r="O65" s="225"/>
      <c r="P65" s="225"/>
      <c r="Q65" s="225"/>
      <c r="R65" s="225"/>
      <c r="S65" s="225"/>
      <c r="T65" s="225"/>
      <c r="U65" s="225"/>
      <c r="V65" s="225"/>
      <c r="W65" s="225"/>
      <c r="X65" s="225"/>
      <c r="Y65" s="225"/>
      <c r="Z65" s="225"/>
      <c r="AA65" s="225"/>
    </row>
    <row r="66" spans="2:27" x14ac:dyDescent="0.25">
      <c r="N66" s="225"/>
      <c r="O66" s="225"/>
      <c r="P66" s="225"/>
      <c r="Q66" s="225"/>
      <c r="R66" s="225"/>
      <c r="S66" s="225"/>
      <c r="T66" s="225"/>
      <c r="U66" s="225"/>
      <c r="V66" s="225"/>
      <c r="W66" s="225"/>
      <c r="X66" s="225"/>
      <c r="Y66" s="225"/>
      <c r="Z66" s="225"/>
      <c r="AA66" s="225"/>
    </row>
    <row r="67" spans="2:27" ht="14.4" customHeight="1" x14ac:dyDescent="0.25">
      <c r="B67" s="226" t="s">
        <v>441</v>
      </c>
      <c r="N67" s="225"/>
      <c r="O67" s="225"/>
      <c r="P67" s="225"/>
      <c r="Q67" s="225"/>
      <c r="R67" s="225"/>
      <c r="S67" s="225"/>
      <c r="T67" s="225"/>
      <c r="U67" s="225"/>
      <c r="V67" s="225"/>
      <c r="W67" s="225"/>
      <c r="X67" s="225"/>
      <c r="Y67" s="225"/>
      <c r="Z67" s="225"/>
      <c r="AA67" s="225"/>
    </row>
    <row r="68" spans="2:27" x14ac:dyDescent="0.25">
      <c r="B68" s="372" t="s">
        <v>440</v>
      </c>
      <c r="C68" s="372"/>
      <c r="D68" s="372"/>
      <c r="E68" s="372"/>
      <c r="F68" s="372"/>
      <c r="G68" s="372"/>
      <c r="H68" s="372"/>
      <c r="I68" s="372"/>
      <c r="J68" s="372"/>
      <c r="K68" s="372"/>
      <c r="L68" s="372"/>
      <c r="M68" s="372"/>
      <c r="N68" s="225"/>
      <c r="O68" s="225"/>
      <c r="P68" s="225"/>
      <c r="Q68" s="225"/>
      <c r="R68" s="225"/>
      <c r="S68" s="225"/>
      <c r="T68" s="225"/>
      <c r="U68" s="225"/>
      <c r="V68" s="225"/>
      <c r="W68" s="225"/>
      <c r="X68" s="225"/>
      <c r="Y68" s="225"/>
      <c r="Z68" s="225"/>
      <c r="AA68" s="225"/>
    </row>
    <row r="69" spans="2:27" x14ac:dyDescent="0.25">
      <c r="B69" s="372"/>
      <c r="C69" s="372"/>
      <c r="D69" s="372"/>
      <c r="E69" s="372"/>
      <c r="F69" s="372"/>
      <c r="G69" s="372"/>
      <c r="H69" s="372"/>
      <c r="I69" s="372"/>
      <c r="J69" s="372"/>
      <c r="K69" s="372"/>
      <c r="L69" s="372"/>
      <c r="M69" s="372"/>
      <c r="N69" s="225"/>
      <c r="O69" s="225"/>
      <c r="P69" s="225"/>
      <c r="Q69" s="225"/>
      <c r="R69" s="225"/>
      <c r="S69" s="225"/>
      <c r="T69" s="225"/>
      <c r="U69" s="225"/>
      <c r="V69" s="225"/>
      <c r="W69" s="225"/>
      <c r="X69" s="225"/>
      <c r="Y69" s="225"/>
      <c r="Z69" s="225"/>
      <c r="AA69" s="225"/>
    </row>
    <row r="70" spans="2:27" x14ac:dyDescent="0.25">
      <c r="B70" s="372"/>
      <c r="C70" s="372"/>
      <c r="D70" s="372"/>
      <c r="E70" s="372"/>
      <c r="F70" s="372"/>
      <c r="G70" s="372"/>
      <c r="H70" s="372"/>
      <c r="I70" s="372"/>
      <c r="J70" s="372"/>
      <c r="K70" s="372"/>
      <c r="L70" s="372"/>
      <c r="M70" s="372"/>
      <c r="N70" s="225"/>
      <c r="O70" s="225"/>
      <c r="P70" s="225"/>
      <c r="Q70" s="225"/>
      <c r="R70" s="225"/>
      <c r="S70" s="225"/>
      <c r="T70" s="225"/>
      <c r="U70" s="225"/>
      <c r="V70" s="225"/>
      <c r="W70" s="225"/>
      <c r="X70" s="225"/>
      <c r="Y70" s="225"/>
      <c r="Z70" s="225"/>
      <c r="AA70" s="225"/>
    </row>
    <row r="71" spans="2:27" x14ac:dyDescent="0.25">
      <c r="B71" s="223"/>
      <c r="C71" s="223"/>
      <c r="D71" s="223"/>
      <c r="E71" s="223"/>
      <c r="F71" s="223"/>
      <c r="G71" s="223"/>
      <c r="H71" s="223"/>
      <c r="I71" s="223"/>
      <c r="J71" s="223"/>
      <c r="K71" s="223"/>
      <c r="L71" s="223"/>
      <c r="M71" s="223"/>
    </row>
    <row r="72" spans="2:27" x14ac:dyDescent="0.25">
      <c r="B72" s="226" t="s">
        <v>439</v>
      </c>
      <c r="C72" s="225"/>
      <c r="D72" s="225"/>
      <c r="E72" s="225"/>
      <c r="F72" s="225"/>
      <c r="G72" s="225"/>
      <c r="H72" s="225"/>
      <c r="I72" s="225"/>
      <c r="J72" s="225"/>
      <c r="K72" s="225"/>
      <c r="L72" s="225"/>
      <c r="M72" s="225"/>
    </row>
    <row r="73" spans="2:27" x14ac:dyDescent="0.25">
      <c r="B73" s="372" t="s">
        <v>438</v>
      </c>
      <c r="C73" s="372"/>
      <c r="D73" s="372"/>
      <c r="E73" s="372"/>
      <c r="F73" s="372"/>
      <c r="G73" s="372"/>
      <c r="H73" s="372"/>
      <c r="I73" s="372"/>
      <c r="J73" s="372"/>
      <c r="K73" s="372"/>
      <c r="L73" s="372"/>
      <c r="M73" s="372"/>
    </row>
    <row r="74" spans="2:27" x14ac:dyDescent="0.25">
      <c r="B74" s="372"/>
      <c r="C74" s="372"/>
      <c r="D74" s="372"/>
      <c r="E74" s="372"/>
      <c r="F74" s="372"/>
      <c r="G74" s="372"/>
      <c r="H74" s="372"/>
      <c r="I74" s="372"/>
      <c r="J74" s="372"/>
      <c r="K74" s="372"/>
      <c r="L74" s="372"/>
      <c r="M74" s="372"/>
    </row>
    <row r="75" spans="2:27" x14ac:dyDescent="0.25">
      <c r="B75" s="372"/>
      <c r="C75" s="372"/>
      <c r="D75" s="372"/>
      <c r="E75" s="372"/>
      <c r="F75" s="372"/>
      <c r="G75" s="372"/>
      <c r="H75" s="372"/>
      <c r="I75" s="372"/>
      <c r="J75" s="372"/>
      <c r="K75" s="372"/>
      <c r="L75" s="372"/>
      <c r="M75" s="372"/>
    </row>
    <row r="76" spans="2:27" x14ac:dyDescent="0.25">
      <c r="B76" s="372"/>
      <c r="C76" s="372"/>
      <c r="D76" s="372"/>
      <c r="E76" s="372"/>
      <c r="F76" s="372"/>
      <c r="G76" s="372"/>
      <c r="H76" s="372"/>
      <c r="I76" s="372"/>
      <c r="J76" s="372"/>
      <c r="K76" s="372"/>
      <c r="L76" s="372"/>
      <c r="M76" s="372"/>
    </row>
    <row r="77" spans="2:27" x14ac:dyDescent="0.25">
      <c r="B77" s="372"/>
      <c r="C77" s="372"/>
      <c r="D77" s="372"/>
      <c r="E77" s="372"/>
      <c r="F77" s="372"/>
      <c r="G77" s="372"/>
      <c r="H77" s="372"/>
      <c r="I77" s="372"/>
      <c r="J77" s="372"/>
      <c r="K77" s="372"/>
      <c r="L77" s="372"/>
      <c r="M77" s="372"/>
    </row>
    <row r="79" spans="2:27" x14ac:dyDescent="0.25">
      <c r="B79" s="226"/>
      <c r="C79" s="223"/>
      <c r="D79" s="223"/>
      <c r="E79" s="223"/>
      <c r="F79" s="223"/>
      <c r="G79" s="223"/>
      <c r="H79" s="223"/>
      <c r="I79" s="223"/>
      <c r="J79" s="223"/>
      <c r="K79" s="223"/>
      <c r="L79" s="223"/>
      <c r="M79" s="223"/>
    </row>
    <row r="80" spans="2:27" x14ac:dyDescent="0.25">
      <c r="B80" s="226"/>
      <c r="C80" s="223"/>
      <c r="D80" s="223"/>
      <c r="E80" s="223"/>
      <c r="F80" s="223"/>
      <c r="G80" s="223"/>
      <c r="H80" s="223"/>
      <c r="I80" s="223"/>
      <c r="J80" s="223"/>
      <c r="K80" s="223"/>
      <c r="L80" s="223"/>
      <c r="M80" s="223"/>
    </row>
    <row r="81" spans="2:13" x14ac:dyDescent="0.25">
      <c r="B81" s="226"/>
      <c r="C81" s="223"/>
      <c r="D81" s="223"/>
      <c r="E81" s="223"/>
      <c r="F81" s="223"/>
      <c r="G81" s="223"/>
      <c r="H81" s="223"/>
      <c r="I81" s="223"/>
      <c r="J81" s="223"/>
      <c r="K81" s="223"/>
      <c r="L81" s="223"/>
      <c r="M81" s="223"/>
    </row>
    <row r="82" spans="2:13" x14ac:dyDescent="0.25">
      <c r="B82" s="226"/>
      <c r="C82" s="223"/>
      <c r="D82" s="223"/>
      <c r="E82" s="223"/>
      <c r="F82" s="223"/>
      <c r="G82" s="223"/>
      <c r="H82" s="223"/>
      <c r="I82" s="223"/>
      <c r="J82" s="223"/>
      <c r="K82" s="223"/>
      <c r="L82" s="223"/>
      <c r="M82" s="223"/>
    </row>
    <row r="83" spans="2:13" x14ac:dyDescent="0.25">
      <c r="B83" s="226"/>
      <c r="C83" s="223"/>
      <c r="D83" s="223"/>
      <c r="E83" s="223"/>
      <c r="F83" s="223"/>
      <c r="G83" s="223"/>
      <c r="H83" s="223"/>
      <c r="I83" s="223"/>
      <c r="J83" s="223"/>
      <c r="K83" s="223"/>
      <c r="L83" s="223"/>
      <c r="M83" s="223"/>
    </row>
    <row r="84" spans="2:13" x14ac:dyDescent="0.25">
      <c r="B84" s="226"/>
      <c r="C84" s="223"/>
      <c r="D84" s="223"/>
      <c r="E84" s="223"/>
      <c r="F84" s="223"/>
      <c r="G84" s="223"/>
      <c r="H84" s="223"/>
      <c r="I84" s="223"/>
      <c r="J84" s="223"/>
      <c r="K84" s="223"/>
      <c r="L84" s="223"/>
      <c r="M84" s="223"/>
    </row>
    <row r="85" spans="2:13" x14ac:dyDescent="0.25">
      <c r="B85" s="226"/>
      <c r="C85" s="223"/>
      <c r="D85" s="223"/>
      <c r="E85" s="223"/>
      <c r="F85" s="223"/>
      <c r="G85" s="223"/>
      <c r="H85" s="223"/>
      <c r="I85" s="223"/>
      <c r="J85" s="223"/>
      <c r="K85" s="223"/>
      <c r="L85" s="223"/>
      <c r="M85" s="223"/>
    </row>
    <row r="86" spans="2:13" x14ac:dyDescent="0.25">
      <c r="B86" s="226"/>
      <c r="C86" s="223"/>
      <c r="D86" s="223"/>
      <c r="E86" s="223"/>
      <c r="F86" s="223"/>
      <c r="G86" s="223"/>
      <c r="H86" s="223"/>
      <c r="I86" s="223"/>
      <c r="J86" s="223"/>
      <c r="K86" s="223"/>
      <c r="L86" s="223"/>
      <c r="M86" s="223"/>
    </row>
    <row r="87" spans="2:13" x14ac:dyDescent="0.25">
      <c r="B87" s="226"/>
      <c r="C87" s="223"/>
      <c r="D87" s="223"/>
      <c r="E87" s="223"/>
      <c r="F87" s="223"/>
      <c r="G87" s="223"/>
      <c r="H87" s="223"/>
      <c r="I87" s="223"/>
      <c r="J87" s="223"/>
      <c r="K87" s="223"/>
      <c r="L87" s="223"/>
      <c r="M87" s="223"/>
    </row>
    <row r="88" spans="2:13" x14ac:dyDescent="0.25">
      <c r="B88" s="226"/>
      <c r="C88" s="223"/>
      <c r="D88" s="223"/>
      <c r="E88" s="223"/>
      <c r="F88" s="223"/>
      <c r="G88" s="223"/>
      <c r="H88" s="223"/>
      <c r="I88" s="223"/>
      <c r="J88" s="223"/>
      <c r="K88" s="223"/>
      <c r="L88" s="223"/>
      <c r="M88" s="223"/>
    </row>
    <row r="89" spans="2:13" x14ac:dyDescent="0.25">
      <c r="B89" s="226"/>
      <c r="C89" s="223"/>
      <c r="D89" s="223"/>
      <c r="E89" s="223"/>
      <c r="F89" s="223"/>
      <c r="G89" s="223"/>
      <c r="H89" s="223"/>
      <c r="I89" s="223"/>
      <c r="J89" s="223"/>
      <c r="K89" s="223"/>
      <c r="L89" s="223"/>
      <c r="M89" s="223"/>
    </row>
    <row r="90" spans="2:13" ht="18" customHeight="1" x14ac:dyDescent="0.25">
      <c r="B90" s="226"/>
      <c r="C90" s="223"/>
      <c r="D90" s="223"/>
      <c r="E90" s="223"/>
      <c r="F90" s="223"/>
      <c r="G90" s="223"/>
      <c r="H90" s="223"/>
      <c r="I90" s="223"/>
      <c r="J90" s="223"/>
      <c r="K90" s="223"/>
      <c r="L90" s="223"/>
      <c r="M90" s="223"/>
    </row>
    <row r="91" spans="2:13" x14ac:dyDescent="0.25">
      <c r="B91" s="226"/>
      <c r="C91" s="223"/>
      <c r="D91" s="223"/>
      <c r="E91" s="223"/>
      <c r="F91" s="223"/>
      <c r="G91" s="223"/>
      <c r="H91" s="223"/>
      <c r="I91" s="223"/>
      <c r="J91" s="223"/>
      <c r="K91" s="223"/>
      <c r="L91" s="223"/>
      <c r="M91" s="223"/>
    </row>
    <row r="92" spans="2:13" x14ac:dyDescent="0.25">
      <c r="B92" s="226" t="s">
        <v>437</v>
      </c>
      <c r="C92" s="223"/>
      <c r="D92" s="223"/>
      <c r="E92" s="223"/>
      <c r="F92" s="223"/>
      <c r="G92" s="223"/>
      <c r="H92" s="226" t="str">
        <f>CertNum</f>
        <v>NI-MC-B-XXX-2020</v>
      </c>
      <c r="I92" s="223"/>
      <c r="J92" s="223"/>
      <c r="K92" s="223"/>
      <c r="L92" s="223"/>
      <c r="M92" s="223"/>
    </row>
    <row r="93" spans="2:13" x14ac:dyDescent="0.25">
      <c r="B93" s="226"/>
      <c r="C93" s="223"/>
      <c r="D93" s="223"/>
      <c r="E93" s="223"/>
      <c r="F93" s="223"/>
      <c r="G93" s="223"/>
      <c r="H93" s="226"/>
      <c r="I93" s="223"/>
      <c r="J93" s="223"/>
      <c r="K93" s="223"/>
      <c r="L93" s="223"/>
      <c r="M93" s="223"/>
    </row>
    <row r="94" spans="2:13" x14ac:dyDescent="0.25">
      <c r="B94" s="226"/>
      <c r="C94" s="223"/>
      <c r="D94" s="223"/>
      <c r="E94" s="223"/>
      <c r="F94" s="223"/>
      <c r="G94" s="223"/>
      <c r="H94" s="226"/>
      <c r="I94" s="223"/>
      <c r="J94" s="223"/>
      <c r="K94" s="223"/>
      <c r="L94" s="223"/>
      <c r="M94" s="223"/>
    </row>
    <row r="95" spans="2:13" x14ac:dyDescent="0.25">
      <c r="B95" s="226" t="s">
        <v>436</v>
      </c>
      <c r="C95" s="223"/>
      <c r="D95" s="223"/>
      <c r="E95" s="223"/>
      <c r="F95" s="223"/>
      <c r="G95" s="223"/>
      <c r="H95" s="223"/>
      <c r="I95" s="223"/>
      <c r="J95" s="223"/>
      <c r="K95" s="223"/>
      <c r="L95" s="223"/>
      <c r="M95" s="223"/>
    </row>
    <row r="96" spans="2:13" x14ac:dyDescent="0.25">
      <c r="B96" s="226"/>
      <c r="C96" s="223"/>
      <c r="D96" s="223"/>
      <c r="E96" s="223"/>
      <c r="F96" s="223"/>
      <c r="G96" s="223"/>
      <c r="H96" s="223"/>
      <c r="I96" s="223"/>
      <c r="J96" s="223"/>
      <c r="K96" s="223"/>
      <c r="L96" s="223"/>
      <c r="M96" s="223"/>
    </row>
    <row r="97" spans="2:13" x14ac:dyDescent="0.25">
      <c r="B97" s="361" t="str">
        <f>Calibración!CP4</f>
        <v>Descripción</v>
      </c>
      <c r="C97" s="361"/>
      <c r="D97" s="229" t="str">
        <f>Calibración!CR4</f>
        <v>Marca</v>
      </c>
      <c r="E97" s="361" t="str">
        <f>Calibración!CS4</f>
        <v>Código</v>
      </c>
      <c r="F97" s="361"/>
      <c r="G97" s="361"/>
      <c r="H97" s="361" t="str">
        <f>Calibración!CT4</f>
        <v>Trazabilidad</v>
      </c>
      <c r="I97" s="361"/>
      <c r="J97" s="361"/>
      <c r="K97" s="361"/>
      <c r="L97" s="365" t="str">
        <f>Calibración!CU4</f>
        <v>Próx. Calibr.</v>
      </c>
      <c r="M97" s="365"/>
    </row>
    <row r="98" spans="2:13" x14ac:dyDescent="0.25">
      <c r="B98" s="374" t="s">
        <v>435</v>
      </c>
      <c r="C98" s="374"/>
      <c r="D98" s="228" t="str">
        <f>VLOOKUP(E98,'BD Patron'!C6:O10,2,FALSE)</f>
        <v>Extech</v>
      </c>
      <c r="E98" s="362" t="str">
        <f>General!I4</f>
        <v>NI-MCPPT-06</v>
      </c>
      <c r="F98" s="362"/>
      <c r="G98" s="362"/>
      <c r="H98" s="362" t="str">
        <f>VLOOKUP(E98,'BD Patron'!C6:O10,11,FALSE)</f>
        <v>SCM Metrología y Laboratorios SCM-00039471</v>
      </c>
      <c r="I98" s="362"/>
      <c r="J98" s="362"/>
      <c r="K98" s="362"/>
      <c r="L98" s="373">
        <f>VLOOKUP(E98,'BD Patron'!C6:O10,10,FALSE)+731</f>
        <v>45570</v>
      </c>
      <c r="M98" s="373"/>
    </row>
    <row r="99" spans="2:13" x14ac:dyDescent="0.25">
      <c r="B99" s="355" t="str">
        <f>Calibración!CP6</f>
        <v/>
      </c>
      <c r="C99" s="355"/>
      <c r="D99" s="227" t="str">
        <f>Calibración!CR6</f>
        <v/>
      </c>
      <c r="E99" s="356" t="str">
        <f>Calibración!CS6</f>
        <v/>
      </c>
      <c r="F99" s="356"/>
      <c r="G99" s="356"/>
      <c r="H99" s="356" t="str">
        <f>Calibración!CT6</f>
        <v/>
      </c>
      <c r="I99" s="356"/>
      <c r="J99" s="356"/>
      <c r="K99" s="356"/>
      <c r="L99" s="357" t="str">
        <f>Calibración!CU6</f>
        <v/>
      </c>
      <c r="M99" s="357"/>
    </row>
    <row r="100" spans="2:13" x14ac:dyDescent="0.25">
      <c r="B100" s="355" t="str">
        <f>Calibración!CP7</f>
        <v/>
      </c>
      <c r="C100" s="355"/>
      <c r="D100" s="227" t="str">
        <f>Calibración!CR7</f>
        <v/>
      </c>
      <c r="E100" s="356" t="str">
        <f>Calibración!CS7</f>
        <v/>
      </c>
      <c r="F100" s="356"/>
      <c r="G100" s="356"/>
      <c r="H100" s="356" t="str">
        <f>Calibración!CT7</f>
        <v/>
      </c>
      <c r="I100" s="356"/>
      <c r="J100" s="356"/>
      <c r="K100" s="356"/>
      <c r="L100" s="357" t="str">
        <f>Calibración!CU7</f>
        <v/>
      </c>
      <c r="M100" s="357"/>
    </row>
    <row r="101" spans="2:13" x14ac:dyDescent="0.25">
      <c r="B101" s="355" t="str">
        <f>Calibración!CP8</f>
        <v/>
      </c>
      <c r="C101" s="355"/>
      <c r="D101" s="227" t="str">
        <f>Calibración!CR8</f>
        <v/>
      </c>
      <c r="E101" s="356" t="str">
        <f>Calibración!CS8</f>
        <v/>
      </c>
      <c r="F101" s="356"/>
      <c r="G101" s="356"/>
      <c r="H101" s="356" t="str">
        <f>Calibración!CT8</f>
        <v/>
      </c>
      <c r="I101" s="356"/>
      <c r="J101" s="356"/>
      <c r="K101" s="356"/>
      <c r="L101" s="357" t="str">
        <f>Calibración!CU8</f>
        <v/>
      </c>
      <c r="M101" s="357"/>
    </row>
    <row r="102" spans="2:13" x14ac:dyDescent="0.25">
      <c r="B102" s="355" t="str">
        <f>Calibración!CP9</f>
        <v/>
      </c>
      <c r="C102" s="355"/>
      <c r="D102" s="227" t="str">
        <f>Calibración!CR9</f>
        <v/>
      </c>
      <c r="E102" s="356" t="str">
        <f>Calibración!CS9</f>
        <v/>
      </c>
      <c r="F102" s="356"/>
      <c r="G102" s="356"/>
      <c r="H102" s="356" t="str">
        <f>Calibración!CT9</f>
        <v/>
      </c>
      <c r="I102" s="356"/>
      <c r="J102" s="356"/>
      <c r="K102" s="356"/>
      <c r="L102" s="357" t="str">
        <f>Calibración!CU9</f>
        <v/>
      </c>
      <c r="M102" s="357"/>
    </row>
    <row r="103" spans="2:13" x14ac:dyDescent="0.25">
      <c r="B103" s="355" t="str">
        <f>Calibración!CP10</f>
        <v/>
      </c>
      <c r="C103" s="355"/>
      <c r="D103" s="227" t="str">
        <f>Calibración!CR10</f>
        <v/>
      </c>
      <c r="E103" s="356" t="str">
        <f>Calibración!CS10</f>
        <v/>
      </c>
      <c r="F103" s="356"/>
      <c r="G103" s="356"/>
      <c r="H103" s="356" t="str">
        <f>Calibración!CT10</f>
        <v/>
      </c>
      <c r="I103" s="356"/>
      <c r="J103" s="356"/>
      <c r="K103" s="356"/>
      <c r="L103" s="357" t="str">
        <f>Calibración!CU10</f>
        <v/>
      </c>
      <c r="M103" s="357"/>
    </row>
    <row r="104" spans="2:13" hidden="1" x14ac:dyDescent="0.25">
      <c r="B104" s="355" t="str">
        <f>Calibración!CP11</f>
        <v/>
      </c>
      <c r="C104" s="355"/>
      <c r="D104" s="227" t="str">
        <f>Calibración!CR11</f>
        <v/>
      </c>
      <c r="E104" s="356" t="str">
        <f>Calibración!CS11</f>
        <v/>
      </c>
      <c r="F104" s="356"/>
      <c r="G104" s="356"/>
      <c r="H104" s="356" t="str">
        <f>Calibración!CT11</f>
        <v/>
      </c>
      <c r="I104" s="356"/>
      <c r="J104" s="356"/>
      <c r="K104" s="356"/>
      <c r="L104" s="357" t="str">
        <f>Calibración!CU11</f>
        <v/>
      </c>
      <c r="M104" s="357"/>
    </row>
    <row r="105" spans="2:13" hidden="1" x14ac:dyDescent="0.25">
      <c r="B105" s="355" t="str">
        <f>Calibración!CP12</f>
        <v/>
      </c>
      <c r="C105" s="355"/>
      <c r="D105" s="227" t="str">
        <f>Calibración!CR12</f>
        <v/>
      </c>
      <c r="E105" s="356" t="str">
        <f>Calibración!CS12</f>
        <v/>
      </c>
      <c r="F105" s="356"/>
      <c r="G105" s="356"/>
      <c r="H105" s="356" t="str">
        <f>Calibración!CT12</f>
        <v/>
      </c>
      <c r="I105" s="356"/>
      <c r="J105" s="356"/>
      <c r="K105" s="356"/>
      <c r="L105" s="357" t="str">
        <f>Calibración!CU12</f>
        <v/>
      </c>
      <c r="M105" s="357"/>
    </row>
    <row r="106" spans="2:13" hidden="1" x14ac:dyDescent="0.25">
      <c r="B106" s="355" t="str">
        <f>Calibración!CP13</f>
        <v/>
      </c>
      <c r="C106" s="355"/>
      <c r="D106" s="227" t="str">
        <f>Calibración!CR13</f>
        <v/>
      </c>
      <c r="E106" s="356" t="str">
        <f>Calibración!CS13</f>
        <v/>
      </c>
      <c r="F106" s="356"/>
      <c r="G106" s="356"/>
      <c r="H106" s="356" t="str">
        <f>Calibración!CT13</f>
        <v/>
      </c>
      <c r="I106" s="356"/>
      <c r="J106" s="356"/>
      <c r="K106" s="356"/>
      <c r="L106" s="357" t="str">
        <f>Calibración!CU13</f>
        <v/>
      </c>
      <c r="M106" s="357"/>
    </row>
    <row r="107" spans="2:13" hidden="1" x14ac:dyDescent="0.25">
      <c r="B107" s="355" t="str">
        <f>Calibración!CP14</f>
        <v/>
      </c>
      <c r="C107" s="355"/>
      <c r="D107" s="227" t="str">
        <f>Calibración!CR14</f>
        <v/>
      </c>
      <c r="E107" s="356" t="str">
        <f>Calibración!CS14</f>
        <v/>
      </c>
      <c r="F107" s="356"/>
      <c r="G107" s="356"/>
      <c r="H107" s="356" t="str">
        <f>Calibración!CT14</f>
        <v/>
      </c>
      <c r="I107" s="356"/>
      <c r="J107" s="356"/>
      <c r="K107" s="356"/>
      <c r="L107" s="357" t="str">
        <f>Calibración!CU14</f>
        <v/>
      </c>
      <c r="M107" s="357"/>
    </row>
    <row r="108" spans="2:13" hidden="1" x14ac:dyDescent="0.25">
      <c r="B108" s="355" t="str">
        <f>Calibración!CP15</f>
        <v/>
      </c>
      <c r="C108" s="355"/>
      <c r="D108" s="227" t="str">
        <f>Calibración!CR15</f>
        <v/>
      </c>
      <c r="E108" s="356" t="str">
        <f>Calibración!CS15</f>
        <v/>
      </c>
      <c r="F108" s="356"/>
      <c r="G108" s="356"/>
      <c r="H108" s="356" t="str">
        <f>Calibración!CT15</f>
        <v/>
      </c>
      <c r="I108" s="356"/>
      <c r="J108" s="356"/>
      <c r="K108" s="356"/>
      <c r="L108" s="357" t="str">
        <f>Calibración!CU15</f>
        <v/>
      </c>
      <c r="M108" s="357"/>
    </row>
    <row r="109" spans="2:13" hidden="1" x14ac:dyDescent="0.25">
      <c r="B109" s="355" t="str">
        <f>Calibración!CP16</f>
        <v/>
      </c>
      <c r="C109" s="355"/>
      <c r="D109" s="227" t="str">
        <f>Calibración!CR16</f>
        <v/>
      </c>
      <c r="E109" s="356" t="str">
        <f>Calibración!CS16</f>
        <v/>
      </c>
      <c r="F109" s="356"/>
      <c r="G109" s="356"/>
      <c r="H109" s="356" t="str">
        <f>Calibración!CT16</f>
        <v/>
      </c>
      <c r="I109" s="356"/>
      <c r="J109" s="356"/>
      <c r="K109" s="356"/>
      <c r="L109" s="357" t="str">
        <f>Calibración!CU16</f>
        <v/>
      </c>
      <c r="M109" s="357"/>
    </row>
    <row r="110" spans="2:13" hidden="1" x14ac:dyDescent="0.25">
      <c r="B110" s="355" t="str">
        <f>Calibración!CP17</f>
        <v/>
      </c>
      <c r="C110" s="355"/>
      <c r="D110" s="227" t="str">
        <f>Calibración!CR17</f>
        <v/>
      </c>
      <c r="E110" s="356" t="str">
        <f>Calibración!CS17</f>
        <v/>
      </c>
      <c r="F110" s="356"/>
      <c r="G110" s="356"/>
      <c r="H110" s="356" t="str">
        <f>Calibración!CT17</f>
        <v/>
      </c>
      <c r="I110" s="356"/>
      <c r="J110" s="356"/>
      <c r="K110" s="356"/>
      <c r="L110" s="357" t="str">
        <f>Calibración!CU17</f>
        <v/>
      </c>
      <c r="M110" s="357"/>
    </row>
    <row r="111" spans="2:13" hidden="1" x14ac:dyDescent="0.25">
      <c r="B111" s="355" t="str">
        <f>Calibración!CP18</f>
        <v/>
      </c>
      <c r="C111" s="355"/>
      <c r="D111" s="227" t="str">
        <f>Calibración!CR18</f>
        <v/>
      </c>
      <c r="E111" s="356" t="str">
        <f>Calibración!CS18</f>
        <v/>
      </c>
      <c r="F111" s="356"/>
      <c r="G111" s="356"/>
      <c r="H111" s="356" t="str">
        <f>Calibración!CT18</f>
        <v/>
      </c>
      <c r="I111" s="356"/>
      <c r="J111" s="356"/>
      <c r="K111" s="356"/>
      <c r="L111" s="357" t="str">
        <f>Calibración!CU18</f>
        <v/>
      </c>
      <c r="M111" s="357"/>
    </row>
    <row r="112" spans="2:13" hidden="1" x14ac:dyDescent="0.25">
      <c r="B112" s="355" t="str">
        <f>Calibración!CP19</f>
        <v/>
      </c>
      <c r="C112" s="355"/>
      <c r="D112" s="227" t="str">
        <f>Calibración!CR19</f>
        <v/>
      </c>
      <c r="E112" s="356" t="str">
        <f>Calibración!CS19</f>
        <v/>
      </c>
      <c r="F112" s="356"/>
      <c r="G112" s="356"/>
      <c r="H112" s="356" t="str">
        <f>Calibración!CT19</f>
        <v/>
      </c>
      <c r="I112" s="356"/>
      <c r="J112" s="356"/>
      <c r="K112" s="356"/>
      <c r="L112" s="357" t="str">
        <f>Calibración!CU19</f>
        <v/>
      </c>
      <c r="M112" s="357"/>
    </row>
    <row r="113" spans="2:20" hidden="1" x14ac:dyDescent="0.25">
      <c r="B113" s="355" t="str">
        <f>Calibración!CP20</f>
        <v/>
      </c>
      <c r="C113" s="355"/>
      <c r="D113" s="227" t="str">
        <f>Calibración!CR20</f>
        <v/>
      </c>
      <c r="E113" s="356" t="str">
        <f>Calibración!CS20</f>
        <v/>
      </c>
      <c r="F113" s="356"/>
      <c r="G113" s="356"/>
      <c r="H113" s="356" t="str">
        <f>Calibración!CT20</f>
        <v/>
      </c>
      <c r="I113" s="356"/>
      <c r="J113" s="356"/>
      <c r="K113" s="356"/>
      <c r="L113" s="357" t="str">
        <f>Calibración!CU20</f>
        <v/>
      </c>
      <c r="M113" s="357"/>
    </row>
    <row r="114" spans="2:20" hidden="1" x14ac:dyDescent="0.25">
      <c r="B114" s="355" t="str">
        <f>Calibración!CP21</f>
        <v/>
      </c>
      <c r="C114" s="355"/>
      <c r="D114" s="227" t="str">
        <f>Calibración!CR21</f>
        <v/>
      </c>
      <c r="E114" s="356" t="str">
        <f>Calibración!CS21</f>
        <v/>
      </c>
      <c r="F114" s="356"/>
      <c r="G114" s="356"/>
      <c r="H114" s="356" t="str">
        <f>Calibración!CT21</f>
        <v/>
      </c>
      <c r="I114" s="356"/>
      <c r="J114" s="356"/>
      <c r="K114" s="356"/>
      <c r="L114" s="357" t="str">
        <f>Calibración!CU21</f>
        <v/>
      </c>
      <c r="M114" s="357"/>
    </row>
    <row r="115" spans="2:20" hidden="1" x14ac:dyDescent="0.25">
      <c r="B115" s="355" t="str">
        <f>Calibración!CP22</f>
        <v/>
      </c>
      <c r="C115" s="355"/>
      <c r="D115" s="227" t="str">
        <f>Calibración!CR22</f>
        <v/>
      </c>
      <c r="E115" s="356" t="str">
        <f>Calibración!CS22</f>
        <v/>
      </c>
      <c r="F115" s="356"/>
      <c r="G115" s="356"/>
      <c r="H115" s="356" t="str">
        <f>Calibración!CT22</f>
        <v/>
      </c>
      <c r="I115" s="356"/>
      <c r="J115" s="356"/>
      <c r="K115" s="356"/>
      <c r="L115" s="357" t="str">
        <f>Calibración!CU22</f>
        <v/>
      </c>
      <c r="M115" s="357"/>
    </row>
    <row r="116" spans="2:20" hidden="1" x14ac:dyDescent="0.25">
      <c r="B116" s="355" t="str">
        <f>Calibración!CP23</f>
        <v/>
      </c>
      <c r="C116" s="355"/>
      <c r="D116" s="227" t="str">
        <f>Calibración!CR23</f>
        <v/>
      </c>
      <c r="E116" s="356" t="str">
        <f>Calibración!CS23</f>
        <v/>
      </c>
      <c r="F116" s="356"/>
      <c r="G116" s="356"/>
      <c r="H116" s="356" t="str">
        <f>Calibración!CT23</f>
        <v/>
      </c>
      <c r="I116" s="356"/>
      <c r="J116" s="356"/>
      <c r="K116" s="356"/>
      <c r="L116" s="357" t="str">
        <f>Calibración!CU23</f>
        <v/>
      </c>
      <c r="M116" s="357"/>
    </row>
    <row r="117" spans="2:20" hidden="1" x14ac:dyDescent="0.25">
      <c r="B117" s="355" t="str">
        <f>Calibración!CP24</f>
        <v/>
      </c>
      <c r="C117" s="355"/>
      <c r="D117" s="227" t="str">
        <f>Calibración!CR24</f>
        <v/>
      </c>
      <c r="E117" s="356" t="str">
        <f>Calibración!CS24</f>
        <v/>
      </c>
      <c r="F117" s="356"/>
      <c r="G117" s="356"/>
      <c r="H117" s="356" t="str">
        <f>Calibración!CT24</f>
        <v/>
      </c>
      <c r="I117" s="356"/>
      <c r="J117" s="356"/>
      <c r="K117" s="356"/>
      <c r="L117" s="357" t="str">
        <f>Calibración!CU24</f>
        <v/>
      </c>
      <c r="M117" s="357"/>
    </row>
    <row r="118" spans="2:20" hidden="1" x14ac:dyDescent="0.25">
      <c r="B118" s="355" t="str">
        <f>Calibración!CP25</f>
        <v/>
      </c>
      <c r="C118" s="355"/>
      <c r="D118" s="227" t="str">
        <f>Calibración!CR25</f>
        <v/>
      </c>
      <c r="E118" s="356" t="str">
        <f>Calibración!CS25</f>
        <v/>
      </c>
      <c r="F118" s="356"/>
      <c r="G118" s="356"/>
      <c r="H118" s="356" t="str">
        <f>Calibración!CT25</f>
        <v/>
      </c>
      <c r="I118" s="356"/>
      <c r="J118" s="356"/>
      <c r="K118" s="356"/>
      <c r="L118" s="357" t="str">
        <f>Calibración!CU25</f>
        <v/>
      </c>
      <c r="M118" s="357"/>
    </row>
    <row r="119" spans="2:20" x14ac:dyDescent="0.25">
      <c r="B119" s="223"/>
      <c r="C119" s="223"/>
      <c r="D119" s="223"/>
      <c r="E119" s="223"/>
      <c r="F119" s="223"/>
      <c r="G119" s="223"/>
      <c r="H119" s="223"/>
      <c r="I119" s="223"/>
      <c r="J119" s="223"/>
      <c r="K119" s="223"/>
      <c r="L119" s="223"/>
      <c r="M119" s="223"/>
    </row>
    <row r="120" spans="2:20" x14ac:dyDescent="0.25">
      <c r="B120" s="226" t="s">
        <v>434</v>
      </c>
    </row>
    <row r="121" spans="2:20" x14ac:dyDescent="0.25">
      <c r="B121" s="221" t="s">
        <v>433</v>
      </c>
    </row>
    <row r="122" spans="2:20" x14ac:dyDescent="0.25">
      <c r="B122" s="221" t="s">
        <v>432</v>
      </c>
    </row>
    <row r="123" spans="2:20" x14ac:dyDescent="0.25">
      <c r="B123" s="221" t="s">
        <v>431</v>
      </c>
    </row>
    <row r="124" spans="2:20" x14ac:dyDescent="0.25">
      <c r="B124" s="221" t="s">
        <v>430</v>
      </c>
      <c r="S124" s="225"/>
      <c r="T124" s="225"/>
    </row>
    <row r="125" spans="2:20" x14ac:dyDescent="0.25">
      <c r="B125" s="221" t="s">
        <v>429</v>
      </c>
      <c r="S125" s="225"/>
      <c r="T125" s="225"/>
    </row>
    <row r="126" spans="2:20" x14ac:dyDescent="0.25">
      <c r="B126" s="221" t="s">
        <v>428</v>
      </c>
    </row>
    <row r="131" spans="2:19" x14ac:dyDescent="0.25">
      <c r="F131" s="364"/>
      <c r="G131" s="364"/>
      <c r="H131" s="364"/>
      <c r="I131" s="364"/>
    </row>
    <row r="132" spans="2:19" x14ac:dyDescent="0.25">
      <c r="F132" s="368" t="s">
        <v>67</v>
      </c>
      <c r="G132" s="368"/>
      <c r="H132" s="368"/>
      <c r="I132" s="368"/>
    </row>
    <row r="133" spans="2:19" x14ac:dyDescent="0.25">
      <c r="F133" s="368" t="s">
        <v>427</v>
      </c>
      <c r="G133" s="368"/>
      <c r="H133" s="368"/>
      <c r="I133" s="368"/>
      <c r="R133" s="224"/>
      <c r="S133" s="224"/>
    </row>
    <row r="134" spans="2:19" x14ac:dyDescent="0.25">
      <c r="F134" s="369" t="s">
        <v>426</v>
      </c>
      <c r="G134" s="369"/>
      <c r="H134" s="369"/>
      <c r="I134" s="369"/>
      <c r="R134" s="222"/>
      <c r="S134" s="222"/>
    </row>
    <row r="135" spans="2:19" x14ac:dyDescent="0.25">
      <c r="B135" s="223"/>
      <c r="C135" s="223"/>
      <c r="D135" s="223"/>
      <c r="K135" s="223"/>
      <c r="L135" s="223"/>
      <c r="M135" s="223"/>
    </row>
    <row r="136" spans="2:19" x14ac:dyDescent="0.25">
      <c r="B136" s="223"/>
      <c r="C136" s="223"/>
      <c r="D136" s="223"/>
      <c r="K136" s="223"/>
      <c r="L136" s="223"/>
      <c r="M136" s="223"/>
    </row>
    <row r="137" spans="2:19" x14ac:dyDescent="0.25">
      <c r="E137" s="369" t="s">
        <v>425</v>
      </c>
      <c r="F137" s="369"/>
      <c r="G137" s="369"/>
      <c r="H137" s="369"/>
      <c r="I137" s="369"/>
      <c r="J137" s="369"/>
    </row>
  </sheetData>
  <mergeCells count="140">
    <mergeCell ref="F132:I132"/>
    <mergeCell ref="F133:I133"/>
    <mergeCell ref="F134:I134"/>
    <mergeCell ref="E137:J137"/>
    <mergeCell ref="H22:M23"/>
    <mergeCell ref="F28:G29"/>
    <mergeCell ref="L28:M29"/>
    <mergeCell ref="J28:K29"/>
    <mergeCell ref="H28:I29"/>
    <mergeCell ref="B26:M26"/>
    <mergeCell ref="B68:M70"/>
    <mergeCell ref="B73:M77"/>
    <mergeCell ref="H99:K99"/>
    <mergeCell ref="H100:K100"/>
    <mergeCell ref="L98:M98"/>
    <mergeCell ref="E99:G99"/>
    <mergeCell ref="E100:G100"/>
    <mergeCell ref="B31:C31"/>
    <mergeCell ref="L33:M33"/>
    <mergeCell ref="D32:E32"/>
    <mergeCell ref="B32:C32"/>
    <mergeCell ref="H101:K101"/>
    <mergeCell ref="B98:C98"/>
    <mergeCell ref="B99:C99"/>
    <mergeCell ref="E98:G98"/>
    <mergeCell ref="H98:K98"/>
    <mergeCell ref="H12:I12"/>
    <mergeCell ref="F131:I131"/>
    <mergeCell ref="L97:M97"/>
    <mergeCell ref="L37:M37"/>
    <mergeCell ref="B28:C29"/>
    <mergeCell ref="D28:E29"/>
    <mergeCell ref="B30:C30"/>
    <mergeCell ref="D30:E30"/>
    <mergeCell ref="F30:G30"/>
    <mergeCell ref="H30:I30"/>
    <mergeCell ref="J30:K30"/>
    <mergeCell ref="L30:M30"/>
    <mergeCell ref="D36:E36"/>
    <mergeCell ref="F36:G36"/>
    <mergeCell ref="L36:M36"/>
    <mergeCell ref="F34:G34"/>
    <mergeCell ref="L34:M34"/>
    <mergeCell ref="D35:E35"/>
    <mergeCell ref="F35:G35"/>
    <mergeCell ref="L35:M35"/>
    <mergeCell ref="D31:E31"/>
    <mergeCell ref="F31:G31"/>
    <mergeCell ref="L31:M31"/>
    <mergeCell ref="B33:C33"/>
    <mergeCell ref="B34:C34"/>
    <mergeCell ref="L32:M32"/>
    <mergeCell ref="H97:K97"/>
    <mergeCell ref="B37:C37"/>
    <mergeCell ref="D37:E37"/>
    <mergeCell ref="F37:G37"/>
    <mergeCell ref="H31:I37"/>
    <mergeCell ref="J31:K37"/>
    <mergeCell ref="B35:C35"/>
    <mergeCell ref="B36:C36"/>
    <mergeCell ref="F32:G32"/>
    <mergeCell ref="D33:E33"/>
    <mergeCell ref="F33:G33"/>
    <mergeCell ref="D34:E34"/>
    <mergeCell ref="B97:C97"/>
    <mergeCell ref="E97:G97"/>
    <mergeCell ref="E116:G116"/>
    <mergeCell ref="H116:K116"/>
    <mergeCell ref="H117:K117"/>
    <mergeCell ref="H118:K118"/>
    <mergeCell ref="E104:G104"/>
    <mergeCell ref="E105:G105"/>
    <mergeCell ref="E106:G106"/>
    <mergeCell ref="E107:G107"/>
    <mergeCell ref="E108:G108"/>
    <mergeCell ref="B116:C116"/>
    <mergeCell ref="B117:C117"/>
    <mergeCell ref="E117:G117"/>
    <mergeCell ref="E118:G118"/>
    <mergeCell ref="E114:G114"/>
    <mergeCell ref="L109:M109"/>
    <mergeCell ref="L110:M110"/>
    <mergeCell ref="L111:M111"/>
    <mergeCell ref="L112:M112"/>
    <mergeCell ref="B112:C112"/>
    <mergeCell ref="B113:C113"/>
    <mergeCell ref="L115:M115"/>
    <mergeCell ref="L116:M116"/>
    <mergeCell ref="L117:M117"/>
    <mergeCell ref="L118:M118"/>
    <mergeCell ref="B118:C118"/>
    <mergeCell ref="H114:K114"/>
    <mergeCell ref="H115:K115"/>
    <mergeCell ref="H109:K109"/>
    <mergeCell ref="E109:G109"/>
    <mergeCell ref="E110:G110"/>
    <mergeCell ref="H110:K110"/>
    <mergeCell ref="H111:K111"/>
    <mergeCell ref="H112:K112"/>
    <mergeCell ref="B114:C114"/>
    <mergeCell ref="B115:C115"/>
    <mergeCell ref="L104:M104"/>
    <mergeCell ref="L105:M105"/>
    <mergeCell ref="L106:M106"/>
    <mergeCell ref="L107:M107"/>
    <mergeCell ref="L108:M108"/>
    <mergeCell ref="H104:K104"/>
    <mergeCell ref="H105:K105"/>
    <mergeCell ref="H106:K106"/>
    <mergeCell ref="H107:K107"/>
    <mergeCell ref="H108:K108"/>
    <mergeCell ref="H113:K113"/>
    <mergeCell ref="E115:G115"/>
    <mergeCell ref="L114:M114"/>
    <mergeCell ref="E112:G112"/>
    <mergeCell ref="E113:G113"/>
    <mergeCell ref="B104:C104"/>
    <mergeCell ref="B105:C105"/>
    <mergeCell ref="B106:C106"/>
    <mergeCell ref="B107:C107"/>
    <mergeCell ref="B108:C108"/>
    <mergeCell ref="B109:C109"/>
    <mergeCell ref="B110:C110"/>
    <mergeCell ref="B111:C111"/>
    <mergeCell ref="E111:G111"/>
    <mergeCell ref="B103:C103"/>
    <mergeCell ref="L99:M99"/>
    <mergeCell ref="L100:M100"/>
    <mergeCell ref="L113:M113"/>
    <mergeCell ref="L101:M101"/>
    <mergeCell ref="L102:M102"/>
    <mergeCell ref="L103:M103"/>
    <mergeCell ref="E101:G101"/>
    <mergeCell ref="E102:G102"/>
    <mergeCell ref="H102:K102"/>
    <mergeCell ref="H103:K103"/>
    <mergeCell ref="E103:G103"/>
    <mergeCell ref="B100:C100"/>
    <mergeCell ref="B101:C101"/>
    <mergeCell ref="B102:C102"/>
  </mergeCells>
  <pageMargins left="0.51181102362204722" right="0.51181102362204722" top="0.51181102362204722" bottom="0.51181102362204722" header="0" footer="0.19685039370078741"/>
  <pageSetup orientation="portrait" horizontalDpi="1200" verticalDpi="1200" r:id="rId1"/>
  <headerFooter>
    <oddHeader>&amp;C
&amp;G</oddHeader>
    <oddFooter xml:space="preserve">&amp;C&amp;G&amp;R&amp;"Arial,Normal"&amp;8Página &amp;Pde&amp;N&amp;"-,Normal"&amp;11
</oddFooter>
  </headerFooter>
  <legacyDrawingHF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AECB4-8B9D-42E7-BD11-31DA50D62128}">
  <dimension ref="B1:AA139"/>
  <sheetViews>
    <sheetView view="pageLayout" topLeftCell="A38" zoomScaleNormal="100" workbookViewId="0">
      <selection activeCell="F53" sqref="F53"/>
    </sheetView>
  </sheetViews>
  <sheetFormatPr baseColWidth="10" defaultColWidth="8.88671875" defaultRowHeight="13.2" x14ac:dyDescent="0.25"/>
  <cols>
    <col min="1" max="1" width="3.109375" style="221" customWidth="1"/>
    <col min="2" max="6" width="7.5546875" style="221" customWidth="1"/>
    <col min="7" max="7" width="6.33203125" style="221" customWidth="1"/>
    <col min="8" max="10" width="7.5546875" style="221" customWidth="1"/>
    <col min="11" max="11" width="8.6640625" style="221" customWidth="1"/>
    <col min="12" max="13" width="7.5546875" style="221" customWidth="1"/>
    <col min="14" max="16384" width="8.88671875" style="221"/>
  </cols>
  <sheetData>
    <row r="1" spans="2:13" x14ac:dyDescent="0.25">
      <c r="B1" s="223"/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</row>
    <row r="2" spans="2:13" x14ac:dyDescent="0.25">
      <c r="B2" s="223"/>
      <c r="C2" s="223"/>
      <c r="D2" s="223"/>
      <c r="E2" s="223"/>
      <c r="F2" s="223"/>
      <c r="G2" s="223"/>
      <c r="H2" s="223"/>
      <c r="I2" s="223"/>
      <c r="J2" s="223"/>
      <c r="K2" s="223"/>
      <c r="L2" s="223"/>
      <c r="M2" s="223"/>
    </row>
    <row r="3" spans="2:13" x14ac:dyDescent="0.25">
      <c r="B3" s="223"/>
      <c r="C3" s="223"/>
      <c r="D3" s="223"/>
      <c r="E3" s="223"/>
      <c r="F3" s="223"/>
      <c r="G3" s="223"/>
      <c r="H3" s="223"/>
      <c r="I3" s="223"/>
      <c r="J3" s="223"/>
      <c r="K3" s="223"/>
      <c r="L3" s="223"/>
      <c r="M3" s="223"/>
    </row>
    <row r="4" spans="2:13" x14ac:dyDescent="0.25">
      <c r="B4" s="223"/>
      <c r="C4" s="223"/>
      <c r="D4" s="223"/>
      <c r="E4" s="223"/>
      <c r="F4" s="223"/>
      <c r="G4" s="223"/>
      <c r="H4" s="223"/>
      <c r="I4" s="223"/>
      <c r="J4" s="223"/>
      <c r="K4" s="223"/>
      <c r="L4" s="223"/>
      <c r="M4" s="223"/>
    </row>
    <row r="5" spans="2:13" x14ac:dyDescent="0.25">
      <c r="B5" s="223"/>
      <c r="C5" s="223"/>
      <c r="D5" s="223"/>
      <c r="E5" s="223"/>
      <c r="F5" s="223"/>
      <c r="G5" s="223"/>
      <c r="H5" s="223"/>
      <c r="I5" s="223"/>
      <c r="J5" s="223"/>
      <c r="K5" s="223"/>
      <c r="L5" s="223"/>
      <c r="M5" s="223"/>
    </row>
    <row r="6" spans="2:13" ht="18.75" customHeight="1" x14ac:dyDescent="0.25">
      <c r="B6" s="223"/>
      <c r="C6" s="223"/>
      <c r="D6" s="223"/>
      <c r="E6" s="223"/>
      <c r="F6" s="223"/>
      <c r="G6" s="223"/>
      <c r="H6" s="223"/>
      <c r="I6" s="223"/>
      <c r="J6" s="223"/>
      <c r="K6" s="223"/>
      <c r="L6" s="223"/>
      <c r="M6" s="223"/>
    </row>
    <row r="7" spans="2:13" x14ac:dyDescent="0.25">
      <c r="B7" s="223"/>
      <c r="C7" s="223"/>
      <c r="D7" s="223"/>
      <c r="E7" s="223"/>
      <c r="F7" s="223"/>
      <c r="G7" s="223"/>
      <c r="H7" s="223"/>
      <c r="I7" s="223"/>
      <c r="J7" s="223"/>
      <c r="K7" s="223"/>
      <c r="L7" s="223"/>
      <c r="M7" s="223"/>
    </row>
    <row r="8" spans="2:13" x14ac:dyDescent="0.25">
      <c r="B8" s="223"/>
      <c r="C8" s="223"/>
      <c r="D8" s="223"/>
      <c r="E8" s="223"/>
      <c r="F8" s="223"/>
      <c r="G8" s="223"/>
      <c r="H8" s="223"/>
      <c r="I8" s="223"/>
      <c r="J8" s="223"/>
      <c r="K8" s="223"/>
      <c r="L8" s="223"/>
      <c r="M8" s="223"/>
    </row>
    <row r="9" spans="2:13" x14ac:dyDescent="0.25">
      <c r="B9" s="236" t="s">
        <v>437</v>
      </c>
      <c r="C9" s="223"/>
      <c r="D9" s="223"/>
      <c r="E9" s="223"/>
      <c r="F9" s="223"/>
      <c r="G9" s="223"/>
      <c r="H9" s="235" t="str">
        <f>CertNum</f>
        <v>NI-MC-B-XXX-2020</v>
      </c>
      <c r="I9" s="223"/>
      <c r="J9" s="223"/>
      <c r="K9" s="223"/>
      <c r="L9" s="223"/>
      <c r="M9" s="223"/>
    </row>
    <row r="10" spans="2:13" x14ac:dyDescent="0.25">
      <c r="B10" s="236" t="s">
        <v>471</v>
      </c>
      <c r="C10" s="223"/>
      <c r="D10" s="223"/>
      <c r="E10" s="223"/>
      <c r="F10" s="223"/>
      <c r="G10" s="223"/>
      <c r="H10" s="239" t="str">
        <f>CertCode</f>
        <v>NI-CS-075-17</v>
      </c>
      <c r="I10" s="223"/>
      <c r="J10" s="223"/>
      <c r="K10" s="223"/>
      <c r="L10" s="223"/>
      <c r="M10" s="223"/>
    </row>
    <row r="11" spans="2:13" x14ac:dyDescent="0.25">
      <c r="B11" s="236" t="s">
        <v>470</v>
      </c>
      <c r="C11" s="223"/>
      <c r="D11" s="223"/>
      <c r="E11" s="223"/>
      <c r="F11" s="223"/>
      <c r="G11" s="223"/>
      <c r="H11" s="238" t="str">
        <f>CertDate</f>
        <v>2021-01-01</v>
      </c>
      <c r="I11" s="223"/>
      <c r="J11" s="223"/>
      <c r="K11" s="223"/>
      <c r="L11" s="223"/>
      <c r="M11" s="223"/>
    </row>
    <row r="12" spans="2:13" x14ac:dyDescent="0.25">
      <c r="B12" s="236" t="s">
        <v>469</v>
      </c>
      <c r="C12" s="223"/>
      <c r="D12" s="223"/>
      <c r="E12" s="223"/>
      <c r="F12" s="223"/>
      <c r="G12" s="223"/>
      <c r="H12" s="363">
        <f ca="1">NOW()</f>
        <v>45497.601785300925</v>
      </c>
      <c r="I12" s="363"/>
      <c r="J12" s="223"/>
      <c r="K12" s="223"/>
      <c r="L12" s="223"/>
      <c r="M12" s="223"/>
    </row>
    <row r="13" spans="2:13" x14ac:dyDescent="0.25">
      <c r="B13" s="236" t="s">
        <v>468</v>
      </c>
      <c r="C13" s="223"/>
      <c r="D13" s="223"/>
      <c r="E13" s="223"/>
      <c r="F13" s="223"/>
      <c r="G13" s="223"/>
      <c r="H13" s="232" t="str">
        <f>BalanzaTipo</f>
        <v>Balanza Digital</v>
      </c>
      <c r="I13" s="223"/>
      <c r="J13" s="223"/>
      <c r="K13" s="223"/>
      <c r="L13" s="223"/>
      <c r="M13" s="223"/>
    </row>
    <row r="14" spans="2:13" x14ac:dyDescent="0.25">
      <c r="B14" s="236" t="s">
        <v>467</v>
      </c>
      <c r="C14" s="223"/>
      <c r="D14" s="223"/>
      <c r="E14" s="223"/>
      <c r="F14" s="223"/>
      <c r="G14" s="223"/>
      <c r="H14" s="232" t="str">
        <f>BalanzaMarca</f>
        <v>gtergd</v>
      </c>
      <c r="I14" s="223"/>
      <c r="J14" s="223"/>
      <c r="K14" s="223"/>
      <c r="L14" s="223"/>
      <c r="M14" s="223"/>
    </row>
    <row r="15" spans="2:13" x14ac:dyDescent="0.25">
      <c r="B15" s="236" t="s">
        <v>466</v>
      </c>
      <c r="C15" s="223"/>
      <c r="D15" s="223"/>
      <c r="E15" s="223"/>
      <c r="F15" s="223"/>
      <c r="G15" s="223"/>
      <c r="H15" s="232" t="str">
        <f>BalanzaSerie</f>
        <v>54654asd</v>
      </c>
      <c r="I15" s="223"/>
      <c r="J15" s="223"/>
      <c r="K15" s="223"/>
      <c r="L15" s="223"/>
      <c r="M15" s="223"/>
    </row>
    <row r="16" spans="2:13" x14ac:dyDescent="0.25">
      <c r="B16" s="236" t="s">
        <v>465</v>
      </c>
      <c r="C16" s="223"/>
      <c r="D16" s="223"/>
      <c r="E16" s="223"/>
      <c r="F16" s="223"/>
      <c r="G16" s="223"/>
      <c r="H16" s="232" t="str">
        <f>BalanzaModelo</f>
        <v>346asd</v>
      </c>
      <c r="I16" s="223"/>
      <c r="J16" s="223"/>
      <c r="K16" s="223"/>
      <c r="L16" s="223"/>
      <c r="M16" s="223"/>
    </row>
    <row r="17" spans="2:13" x14ac:dyDescent="0.25">
      <c r="B17" s="236" t="s">
        <v>464</v>
      </c>
      <c r="C17" s="223"/>
      <c r="D17" s="223"/>
      <c r="E17" s="223"/>
      <c r="F17" s="223"/>
      <c r="G17" s="223"/>
      <c r="H17" s="232" t="str">
        <f>BalanzaRango1</f>
        <v>0 g a 100 g</v>
      </c>
      <c r="I17" s="223"/>
      <c r="J17" s="223"/>
      <c r="K17" s="223"/>
      <c r="L17" s="223"/>
      <c r="M17" s="223"/>
    </row>
    <row r="18" spans="2:13" x14ac:dyDescent="0.25">
      <c r="B18" s="236" t="s">
        <v>463</v>
      </c>
      <c r="C18" s="223"/>
      <c r="D18" s="223"/>
      <c r="E18" s="223"/>
      <c r="F18" s="223"/>
      <c r="G18" s="223"/>
      <c r="H18" s="232" t="str">
        <f>BalanzaResol1</f>
        <v>0,01 g</v>
      </c>
      <c r="I18" s="223"/>
      <c r="J18" s="223"/>
      <c r="K18" s="223"/>
      <c r="L18" s="223"/>
      <c r="M18" s="223"/>
    </row>
    <row r="19" spans="2:13" x14ac:dyDescent="0.25">
      <c r="B19" s="236" t="s">
        <v>462</v>
      </c>
      <c r="C19" s="223"/>
      <c r="D19" s="223"/>
      <c r="E19" s="223"/>
      <c r="F19" s="223"/>
      <c r="G19" s="223"/>
      <c r="H19" s="232" t="str">
        <f>BalanzaCode</f>
        <v>002456635</v>
      </c>
      <c r="I19" s="223"/>
      <c r="J19" s="223"/>
      <c r="K19" s="223"/>
      <c r="L19" s="223"/>
      <c r="M19" s="223"/>
    </row>
    <row r="20" spans="2:13" x14ac:dyDescent="0.25">
      <c r="B20" s="236" t="s">
        <v>461</v>
      </c>
      <c r="C20" s="223"/>
      <c r="D20" s="223"/>
      <c r="E20" s="223"/>
      <c r="F20" s="223"/>
      <c r="G20" s="223"/>
      <c r="H20" s="232" t="str">
        <f>ClientName</f>
        <v>San Lotano Cigars S.A.</v>
      </c>
      <c r="I20" s="223"/>
      <c r="J20" s="223"/>
      <c r="K20" s="223"/>
      <c r="L20" s="223"/>
      <c r="M20" s="223"/>
    </row>
    <row r="21" spans="2:13" x14ac:dyDescent="0.25">
      <c r="B21" s="236" t="s">
        <v>460</v>
      </c>
      <c r="C21" s="223"/>
      <c r="D21" s="223"/>
      <c r="E21" s="223"/>
      <c r="F21" s="223"/>
      <c r="G21" s="223"/>
      <c r="H21" s="232" t="str">
        <f>ClientAdr</f>
        <v>km 129 Carretera a Ocotal 300m al Oeste Valle de Verapaz, Totogalpa, Madriz</v>
      </c>
      <c r="I21" s="223"/>
      <c r="J21" s="223"/>
      <c r="K21" s="223"/>
      <c r="L21" s="223"/>
      <c r="M21" s="223"/>
    </row>
    <row r="22" spans="2:13" x14ac:dyDescent="0.25">
      <c r="B22" s="236" t="s">
        <v>459</v>
      </c>
      <c r="C22" s="223"/>
      <c r="D22" s="223"/>
      <c r="E22" s="223"/>
      <c r="F22" s="223"/>
      <c r="G22" s="223"/>
      <c r="H22" s="370" t="str">
        <f>ClientPlace</f>
        <v>Nicaragua, Managua, Bello Horizonte VI Etapa, Casa #135.</v>
      </c>
      <c r="I22" s="370"/>
      <c r="J22" s="370"/>
      <c r="K22" s="370"/>
      <c r="L22" s="370"/>
      <c r="M22" s="370"/>
    </row>
    <row r="23" spans="2:13" x14ac:dyDescent="0.25">
      <c r="B23" s="236"/>
      <c r="C23" s="223"/>
      <c r="D23" s="223"/>
      <c r="E23" s="223"/>
      <c r="F23" s="223"/>
      <c r="G23" s="223"/>
      <c r="H23" s="370"/>
      <c r="I23" s="370"/>
      <c r="J23" s="370"/>
      <c r="K23" s="370"/>
      <c r="L23" s="370"/>
      <c r="M23" s="370"/>
    </row>
    <row r="24" spans="2:13" x14ac:dyDescent="0.25">
      <c r="B24" s="226" t="s">
        <v>458</v>
      </c>
      <c r="C24" s="223"/>
      <c r="D24" s="223"/>
      <c r="E24" s="223"/>
      <c r="F24" s="223"/>
      <c r="G24" s="223"/>
      <c r="H24" s="223"/>
      <c r="I24" s="223"/>
      <c r="J24" s="223"/>
      <c r="K24" s="223"/>
      <c r="L24" s="223"/>
      <c r="M24" s="223"/>
    </row>
    <row r="25" spans="2:13" ht="6" customHeight="1" x14ac:dyDescent="0.25">
      <c r="B25" s="236"/>
      <c r="C25" s="223"/>
      <c r="D25" s="223"/>
      <c r="E25" s="223"/>
      <c r="F25" s="223"/>
      <c r="G25" s="223"/>
      <c r="H25" s="223"/>
      <c r="I25" s="223"/>
      <c r="J25" s="223"/>
      <c r="K25" s="223"/>
      <c r="L25" s="223"/>
      <c r="M25" s="223"/>
    </row>
    <row r="26" spans="2:13" x14ac:dyDescent="0.25">
      <c r="B26" s="371" t="s">
        <v>457</v>
      </c>
      <c r="C26" s="371"/>
      <c r="D26" s="371"/>
      <c r="E26" s="371"/>
      <c r="F26" s="371"/>
      <c r="G26" s="371"/>
      <c r="H26" s="371"/>
      <c r="I26" s="371"/>
      <c r="J26" s="371"/>
      <c r="K26" s="371"/>
      <c r="L26" s="371"/>
      <c r="M26" s="371"/>
    </row>
    <row r="27" spans="2:13" x14ac:dyDescent="0.25">
      <c r="B27" s="223"/>
      <c r="C27" s="223"/>
      <c r="D27" s="223"/>
      <c r="E27" s="236"/>
      <c r="F27" s="223"/>
      <c r="G27" s="223"/>
      <c r="H27" s="223"/>
      <c r="I27" s="223"/>
      <c r="J27" s="223"/>
      <c r="K27" s="223"/>
      <c r="L27" s="223"/>
      <c r="M27" s="223"/>
    </row>
    <row r="28" spans="2:13" x14ac:dyDescent="0.25">
      <c r="B28" s="366" t="s">
        <v>456</v>
      </c>
      <c r="C28" s="366"/>
      <c r="D28" s="366" t="s">
        <v>455</v>
      </c>
      <c r="E28" s="366"/>
      <c r="F28" s="366" t="s">
        <v>454</v>
      </c>
      <c r="G28" s="366"/>
      <c r="H28" s="366" t="s">
        <v>346</v>
      </c>
      <c r="I28" s="366"/>
      <c r="J28" s="366" t="s">
        <v>453</v>
      </c>
      <c r="K28" s="366"/>
      <c r="L28" s="366" t="s">
        <v>452</v>
      </c>
      <c r="M28" s="366"/>
    </row>
    <row r="29" spans="2:13" x14ac:dyDescent="0.25">
      <c r="B29" s="366"/>
      <c r="C29" s="366"/>
      <c r="D29" s="366"/>
      <c r="E29" s="366"/>
      <c r="F29" s="366"/>
      <c r="G29" s="366"/>
      <c r="H29" s="366"/>
      <c r="I29" s="366"/>
      <c r="J29" s="366"/>
      <c r="K29" s="366"/>
      <c r="L29" s="366"/>
      <c r="M29" s="366"/>
    </row>
    <row r="30" spans="2:13" x14ac:dyDescent="0.25">
      <c r="B30" s="367" t="str">
        <f>UnidadEscala</f>
        <v>g</v>
      </c>
      <c r="C30" s="367"/>
      <c r="D30" s="367" t="str">
        <f>UnidadEscala</f>
        <v>g</v>
      </c>
      <c r="E30" s="367"/>
      <c r="F30" s="367" t="str">
        <f>UnidadEscala</f>
        <v>g</v>
      </c>
      <c r="G30" s="367"/>
      <c r="H30" s="367" t="str">
        <f>UnidadEscala</f>
        <v>g</v>
      </c>
      <c r="I30" s="367"/>
      <c r="J30" s="367" t="str">
        <f>UnidadEscala</f>
        <v>g</v>
      </c>
      <c r="K30" s="367"/>
      <c r="L30" s="367" t="str">
        <f>UnidadEscala</f>
        <v>g</v>
      </c>
      <c r="M30" s="367"/>
    </row>
    <row r="31" spans="2:13" x14ac:dyDescent="0.25">
      <c r="B31" s="380" t="str">
        <f>IFERROR(FIXED('kU(E)'!T21,decim + 2),"")</f>
        <v>0.000</v>
      </c>
      <c r="C31" s="381"/>
      <c r="D31" s="380" t="str">
        <f>IFERROR(FIXED('kU(E)'!U21,decim + 2),"")</f>
        <v>0.000</v>
      </c>
      <c r="E31" s="381"/>
      <c r="F31" s="380" t="str">
        <f>IFERROR(FIXED('kU(E)'!V21,decim + 2),"")</f>
        <v>0.000</v>
      </c>
      <c r="G31" s="381"/>
      <c r="H31" s="367" t="str">
        <f>IFERROR(IF(Calibración!$E$40=0,"No aplica (N/A)",FIXED(u_rep,decim)),"")</f>
        <v>No aplica (N/A)</v>
      </c>
      <c r="I31" s="367"/>
      <c r="J31" s="367" t="str">
        <f>IFERROR(IF(Calibración!$E$51=0,"No aplica (N/A)",FIXED(ecc_error_max,decim)),"")</f>
        <v>No aplica (N/A)</v>
      </c>
      <c r="K31" s="367"/>
      <c r="L31" s="380" t="str">
        <f>IFERROR(FIXED('kU(E)'!X22,decim+5),"")</f>
        <v>0.000000</v>
      </c>
      <c r="M31" s="381"/>
    </row>
    <row r="32" spans="2:13" x14ac:dyDescent="0.25">
      <c r="B32" s="380" t="str">
        <f>IFERROR(FIXED('kU(E)'!T22,decim + 2 ),"")</f>
        <v>0.000</v>
      </c>
      <c r="C32" s="381"/>
      <c r="D32" s="380" t="str">
        <f>IFERROR(FIXED('kU(E)'!U22,decim + 2),"")</f>
        <v/>
      </c>
      <c r="E32" s="381"/>
      <c r="F32" s="380" t="str">
        <f>IFERROR(FIXED('kU(E)'!V22,decim + 2),"")</f>
        <v/>
      </c>
      <c r="G32" s="381"/>
      <c r="H32" s="367"/>
      <c r="I32" s="367"/>
      <c r="J32" s="367"/>
      <c r="K32" s="367"/>
      <c r="L32" s="380" t="str">
        <f>IFERROR(FIXED('kU(E)'!X22,decim+5),"")</f>
        <v>0.000000</v>
      </c>
      <c r="M32" s="381"/>
    </row>
    <row r="33" spans="2:13" x14ac:dyDescent="0.25">
      <c r="B33" s="380" t="str">
        <f>IFERROR(FIXED('kU(E)'!T23,decim + 2),"")</f>
        <v>0.000</v>
      </c>
      <c r="C33" s="381"/>
      <c r="D33" s="380" t="str">
        <f>IFERROR(FIXED('kU(E)'!U23,decim + 2),"")</f>
        <v/>
      </c>
      <c r="E33" s="381"/>
      <c r="F33" s="380" t="str">
        <f>IFERROR(FIXED('kU(E)'!V23,decim + 2),"")</f>
        <v/>
      </c>
      <c r="G33" s="381"/>
      <c r="H33" s="367"/>
      <c r="I33" s="367"/>
      <c r="J33" s="367"/>
      <c r="K33" s="367"/>
      <c r="L33" s="380" t="str">
        <f>IFERROR(FIXED('kU(E)'!X23,decim+5),"")</f>
        <v/>
      </c>
      <c r="M33" s="381"/>
    </row>
    <row r="34" spans="2:13" x14ac:dyDescent="0.25">
      <c r="B34" s="380" t="str">
        <f>IFERROR(FIXED('kU(E)'!T24,decim + 2),"")</f>
        <v>0.000</v>
      </c>
      <c r="C34" s="381"/>
      <c r="D34" s="380" t="str">
        <f>IFERROR(FIXED('kU(E)'!U24,decim + 2),"")</f>
        <v/>
      </c>
      <c r="E34" s="381"/>
      <c r="F34" s="380" t="str">
        <f>IFERROR(FIXED('kU(E)'!V24,decim + 2),"")</f>
        <v/>
      </c>
      <c r="G34" s="381"/>
      <c r="H34" s="367"/>
      <c r="I34" s="367"/>
      <c r="J34" s="367"/>
      <c r="K34" s="367"/>
      <c r="L34" s="380" t="str">
        <f>IFERROR(FIXED('kU(E)'!X24,decim+5),"")</f>
        <v/>
      </c>
      <c r="M34" s="381"/>
    </row>
    <row r="35" spans="2:13" x14ac:dyDescent="0.25">
      <c r="B35" s="380" t="str">
        <f>IFERROR(FIXED('kU(E)'!T25,decim + 2),"")</f>
        <v>0.000</v>
      </c>
      <c r="C35" s="381"/>
      <c r="D35" s="380" t="str">
        <f>IFERROR(FIXED('kU(E)'!U25,decim + 2),"")</f>
        <v/>
      </c>
      <c r="E35" s="381"/>
      <c r="F35" s="380" t="str">
        <f>IFERROR(FIXED('kU(E)'!V25,decim + 2),"")</f>
        <v/>
      </c>
      <c r="G35" s="381"/>
      <c r="H35" s="367"/>
      <c r="I35" s="367"/>
      <c r="J35" s="367"/>
      <c r="K35" s="367"/>
      <c r="L35" s="380" t="str">
        <f>IFERROR(FIXED('kU(E)'!X25,decim+5),"")</f>
        <v/>
      </c>
      <c r="M35" s="381"/>
    </row>
    <row r="36" spans="2:13" x14ac:dyDescent="0.25">
      <c r="B36" s="380" t="str">
        <f>IFERROR(FIXED('kU(E)'!T26,decim + 2),"")</f>
        <v>0.000</v>
      </c>
      <c r="C36" s="381"/>
      <c r="D36" s="380" t="str">
        <f>IFERROR(FIXED('kU(E)'!U26,decim + 2),"")</f>
        <v/>
      </c>
      <c r="E36" s="381"/>
      <c r="F36" s="380" t="str">
        <f>IFERROR(FIXED('kU(E)'!V26,decim + 2),"")</f>
        <v/>
      </c>
      <c r="G36" s="381"/>
      <c r="H36" s="367"/>
      <c r="I36" s="367"/>
      <c r="J36" s="367"/>
      <c r="K36" s="367"/>
      <c r="L36" s="380" t="str">
        <f>IFERROR(FIXED('kU(E)'!X26,decim+5),"")</f>
        <v/>
      </c>
      <c r="M36" s="381"/>
    </row>
    <row r="37" spans="2:13" x14ac:dyDescent="0.25">
      <c r="B37" s="380" t="str">
        <f>IFERROR(FIXED('kU(E)'!T27,decim + 2),"")</f>
        <v>0.000</v>
      </c>
      <c r="C37" s="381"/>
      <c r="D37" s="380" t="str">
        <f>IFERROR(FIXED('kU(E)'!U27,decim + 2),"")</f>
        <v/>
      </c>
      <c r="E37" s="381"/>
      <c r="F37" s="380" t="str">
        <f>IFERROR(FIXED('kU(E)'!V27,decim + 2),"")</f>
        <v/>
      </c>
      <c r="G37" s="381"/>
      <c r="H37" s="367"/>
      <c r="I37" s="367"/>
      <c r="J37" s="367"/>
      <c r="K37" s="367"/>
      <c r="L37" s="380" t="str">
        <f>IFERROR(FIXED('kU(E)'!X27,decim+5),"")</f>
        <v/>
      </c>
      <c r="M37" s="381"/>
    </row>
    <row r="38" spans="2:13" x14ac:dyDescent="0.25">
      <c r="B38" s="224"/>
      <c r="C38" s="224"/>
      <c r="D38" s="224"/>
      <c r="E38" s="224"/>
      <c r="F38" s="224"/>
      <c r="G38" s="224"/>
      <c r="H38" s="224"/>
      <c r="I38" s="224"/>
      <c r="J38" s="224"/>
      <c r="K38" s="224"/>
      <c r="L38" s="224"/>
      <c r="M38" s="224"/>
    </row>
    <row r="39" spans="2:13" x14ac:dyDescent="0.25">
      <c r="B39" s="226" t="s">
        <v>477</v>
      </c>
      <c r="C39" s="223"/>
      <c r="D39" s="223"/>
      <c r="E39" s="223"/>
      <c r="F39" s="223"/>
      <c r="G39" s="223"/>
      <c r="H39" s="223"/>
      <c r="I39" s="223"/>
      <c r="J39" s="223"/>
      <c r="K39" s="223"/>
      <c r="L39" s="223"/>
      <c r="M39" s="223"/>
    </row>
    <row r="40" spans="2:13" ht="6.6" customHeight="1" x14ac:dyDescent="0.25">
      <c r="B40" s="236"/>
      <c r="C40" s="223"/>
      <c r="D40" s="223"/>
      <c r="E40" s="223"/>
      <c r="F40" s="223"/>
      <c r="G40" s="223"/>
      <c r="H40" s="223"/>
      <c r="I40" s="223"/>
      <c r="J40" s="223"/>
      <c r="K40" s="223"/>
      <c r="L40" s="223"/>
      <c r="M40" s="223"/>
    </row>
    <row r="41" spans="2:13" x14ac:dyDescent="0.25">
      <c r="B41" s="371" t="s">
        <v>457</v>
      </c>
      <c r="C41" s="371"/>
      <c r="D41" s="371"/>
      <c r="E41" s="371"/>
      <c r="F41" s="371"/>
      <c r="G41" s="371"/>
      <c r="H41" s="371"/>
      <c r="I41" s="371"/>
      <c r="J41" s="371"/>
      <c r="K41" s="371"/>
      <c r="L41" s="371"/>
      <c r="M41" s="371"/>
    </row>
    <row r="42" spans="2:13" x14ac:dyDescent="0.25">
      <c r="B42" s="223"/>
      <c r="C42" s="223"/>
      <c r="D42" s="223"/>
      <c r="E42" s="236"/>
      <c r="F42" s="223"/>
      <c r="G42" s="223"/>
      <c r="H42" s="223"/>
      <c r="I42" s="223"/>
      <c r="J42" s="223"/>
      <c r="K42" s="223"/>
      <c r="L42" s="223"/>
      <c r="M42" s="223"/>
    </row>
    <row r="43" spans="2:13" x14ac:dyDescent="0.25">
      <c r="B43" s="366" t="s">
        <v>456</v>
      </c>
      <c r="C43" s="366"/>
      <c r="D43" s="366" t="s">
        <v>455</v>
      </c>
      <c r="E43" s="366"/>
      <c r="F43" s="366" t="s">
        <v>454</v>
      </c>
      <c r="G43" s="366"/>
      <c r="H43" s="366" t="s">
        <v>346</v>
      </c>
      <c r="I43" s="366"/>
      <c r="J43" s="366" t="s">
        <v>453</v>
      </c>
      <c r="K43" s="366"/>
      <c r="L43" s="366" t="s">
        <v>452</v>
      </c>
      <c r="M43" s="366"/>
    </row>
    <row r="44" spans="2:13" x14ac:dyDescent="0.25">
      <c r="B44" s="366"/>
      <c r="C44" s="366"/>
      <c r="D44" s="366"/>
      <c r="E44" s="366"/>
      <c r="F44" s="366"/>
      <c r="G44" s="366"/>
      <c r="H44" s="366"/>
      <c r="I44" s="366"/>
      <c r="J44" s="366"/>
      <c r="K44" s="366"/>
      <c r="L44" s="366"/>
      <c r="M44" s="366"/>
    </row>
    <row r="45" spans="2:13" x14ac:dyDescent="0.25">
      <c r="B45" s="367" t="str">
        <f>'kU(E)'!W34</f>
        <v>kg</v>
      </c>
      <c r="C45" s="367"/>
      <c r="D45" s="380" t="str">
        <f>'kU(E)'!W34</f>
        <v>kg</v>
      </c>
      <c r="E45" s="381"/>
      <c r="F45" s="380" t="str">
        <f>'kU(E)'!W34</f>
        <v>kg</v>
      </c>
      <c r="G45" s="381"/>
      <c r="H45" s="380" t="str">
        <f>'kU(E)'!W34</f>
        <v>kg</v>
      </c>
      <c r="I45" s="381"/>
      <c r="J45" s="380" t="str">
        <f>'kU(E)'!W34</f>
        <v>kg</v>
      </c>
      <c r="K45" s="381"/>
      <c r="L45" s="380" t="str">
        <f>'kU(E)'!W34</f>
        <v>kg</v>
      </c>
      <c r="M45" s="381"/>
    </row>
    <row r="46" spans="2:13" x14ac:dyDescent="0.25">
      <c r="B46" s="367" t="str">
        <f>IFERROR(FIXED('kU(E)'!T36,decim + 2),"")</f>
        <v/>
      </c>
      <c r="C46" s="367"/>
      <c r="D46" s="367" t="str">
        <f>IFERROR(FIXED('kU(E)'!U36,decim + 2),"")</f>
        <v/>
      </c>
      <c r="E46" s="367"/>
      <c r="F46" s="367" t="str">
        <f>IFERROR(FIXED('kU(E)'!V36,decim + 2),"")</f>
        <v/>
      </c>
      <c r="G46" s="367"/>
      <c r="H46" s="367" t="str">
        <f>IFERROR(IF(Calibración!$E$40=0,"No aplica (N/A)",FIXED(IF($H$45="g",u_rep*453.592,u_rep/2.20462),decim)),"")</f>
        <v>No aplica (N/A)</v>
      </c>
      <c r="I46" s="367"/>
      <c r="J46" s="367" t="str">
        <f>IFERROR(IF(Calibración!$E$51=0,"No aplica (N/A)",FIXED(IF($J$45="g",ecc_error_max*453.592,ecc_error_max/2.20462),decim)),"")</f>
        <v>No aplica (N/A)</v>
      </c>
      <c r="K46" s="367"/>
      <c r="L46" s="367" t="str">
        <f>IFERROR(FIXED('kU(E)'!X37,decim+5),"")</f>
        <v/>
      </c>
      <c r="M46" s="367"/>
    </row>
    <row r="47" spans="2:13" x14ac:dyDescent="0.25">
      <c r="B47" s="367" t="str">
        <f>IFERROR(FIXED('kU(E)'!T37,decim + 2),"")</f>
        <v/>
      </c>
      <c r="C47" s="367"/>
      <c r="D47" s="367" t="str">
        <f>IFERROR(FIXED('kU(E)'!U37,decim + 2),"")</f>
        <v/>
      </c>
      <c r="E47" s="367"/>
      <c r="F47" s="367" t="str">
        <f>IFERROR(FIXED('kU(E)'!V37,decim + 2),"")</f>
        <v/>
      </c>
      <c r="G47" s="367"/>
      <c r="H47" s="367"/>
      <c r="I47" s="367"/>
      <c r="J47" s="367"/>
      <c r="K47" s="367"/>
      <c r="L47" s="367" t="str">
        <f>IFERROR(FIXED('kU(E)'!X37,decim+5),"")</f>
        <v/>
      </c>
      <c r="M47" s="367"/>
    </row>
    <row r="48" spans="2:13" x14ac:dyDescent="0.25">
      <c r="B48" s="367" t="str">
        <f>IFERROR(FIXED('kU(E)'!T38,decim + 2),"")</f>
        <v/>
      </c>
      <c r="C48" s="367"/>
      <c r="D48" s="367" t="str">
        <f>IFERROR(FIXED('kU(E)'!U38,decim + 2),"")</f>
        <v/>
      </c>
      <c r="E48" s="367"/>
      <c r="F48" s="367" t="str">
        <f>IFERROR(FIXED('kU(E)'!V38,decim + 2),"")</f>
        <v/>
      </c>
      <c r="G48" s="367"/>
      <c r="H48" s="367"/>
      <c r="I48" s="367"/>
      <c r="J48" s="367"/>
      <c r="K48" s="367"/>
      <c r="L48" s="367" t="str">
        <f>IFERROR(FIXED('kU(E)'!X38,decim+5),"")</f>
        <v/>
      </c>
      <c r="M48" s="367"/>
    </row>
    <row r="49" spans="2:13" x14ac:dyDescent="0.25">
      <c r="B49" s="367" t="str">
        <f>IFERROR(FIXED('kU(E)'!T39,decim + 2),"")</f>
        <v/>
      </c>
      <c r="C49" s="367"/>
      <c r="D49" s="367" t="str">
        <f>IFERROR(FIXED('kU(E)'!U39,decim + 2),"")</f>
        <v/>
      </c>
      <c r="E49" s="367"/>
      <c r="F49" s="367" t="str">
        <f>IFERROR(FIXED('kU(E)'!V39,decim + 2),"")</f>
        <v/>
      </c>
      <c r="G49" s="367"/>
      <c r="H49" s="367"/>
      <c r="I49" s="367"/>
      <c r="J49" s="367"/>
      <c r="K49" s="367"/>
      <c r="L49" s="367" t="str">
        <f>IFERROR(FIXED('kU(E)'!X39,decim+5),"")</f>
        <v/>
      </c>
      <c r="M49" s="367"/>
    </row>
    <row r="50" spans="2:13" x14ac:dyDescent="0.25">
      <c r="B50" s="367" t="str">
        <f>IFERROR(FIXED('kU(E)'!T40,decim + 2),"")</f>
        <v/>
      </c>
      <c r="C50" s="367"/>
      <c r="D50" s="367" t="str">
        <f>IFERROR(FIXED('kU(E)'!U40,decim + 2),"")</f>
        <v/>
      </c>
      <c r="E50" s="367"/>
      <c r="F50" s="367" t="str">
        <f>IFERROR(FIXED('kU(E)'!V40,decim + 2),"")</f>
        <v/>
      </c>
      <c r="G50" s="367"/>
      <c r="H50" s="367"/>
      <c r="I50" s="367"/>
      <c r="J50" s="367"/>
      <c r="K50" s="367"/>
      <c r="L50" s="367" t="str">
        <f>IFERROR(FIXED('kU(E)'!X40,decim+5),"")</f>
        <v/>
      </c>
      <c r="M50" s="367"/>
    </row>
    <row r="51" spans="2:13" x14ac:dyDescent="0.25">
      <c r="B51" s="367" t="str">
        <f>IFERROR(FIXED('kU(E)'!T41,decim + 2),"")</f>
        <v/>
      </c>
      <c r="C51" s="367"/>
      <c r="D51" s="367" t="str">
        <f>IFERROR(FIXED('kU(E)'!U41,decim + 2),"")</f>
        <v/>
      </c>
      <c r="E51" s="367"/>
      <c r="F51" s="367" t="str">
        <f>IFERROR(FIXED('kU(E)'!V41,decim + 2),"")</f>
        <v/>
      </c>
      <c r="G51" s="367"/>
      <c r="H51" s="367"/>
      <c r="I51" s="367"/>
      <c r="J51" s="367"/>
      <c r="K51" s="367"/>
      <c r="L51" s="367" t="str">
        <f>IFERROR(FIXED('kU(E)'!X41,decim+5),"")</f>
        <v/>
      </c>
      <c r="M51" s="367"/>
    </row>
    <row r="52" spans="2:13" x14ac:dyDescent="0.25">
      <c r="B52" s="367" t="str">
        <f>IFERROR(FIXED('kU(E)'!T42,decim + 2),"")</f>
        <v/>
      </c>
      <c r="C52" s="367"/>
      <c r="D52" s="367" t="str">
        <f>IFERROR(FIXED('kU(E)'!U42,decim + 2),"")</f>
        <v/>
      </c>
      <c r="E52" s="367"/>
      <c r="F52" s="367" t="str">
        <f>IFERROR(FIXED('kU(E)'!V42,decim + 2),"")</f>
        <v/>
      </c>
      <c r="G52" s="367"/>
      <c r="H52" s="367"/>
      <c r="I52" s="367"/>
      <c r="J52" s="367"/>
      <c r="K52" s="367"/>
      <c r="L52" s="367" t="str">
        <f>IFERROR(FIXED('kU(E)'!X42,decim+5),"")</f>
        <v/>
      </c>
      <c r="M52" s="367"/>
    </row>
    <row r="53" spans="2:13" x14ac:dyDescent="0.25">
      <c r="B53" s="224"/>
      <c r="C53" s="224"/>
      <c r="D53" s="224"/>
      <c r="E53" s="224"/>
      <c r="F53" s="224"/>
      <c r="G53" s="224"/>
      <c r="H53" s="224"/>
      <c r="I53" s="224"/>
      <c r="J53" s="224"/>
      <c r="K53" s="224"/>
      <c r="L53" s="224"/>
      <c r="M53" s="224"/>
    </row>
    <row r="54" spans="2:13" x14ac:dyDescent="0.25">
      <c r="B54" s="224"/>
      <c r="C54" s="224"/>
      <c r="D54" s="224"/>
      <c r="E54" s="224"/>
      <c r="F54" s="224"/>
      <c r="G54" s="224"/>
      <c r="H54" s="224"/>
      <c r="I54" s="224"/>
      <c r="J54" s="224"/>
      <c r="K54" s="224"/>
      <c r="L54" s="224"/>
      <c r="M54" s="224"/>
    </row>
    <row r="55" spans="2:13" x14ac:dyDescent="0.25">
      <c r="B55" s="224"/>
      <c r="C55" s="224"/>
      <c r="D55" s="224"/>
      <c r="E55" s="224"/>
      <c r="F55" s="224"/>
      <c r="G55" s="224"/>
      <c r="H55" s="224"/>
      <c r="I55" s="224"/>
      <c r="J55" s="224"/>
      <c r="K55" s="224"/>
      <c r="L55" s="224"/>
      <c r="M55" s="224"/>
    </row>
    <row r="56" spans="2:13" x14ac:dyDescent="0.25">
      <c r="B56" s="224"/>
      <c r="C56" s="224"/>
      <c r="D56" s="224"/>
      <c r="E56" s="224"/>
      <c r="F56" s="224"/>
      <c r="G56" s="224"/>
      <c r="H56" s="224"/>
      <c r="I56" s="224"/>
      <c r="J56" s="224"/>
      <c r="K56" s="224"/>
      <c r="L56" s="224"/>
      <c r="M56" s="224"/>
    </row>
    <row r="57" spans="2:13" x14ac:dyDescent="0.25">
      <c r="B57" s="224"/>
      <c r="C57" s="224"/>
      <c r="D57" s="224"/>
      <c r="E57" s="224"/>
      <c r="F57" s="224"/>
      <c r="G57" s="224"/>
      <c r="H57" s="224"/>
      <c r="I57" s="224"/>
      <c r="J57" s="224"/>
      <c r="K57" s="224"/>
      <c r="L57" s="224"/>
      <c r="M57" s="224"/>
    </row>
    <row r="58" spans="2:13" x14ac:dyDescent="0.25">
      <c r="B58" s="224"/>
      <c r="C58" s="224"/>
      <c r="D58" s="224"/>
      <c r="E58" s="224"/>
      <c r="F58" s="224"/>
      <c r="G58" s="224"/>
      <c r="H58" s="224"/>
      <c r="I58" s="224"/>
      <c r="J58" s="224"/>
      <c r="K58" s="224"/>
      <c r="L58" s="224"/>
      <c r="M58" s="224"/>
    </row>
    <row r="59" spans="2:13" x14ac:dyDescent="0.25">
      <c r="B59" s="224"/>
      <c r="C59" s="224"/>
      <c r="D59" s="224"/>
      <c r="E59" s="224"/>
      <c r="F59" s="224"/>
      <c r="G59" s="224"/>
      <c r="H59" s="224"/>
      <c r="I59" s="224"/>
      <c r="J59" s="224"/>
      <c r="K59" s="224"/>
      <c r="L59" s="224"/>
      <c r="M59" s="224"/>
    </row>
    <row r="60" spans="2:13" x14ac:dyDescent="0.25">
      <c r="B60" s="224"/>
      <c r="C60" s="224"/>
      <c r="D60" s="224"/>
      <c r="E60" s="224"/>
      <c r="F60" s="224"/>
      <c r="G60" s="224"/>
      <c r="H60" s="224"/>
      <c r="I60" s="224"/>
      <c r="J60" s="224"/>
      <c r="K60" s="224"/>
      <c r="L60" s="224"/>
      <c r="M60" s="224"/>
    </row>
    <row r="61" spans="2:13" x14ac:dyDescent="0.25">
      <c r="B61" s="224"/>
      <c r="C61" s="224"/>
      <c r="D61" s="224"/>
      <c r="E61" s="224"/>
      <c r="F61" s="224"/>
      <c r="G61" s="224"/>
      <c r="H61" s="224"/>
      <c r="I61" s="224"/>
      <c r="J61" s="224"/>
      <c r="K61" s="224"/>
      <c r="L61" s="224"/>
      <c r="M61" s="224"/>
    </row>
    <row r="62" spans="2:13" x14ac:dyDescent="0.25">
      <c r="B62" s="224"/>
      <c r="C62" s="224"/>
      <c r="D62" s="224"/>
      <c r="E62" s="224"/>
      <c r="F62" s="224"/>
      <c r="G62" s="224"/>
      <c r="H62" s="224"/>
      <c r="I62" s="224"/>
      <c r="J62" s="224"/>
      <c r="K62" s="224"/>
      <c r="L62" s="224"/>
      <c r="M62" s="224"/>
    </row>
    <row r="63" spans="2:13" x14ac:dyDescent="0.25">
      <c r="B63" s="236" t="s">
        <v>451</v>
      </c>
      <c r="C63" s="223"/>
      <c r="D63" s="223"/>
      <c r="E63" s="223"/>
      <c r="F63" s="223"/>
      <c r="G63" s="223"/>
      <c r="H63" s="235" t="s">
        <v>450</v>
      </c>
      <c r="I63" s="223"/>
      <c r="J63" s="223"/>
      <c r="K63" s="223"/>
      <c r="L63" s="223"/>
      <c r="M63" s="223"/>
    </row>
    <row r="64" spans="2:13" x14ac:dyDescent="0.25">
      <c r="B64" s="232" t="s">
        <v>449</v>
      </c>
      <c r="C64" s="223"/>
      <c r="D64" s="231" t="str">
        <f>FIXED(CertTempC,1)</f>
        <v>21.3</v>
      </c>
      <c r="E64" s="224" t="s">
        <v>443</v>
      </c>
      <c r="F64" s="231" t="str">
        <f>FIXED(CertTempIncerti,1)</f>
        <v>0.4</v>
      </c>
      <c r="G64" s="223" t="s">
        <v>448</v>
      </c>
      <c r="H64" s="232" t="s">
        <v>447</v>
      </c>
      <c r="I64" s="234" t="s">
        <v>444</v>
      </c>
      <c r="J64" s="233">
        <f>CertPres</f>
        <v>1001</v>
      </c>
      <c r="K64" s="224" t="s">
        <v>443</v>
      </c>
      <c r="L64" s="233">
        <f>CertPresIncert</f>
        <v>10</v>
      </c>
      <c r="M64" s="223" t="s">
        <v>446</v>
      </c>
    </row>
    <row r="65" spans="2:13" x14ac:dyDescent="0.25">
      <c r="B65" s="232" t="s">
        <v>445</v>
      </c>
      <c r="C65" s="224" t="s">
        <v>444</v>
      </c>
      <c r="D65" s="231" t="str">
        <f>FIXED(CertHR,1)</f>
        <v>49.4</v>
      </c>
      <c r="E65" s="224" t="s">
        <v>443</v>
      </c>
      <c r="F65" s="231" t="str">
        <f>FIXED(CertHRIncerti,1)</f>
        <v>1.3</v>
      </c>
      <c r="G65" s="223" t="s">
        <v>442</v>
      </c>
    </row>
    <row r="66" spans="2:13" x14ac:dyDescent="0.25">
      <c r="B66" s="232"/>
      <c r="C66" s="224"/>
      <c r="D66" s="231"/>
      <c r="E66" s="224"/>
      <c r="F66" s="231"/>
      <c r="G66" s="223"/>
    </row>
    <row r="67" spans="2:13" x14ac:dyDescent="0.25">
      <c r="B67" s="232"/>
      <c r="C67" s="224"/>
      <c r="D67" s="231"/>
      <c r="E67" s="224"/>
      <c r="F67" s="231"/>
      <c r="G67" s="223"/>
    </row>
    <row r="68" spans="2:13" x14ac:dyDescent="0.25">
      <c r="B68" s="232"/>
      <c r="C68" s="224"/>
      <c r="D68" s="231"/>
      <c r="E68" s="224"/>
      <c r="F68" s="231"/>
      <c r="G68" s="223"/>
    </row>
    <row r="69" spans="2:13" x14ac:dyDescent="0.25">
      <c r="B69" s="232"/>
      <c r="C69" s="224"/>
      <c r="D69" s="231"/>
      <c r="E69" s="224"/>
      <c r="F69" s="231"/>
      <c r="G69" s="223"/>
    </row>
    <row r="70" spans="2:13" x14ac:dyDescent="0.25">
      <c r="B70" s="232"/>
      <c r="C70" s="224"/>
      <c r="D70" s="231"/>
      <c r="E70" s="224"/>
      <c r="F70" s="231"/>
      <c r="G70" s="223"/>
    </row>
    <row r="71" spans="2:13" x14ac:dyDescent="0.25">
      <c r="B71" s="232"/>
      <c r="C71" s="224"/>
      <c r="D71" s="231"/>
      <c r="E71" s="224"/>
      <c r="F71" s="231"/>
      <c r="G71" s="223"/>
    </row>
    <row r="72" spans="2:13" x14ac:dyDescent="0.25">
      <c r="B72" s="224"/>
      <c r="C72" s="224"/>
      <c r="D72" s="224"/>
      <c r="E72" s="224"/>
      <c r="F72" s="224"/>
      <c r="G72" s="224"/>
      <c r="H72" s="224"/>
      <c r="I72" s="224"/>
      <c r="J72" s="224"/>
      <c r="K72" s="224"/>
      <c r="L72" s="224"/>
      <c r="M72" s="224"/>
    </row>
    <row r="73" spans="2:13" x14ac:dyDescent="0.25">
      <c r="B73" s="224"/>
      <c r="C73" s="224"/>
      <c r="D73" s="224"/>
      <c r="E73" s="224"/>
      <c r="F73" s="224"/>
      <c r="G73" s="224"/>
      <c r="H73" s="224"/>
      <c r="I73" s="224"/>
      <c r="J73" s="224"/>
      <c r="K73" s="224"/>
      <c r="L73" s="224"/>
      <c r="M73" s="224"/>
    </row>
    <row r="74" spans="2:13" x14ac:dyDescent="0.25">
      <c r="B74" s="224"/>
      <c r="C74" s="224"/>
      <c r="D74" s="224"/>
      <c r="E74" s="224"/>
      <c r="F74" s="224"/>
      <c r="G74" s="224"/>
      <c r="H74" s="224"/>
      <c r="I74" s="224"/>
      <c r="J74" s="224"/>
      <c r="K74" s="224"/>
      <c r="L74" s="224"/>
      <c r="M74" s="224"/>
    </row>
    <row r="75" spans="2:13" x14ac:dyDescent="0.25">
      <c r="B75" s="224"/>
      <c r="C75" s="224"/>
      <c r="D75" s="224"/>
      <c r="E75" s="224"/>
      <c r="F75" s="224"/>
      <c r="G75" s="224"/>
      <c r="H75" s="224"/>
      <c r="I75" s="224"/>
      <c r="J75" s="224"/>
      <c r="K75" s="224"/>
      <c r="L75" s="224"/>
      <c r="M75" s="224"/>
    </row>
    <row r="76" spans="2:13" x14ac:dyDescent="0.25">
      <c r="B76" s="224"/>
      <c r="C76" s="224"/>
      <c r="D76" s="224"/>
      <c r="E76" s="224"/>
      <c r="F76" s="224"/>
      <c r="G76" s="224"/>
      <c r="H76" s="224"/>
      <c r="I76" s="224"/>
      <c r="J76" s="224"/>
      <c r="K76" s="224"/>
      <c r="L76" s="224"/>
      <c r="M76" s="224"/>
    </row>
    <row r="77" spans="2:13" x14ac:dyDescent="0.25">
      <c r="B77" s="224"/>
      <c r="C77" s="224"/>
      <c r="D77" s="224"/>
      <c r="E77" s="224"/>
      <c r="F77" s="224"/>
      <c r="G77" s="224"/>
      <c r="H77" s="224"/>
      <c r="I77" s="224"/>
      <c r="J77" s="224"/>
      <c r="K77" s="224"/>
      <c r="L77" s="224"/>
      <c r="M77" s="224"/>
    </row>
    <row r="78" spans="2:13" x14ac:dyDescent="0.25">
      <c r="B78" s="224"/>
      <c r="C78" s="224"/>
      <c r="D78" s="224"/>
      <c r="E78" s="224"/>
      <c r="F78" s="224"/>
      <c r="G78" s="224"/>
      <c r="H78" s="224"/>
      <c r="I78" s="224"/>
      <c r="J78" s="224"/>
      <c r="K78" s="224"/>
      <c r="L78" s="224"/>
      <c r="M78" s="224"/>
    </row>
    <row r="79" spans="2:13" x14ac:dyDescent="0.25">
      <c r="B79" s="236" t="s">
        <v>437</v>
      </c>
      <c r="C79" s="223"/>
      <c r="D79" s="223"/>
      <c r="E79" s="223"/>
      <c r="F79" s="223"/>
      <c r="G79" s="223"/>
      <c r="H79" s="235" t="str">
        <f>CertNum</f>
        <v>NI-MC-B-XXX-2020</v>
      </c>
      <c r="I79" s="223"/>
      <c r="J79" s="223"/>
      <c r="K79" s="223"/>
      <c r="L79" s="223"/>
      <c r="M79" s="223"/>
    </row>
    <row r="80" spans="2:13" x14ac:dyDescent="0.25">
      <c r="B80" s="224"/>
      <c r="C80" s="224"/>
      <c r="D80" s="224"/>
      <c r="E80" s="224"/>
      <c r="F80" s="224"/>
      <c r="G80" s="224"/>
      <c r="H80" s="224"/>
      <c r="I80" s="224"/>
      <c r="J80" s="224"/>
      <c r="K80" s="224"/>
      <c r="L80" s="224"/>
      <c r="M80" s="224"/>
    </row>
    <row r="81" spans="2:27" x14ac:dyDescent="0.25">
      <c r="B81" s="224"/>
      <c r="C81" s="224"/>
      <c r="D81" s="224"/>
      <c r="E81" s="224"/>
      <c r="F81" s="224"/>
      <c r="G81" s="224"/>
      <c r="H81" s="224"/>
      <c r="I81" s="224"/>
      <c r="J81" s="224"/>
      <c r="K81" s="224"/>
      <c r="L81" s="224"/>
      <c r="M81" s="224"/>
    </row>
    <row r="82" spans="2:27" x14ac:dyDescent="0.25">
      <c r="B82" s="226" t="s">
        <v>441</v>
      </c>
    </row>
    <row r="83" spans="2:27" ht="12.75" customHeight="1" x14ac:dyDescent="0.25">
      <c r="B83" s="372" t="s">
        <v>440</v>
      </c>
      <c r="C83" s="372"/>
      <c r="D83" s="372"/>
      <c r="E83" s="372"/>
      <c r="F83" s="372"/>
      <c r="G83" s="372"/>
      <c r="H83" s="372"/>
      <c r="I83" s="372"/>
      <c r="J83" s="372"/>
      <c r="K83" s="372"/>
      <c r="L83" s="372"/>
      <c r="M83" s="372"/>
    </row>
    <row r="84" spans="2:27" x14ac:dyDescent="0.25">
      <c r="B84" s="372"/>
      <c r="C84" s="372"/>
      <c r="D84" s="372"/>
      <c r="E84" s="372"/>
      <c r="F84" s="372"/>
      <c r="G84" s="372"/>
      <c r="H84" s="372"/>
      <c r="I84" s="372"/>
      <c r="J84" s="372"/>
      <c r="K84" s="372"/>
      <c r="L84" s="372"/>
      <c r="M84" s="372"/>
    </row>
    <row r="85" spans="2:27" x14ac:dyDescent="0.25">
      <c r="B85" s="372"/>
      <c r="C85" s="372"/>
      <c r="D85" s="372"/>
      <c r="E85" s="372"/>
      <c r="F85" s="372"/>
      <c r="G85" s="372"/>
      <c r="H85" s="372"/>
      <c r="I85" s="372"/>
      <c r="J85" s="372"/>
      <c r="K85" s="372"/>
      <c r="L85" s="372"/>
      <c r="M85" s="372"/>
    </row>
    <row r="86" spans="2:27" x14ac:dyDescent="0.25">
      <c r="B86" s="223"/>
      <c r="C86" s="223"/>
      <c r="D86" s="223"/>
      <c r="E86" s="223"/>
      <c r="F86" s="223"/>
      <c r="G86" s="223"/>
      <c r="H86" s="223"/>
      <c r="I86" s="223"/>
      <c r="J86" s="223"/>
      <c r="K86" s="223"/>
      <c r="L86" s="223"/>
      <c r="M86" s="223"/>
    </row>
    <row r="87" spans="2:27" x14ac:dyDescent="0.25">
      <c r="B87" s="226" t="s">
        <v>439</v>
      </c>
      <c r="C87" s="225"/>
      <c r="D87" s="225"/>
      <c r="E87" s="225"/>
      <c r="F87" s="225"/>
      <c r="G87" s="225"/>
      <c r="H87" s="225"/>
      <c r="I87" s="225"/>
      <c r="J87" s="225"/>
      <c r="K87" s="225"/>
      <c r="L87" s="225"/>
      <c r="M87" s="225"/>
      <c r="N87" s="225"/>
      <c r="O87" s="225"/>
      <c r="P87" s="225"/>
      <c r="Q87" s="225"/>
      <c r="R87" s="225"/>
      <c r="S87" s="225"/>
      <c r="T87" s="225"/>
      <c r="U87" s="225"/>
      <c r="V87" s="225"/>
      <c r="W87" s="225"/>
      <c r="X87" s="225"/>
    </row>
    <row r="88" spans="2:27" ht="14.4" customHeight="1" x14ac:dyDescent="0.25">
      <c r="B88" s="372" t="s">
        <v>438</v>
      </c>
      <c r="C88" s="372"/>
      <c r="D88" s="372"/>
      <c r="E88" s="372"/>
      <c r="F88" s="372"/>
      <c r="G88" s="372"/>
      <c r="H88" s="372"/>
      <c r="I88" s="372"/>
      <c r="J88" s="372"/>
      <c r="K88" s="372"/>
      <c r="L88" s="372"/>
      <c r="M88" s="372"/>
      <c r="N88" s="225"/>
      <c r="O88" s="225"/>
      <c r="P88" s="225"/>
      <c r="Q88" s="225"/>
      <c r="R88" s="225"/>
      <c r="S88" s="225"/>
      <c r="T88" s="225"/>
      <c r="U88" s="225"/>
      <c r="V88" s="225"/>
      <c r="W88" s="225"/>
      <c r="X88" s="225"/>
      <c r="Y88" s="225"/>
      <c r="Z88" s="225"/>
      <c r="AA88" s="225"/>
    </row>
    <row r="89" spans="2:27" x14ac:dyDescent="0.25">
      <c r="B89" s="372"/>
      <c r="C89" s="372"/>
      <c r="D89" s="372"/>
      <c r="E89" s="372"/>
      <c r="F89" s="372"/>
      <c r="G89" s="372"/>
      <c r="H89" s="372"/>
      <c r="I89" s="372"/>
      <c r="J89" s="372"/>
      <c r="K89" s="372"/>
      <c r="L89" s="372"/>
      <c r="M89" s="372"/>
      <c r="N89" s="225"/>
      <c r="O89" s="225"/>
      <c r="P89" s="225"/>
      <c r="Q89" s="225"/>
      <c r="R89" s="225"/>
      <c r="S89" s="225"/>
      <c r="T89" s="225"/>
      <c r="U89" s="225"/>
      <c r="V89" s="225"/>
      <c r="W89" s="225"/>
      <c r="X89" s="225"/>
      <c r="Y89" s="225"/>
      <c r="Z89" s="225"/>
      <c r="AA89" s="225"/>
    </row>
    <row r="90" spans="2:27" x14ac:dyDescent="0.25">
      <c r="B90" s="372"/>
      <c r="C90" s="372"/>
      <c r="D90" s="372"/>
      <c r="E90" s="372"/>
      <c r="F90" s="372"/>
      <c r="G90" s="372"/>
      <c r="H90" s="372"/>
      <c r="I90" s="372"/>
      <c r="J90" s="372"/>
      <c r="K90" s="372"/>
      <c r="L90" s="372"/>
      <c r="M90" s="372"/>
      <c r="N90" s="225"/>
      <c r="O90" s="225"/>
      <c r="P90" s="225"/>
      <c r="Q90" s="225"/>
      <c r="R90" s="225"/>
      <c r="S90" s="225"/>
      <c r="T90" s="225"/>
      <c r="U90" s="225"/>
      <c r="V90" s="225"/>
      <c r="W90" s="225"/>
      <c r="X90" s="225"/>
      <c r="Y90" s="225"/>
      <c r="Z90" s="225"/>
      <c r="AA90" s="225"/>
    </row>
    <row r="91" spans="2:27" x14ac:dyDescent="0.25">
      <c r="B91" s="372"/>
      <c r="C91" s="372"/>
      <c r="D91" s="372"/>
      <c r="E91" s="372"/>
      <c r="F91" s="372"/>
      <c r="G91" s="372"/>
      <c r="H91" s="372"/>
      <c r="I91" s="372"/>
      <c r="J91" s="372"/>
      <c r="K91" s="372"/>
      <c r="L91" s="372"/>
      <c r="M91" s="372"/>
      <c r="N91" s="225"/>
      <c r="O91" s="225"/>
      <c r="P91" s="225"/>
      <c r="Q91" s="225"/>
      <c r="R91" s="225"/>
      <c r="S91" s="225"/>
      <c r="T91" s="225"/>
      <c r="U91" s="225"/>
      <c r="V91" s="225"/>
      <c r="W91" s="225"/>
      <c r="X91" s="225"/>
      <c r="Y91" s="225"/>
      <c r="Z91" s="225"/>
      <c r="AA91" s="225"/>
    </row>
    <row r="92" spans="2:27" x14ac:dyDescent="0.25">
      <c r="B92" s="372"/>
      <c r="C92" s="372"/>
      <c r="D92" s="372"/>
      <c r="E92" s="372"/>
      <c r="F92" s="372"/>
      <c r="G92" s="372"/>
      <c r="H92" s="372"/>
      <c r="I92" s="372"/>
      <c r="J92" s="372"/>
      <c r="K92" s="372"/>
      <c r="L92" s="372"/>
      <c r="M92" s="372"/>
      <c r="N92" s="225"/>
      <c r="O92" s="225"/>
      <c r="P92" s="225"/>
      <c r="Q92" s="225"/>
      <c r="R92" s="225"/>
      <c r="S92" s="225"/>
      <c r="T92" s="225"/>
      <c r="U92" s="225"/>
      <c r="V92" s="225"/>
      <c r="W92" s="225"/>
      <c r="X92" s="225"/>
      <c r="Y92" s="225"/>
      <c r="Z92" s="225"/>
      <c r="AA92" s="225"/>
    </row>
    <row r="93" spans="2:27" x14ac:dyDescent="0.25">
      <c r="B93" s="230"/>
      <c r="C93" s="230"/>
      <c r="D93" s="230"/>
      <c r="E93" s="230"/>
      <c r="F93" s="230"/>
      <c r="G93" s="230"/>
      <c r="H93" s="230"/>
      <c r="I93" s="230"/>
      <c r="J93" s="230"/>
      <c r="K93" s="230"/>
      <c r="L93" s="230"/>
      <c r="M93" s="230"/>
      <c r="N93" s="225"/>
      <c r="O93" s="225"/>
      <c r="P93" s="225"/>
      <c r="Q93" s="225"/>
      <c r="R93" s="225"/>
      <c r="S93" s="225"/>
      <c r="T93" s="225"/>
      <c r="U93" s="225"/>
      <c r="V93" s="225"/>
      <c r="W93" s="225"/>
      <c r="X93" s="225"/>
      <c r="Y93" s="225"/>
      <c r="Z93" s="225"/>
      <c r="AA93" s="225"/>
    </row>
    <row r="94" spans="2:27" x14ac:dyDescent="0.25">
      <c r="B94" s="226" t="s">
        <v>436</v>
      </c>
      <c r="C94" s="223"/>
      <c r="D94" s="223"/>
      <c r="E94" s="223"/>
      <c r="F94" s="223"/>
      <c r="G94" s="223"/>
      <c r="H94" s="223"/>
      <c r="I94" s="223"/>
      <c r="J94" s="223"/>
      <c r="K94" s="223"/>
      <c r="L94" s="223"/>
      <c r="M94" s="223"/>
    </row>
    <row r="95" spans="2:27" ht="7.2" customHeight="1" x14ac:dyDescent="0.25">
      <c r="B95" s="223"/>
      <c r="C95" s="223"/>
      <c r="D95" s="223"/>
      <c r="E95" s="223"/>
      <c r="F95" s="223"/>
      <c r="G95" s="223"/>
      <c r="H95" s="223"/>
      <c r="I95" s="223"/>
      <c r="J95" s="223"/>
      <c r="K95" s="223"/>
      <c r="L95" s="223"/>
      <c r="M95" s="223"/>
    </row>
    <row r="96" spans="2:27" x14ac:dyDescent="0.25">
      <c r="B96" s="361" t="str">
        <f>Calibración!CP4</f>
        <v>Descripción</v>
      </c>
      <c r="C96" s="361"/>
      <c r="D96" s="229" t="str">
        <f>Calibración!CR4</f>
        <v>Marca</v>
      </c>
      <c r="E96" s="361" t="str">
        <f>Calibración!CS4</f>
        <v>Código</v>
      </c>
      <c r="F96" s="361"/>
      <c r="G96" s="361"/>
      <c r="H96" s="361" t="str">
        <f>Calibración!CT4</f>
        <v>Trazabilidad</v>
      </c>
      <c r="I96" s="361"/>
      <c r="J96" s="361"/>
      <c r="K96" s="361"/>
      <c r="L96" s="365" t="str">
        <f>Calibración!CU4</f>
        <v>Próx. Calibr.</v>
      </c>
      <c r="M96" s="365"/>
    </row>
    <row r="97" spans="2:13" x14ac:dyDescent="0.25">
      <c r="B97" s="374" t="s">
        <v>435</v>
      </c>
      <c r="C97" s="374"/>
      <c r="D97" s="228" t="str">
        <f>VLOOKUP(E97,'BD Patron'!C6:O10,2,FALSE)</f>
        <v>Extech</v>
      </c>
      <c r="E97" s="362" t="str">
        <f>General!I4</f>
        <v>NI-MCPPT-06</v>
      </c>
      <c r="F97" s="362"/>
      <c r="G97" s="362"/>
      <c r="H97" s="362" t="str">
        <f>VLOOKUP(E97,'BD Patron'!C6:O10,11,FALSE)</f>
        <v>SCM Metrología y Laboratorios SCM-00039471</v>
      </c>
      <c r="I97" s="362"/>
      <c r="J97" s="362"/>
      <c r="K97" s="362"/>
      <c r="L97" s="373">
        <f>VLOOKUP(E97,'BD Patron'!C6:O10,10,FALSE)+731</f>
        <v>45570</v>
      </c>
      <c r="M97" s="373"/>
    </row>
    <row r="98" spans="2:13" x14ac:dyDescent="0.25">
      <c r="B98" s="355" t="str">
        <f>Calibración!CP6</f>
        <v/>
      </c>
      <c r="C98" s="355"/>
      <c r="D98" s="227" t="str">
        <f>Calibración!CR6</f>
        <v/>
      </c>
      <c r="E98" s="356" t="str">
        <f>Calibración!CS6</f>
        <v/>
      </c>
      <c r="F98" s="356"/>
      <c r="G98" s="356"/>
      <c r="H98" s="356" t="str">
        <f>Calibración!CT6</f>
        <v/>
      </c>
      <c r="I98" s="356"/>
      <c r="J98" s="356"/>
      <c r="K98" s="356"/>
      <c r="L98" s="357" t="str">
        <f>Calibración!CU6</f>
        <v/>
      </c>
      <c r="M98" s="357"/>
    </row>
    <row r="99" spans="2:13" x14ac:dyDescent="0.25">
      <c r="B99" s="355" t="str">
        <f>Calibración!CP7</f>
        <v/>
      </c>
      <c r="C99" s="355"/>
      <c r="D99" s="227" t="str">
        <f>Calibración!CR7</f>
        <v/>
      </c>
      <c r="E99" s="356" t="str">
        <f>Calibración!CS7</f>
        <v/>
      </c>
      <c r="F99" s="356"/>
      <c r="G99" s="356"/>
      <c r="H99" s="356" t="str">
        <f>Calibración!CT7</f>
        <v/>
      </c>
      <c r="I99" s="356"/>
      <c r="J99" s="356"/>
      <c r="K99" s="356"/>
      <c r="L99" s="357" t="str">
        <f>Calibración!CU7</f>
        <v/>
      </c>
      <c r="M99" s="357"/>
    </row>
    <row r="100" spans="2:13" x14ac:dyDescent="0.25">
      <c r="B100" s="355" t="str">
        <f>Calibración!CP8</f>
        <v/>
      </c>
      <c r="C100" s="355"/>
      <c r="D100" s="227" t="str">
        <f>Calibración!CR8</f>
        <v/>
      </c>
      <c r="E100" s="356" t="str">
        <f>Calibración!CS8</f>
        <v/>
      </c>
      <c r="F100" s="356"/>
      <c r="G100" s="356"/>
      <c r="H100" s="356" t="str">
        <f>Calibración!CT8</f>
        <v/>
      </c>
      <c r="I100" s="356"/>
      <c r="J100" s="356"/>
      <c r="K100" s="356"/>
      <c r="L100" s="357" t="str">
        <f>Calibración!CU8</f>
        <v/>
      </c>
      <c r="M100" s="357"/>
    </row>
    <row r="101" spans="2:13" x14ac:dyDescent="0.25">
      <c r="B101" s="355" t="str">
        <f>Calibración!CP9</f>
        <v/>
      </c>
      <c r="C101" s="355"/>
      <c r="D101" s="227" t="str">
        <f>Calibración!CR9</f>
        <v/>
      </c>
      <c r="E101" s="356" t="str">
        <f>Calibración!CS9</f>
        <v/>
      </c>
      <c r="F101" s="356"/>
      <c r="G101" s="356"/>
      <c r="H101" s="356" t="str">
        <f>Calibración!CT9</f>
        <v/>
      </c>
      <c r="I101" s="356"/>
      <c r="J101" s="356"/>
      <c r="K101" s="356"/>
      <c r="L101" s="357" t="str">
        <f>Calibración!CU9</f>
        <v/>
      </c>
      <c r="M101" s="357"/>
    </row>
    <row r="102" spans="2:13" hidden="1" x14ac:dyDescent="0.25">
      <c r="B102" s="378" t="str">
        <f>Calibración!CP10</f>
        <v/>
      </c>
      <c r="C102" s="378"/>
      <c r="D102" s="246" t="str">
        <f>Calibración!CR10</f>
        <v/>
      </c>
      <c r="E102" s="379" t="str">
        <f>Calibración!CS10</f>
        <v/>
      </c>
      <c r="F102" s="379"/>
      <c r="G102" s="379"/>
      <c r="H102" s="379" t="str">
        <f>Calibración!CT10</f>
        <v/>
      </c>
      <c r="I102" s="379"/>
      <c r="J102" s="379"/>
      <c r="K102" s="379"/>
      <c r="L102" s="382" t="str">
        <f>Calibración!CU10</f>
        <v/>
      </c>
      <c r="M102" s="382"/>
    </row>
    <row r="103" spans="2:13" hidden="1" x14ac:dyDescent="0.25">
      <c r="B103" s="377" t="str">
        <f>Calibración!CP11</f>
        <v/>
      </c>
      <c r="C103" s="377"/>
      <c r="D103" s="245" t="str">
        <f>Calibración!CR11</f>
        <v/>
      </c>
      <c r="E103" s="375" t="str">
        <f>Calibración!CS11</f>
        <v/>
      </c>
      <c r="F103" s="375"/>
      <c r="G103" s="375"/>
      <c r="H103" s="375" t="str">
        <f>Calibración!CT11</f>
        <v/>
      </c>
      <c r="I103" s="375"/>
      <c r="J103" s="375"/>
      <c r="K103" s="375"/>
      <c r="L103" s="376" t="str">
        <f>Calibración!CU11</f>
        <v/>
      </c>
      <c r="M103" s="376"/>
    </row>
    <row r="104" spans="2:13" hidden="1" x14ac:dyDescent="0.25">
      <c r="B104" s="377" t="str">
        <f>Calibración!CP12</f>
        <v/>
      </c>
      <c r="C104" s="377"/>
      <c r="D104" s="245" t="str">
        <f>Calibración!CR12</f>
        <v/>
      </c>
      <c r="E104" s="375" t="str">
        <f>Calibración!CS12</f>
        <v/>
      </c>
      <c r="F104" s="375"/>
      <c r="G104" s="375"/>
      <c r="H104" s="375" t="str">
        <f>Calibración!CT12</f>
        <v/>
      </c>
      <c r="I104" s="375"/>
      <c r="J104" s="375"/>
      <c r="K104" s="375"/>
      <c r="L104" s="376" t="str">
        <f>Calibración!CU12</f>
        <v/>
      </c>
      <c r="M104" s="376"/>
    </row>
    <row r="105" spans="2:13" hidden="1" x14ac:dyDescent="0.25">
      <c r="B105" s="377" t="str">
        <f>Calibración!CP13</f>
        <v/>
      </c>
      <c r="C105" s="377"/>
      <c r="D105" s="245" t="str">
        <f>Calibración!CR13</f>
        <v/>
      </c>
      <c r="E105" s="375" t="str">
        <f>Calibración!CS13</f>
        <v/>
      </c>
      <c r="F105" s="375"/>
      <c r="G105" s="375"/>
      <c r="H105" s="375" t="str">
        <f>Calibración!CT13</f>
        <v/>
      </c>
      <c r="I105" s="375"/>
      <c r="J105" s="375"/>
      <c r="K105" s="375"/>
      <c r="L105" s="376" t="str">
        <f>Calibración!CU13</f>
        <v/>
      </c>
      <c r="M105" s="376"/>
    </row>
    <row r="106" spans="2:13" hidden="1" x14ac:dyDescent="0.25">
      <c r="B106" s="377" t="str">
        <f>Calibración!CP14</f>
        <v/>
      </c>
      <c r="C106" s="377"/>
      <c r="D106" s="245" t="str">
        <f>Calibración!CR14</f>
        <v/>
      </c>
      <c r="E106" s="375" t="str">
        <f>Calibración!CS14</f>
        <v/>
      </c>
      <c r="F106" s="375"/>
      <c r="G106" s="375"/>
      <c r="H106" s="375" t="str">
        <f>Calibración!CT14</f>
        <v/>
      </c>
      <c r="I106" s="375"/>
      <c r="J106" s="375"/>
      <c r="K106" s="375"/>
      <c r="L106" s="376" t="str">
        <f>Calibración!CU14</f>
        <v/>
      </c>
      <c r="M106" s="376"/>
    </row>
    <row r="107" spans="2:13" hidden="1" x14ac:dyDescent="0.25">
      <c r="B107" s="377" t="str">
        <f>Calibración!CP15</f>
        <v/>
      </c>
      <c r="C107" s="377"/>
      <c r="D107" s="245" t="str">
        <f>Calibración!CR15</f>
        <v/>
      </c>
      <c r="E107" s="375" t="str">
        <f>Calibración!CS15</f>
        <v/>
      </c>
      <c r="F107" s="375"/>
      <c r="G107" s="375"/>
      <c r="H107" s="375" t="str">
        <f>Calibración!CT15</f>
        <v/>
      </c>
      <c r="I107" s="375"/>
      <c r="J107" s="375"/>
      <c r="K107" s="375"/>
      <c r="L107" s="376" t="str">
        <f>Calibración!CU15</f>
        <v/>
      </c>
      <c r="M107" s="376"/>
    </row>
    <row r="108" spans="2:13" hidden="1" x14ac:dyDescent="0.25">
      <c r="B108" s="377" t="str">
        <f>Calibración!CP16</f>
        <v/>
      </c>
      <c r="C108" s="377"/>
      <c r="D108" s="245" t="str">
        <f>Calibración!CR16</f>
        <v/>
      </c>
      <c r="E108" s="375" t="str">
        <f>Calibración!CS16</f>
        <v/>
      </c>
      <c r="F108" s="375"/>
      <c r="G108" s="375"/>
      <c r="H108" s="375" t="str">
        <f>Calibración!CT16</f>
        <v/>
      </c>
      <c r="I108" s="375"/>
      <c r="J108" s="375"/>
      <c r="K108" s="375"/>
      <c r="L108" s="376" t="str">
        <f>Calibración!CU16</f>
        <v/>
      </c>
      <c r="M108" s="376"/>
    </row>
    <row r="109" spans="2:13" hidden="1" x14ac:dyDescent="0.25">
      <c r="B109" s="377" t="str">
        <f>Calibración!CP17</f>
        <v/>
      </c>
      <c r="C109" s="377"/>
      <c r="D109" s="245" t="str">
        <f>Calibración!CR17</f>
        <v/>
      </c>
      <c r="E109" s="375" t="str">
        <f>Calibración!CS17</f>
        <v/>
      </c>
      <c r="F109" s="375"/>
      <c r="G109" s="375"/>
      <c r="H109" s="375" t="str">
        <f>Calibración!CT17</f>
        <v/>
      </c>
      <c r="I109" s="375"/>
      <c r="J109" s="375"/>
      <c r="K109" s="375"/>
      <c r="L109" s="376" t="str">
        <f>Calibración!CU17</f>
        <v/>
      </c>
      <c r="M109" s="376"/>
    </row>
    <row r="110" spans="2:13" hidden="1" x14ac:dyDescent="0.25">
      <c r="B110" s="377" t="str">
        <f>Calibración!CP18</f>
        <v/>
      </c>
      <c r="C110" s="377"/>
      <c r="D110" s="245" t="str">
        <f>Calibración!CR18</f>
        <v/>
      </c>
      <c r="E110" s="375" t="str">
        <f>Calibración!CS18</f>
        <v/>
      </c>
      <c r="F110" s="375"/>
      <c r="G110" s="375"/>
      <c r="H110" s="375" t="str">
        <f>Calibración!CT18</f>
        <v/>
      </c>
      <c r="I110" s="375"/>
      <c r="J110" s="375"/>
      <c r="K110" s="375"/>
      <c r="L110" s="376" t="str">
        <f>Calibración!CU18</f>
        <v/>
      </c>
      <c r="M110" s="376"/>
    </row>
    <row r="111" spans="2:13" hidden="1" x14ac:dyDescent="0.25">
      <c r="B111" s="377" t="str">
        <f>Calibración!CP19</f>
        <v/>
      </c>
      <c r="C111" s="377"/>
      <c r="D111" s="245" t="str">
        <f>Calibración!CR19</f>
        <v/>
      </c>
      <c r="E111" s="375" t="str">
        <f>Calibración!CS19</f>
        <v/>
      </c>
      <c r="F111" s="375"/>
      <c r="G111" s="375"/>
      <c r="H111" s="375" t="str">
        <f>Calibración!CT19</f>
        <v/>
      </c>
      <c r="I111" s="375"/>
      <c r="J111" s="375"/>
      <c r="K111" s="375"/>
      <c r="L111" s="376" t="str">
        <f>Calibración!CU19</f>
        <v/>
      </c>
      <c r="M111" s="376"/>
    </row>
    <row r="112" spans="2:13" hidden="1" x14ac:dyDescent="0.25">
      <c r="B112" s="377" t="str">
        <f>Calibración!CP20</f>
        <v/>
      </c>
      <c r="C112" s="377"/>
      <c r="D112" s="245" t="str">
        <f>Calibración!CR20</f>
        <v/>
      </c>
      <c r="E112" s="375" t="str">
        <f>Calibración!CS20</f>
        <v/>
      </c>
      <c r="F112" s="375"/>
      <c r="G112" s="375"/>
      <c r="H112" s="375" t="str">
        <f>Calibración!CT20</f>
        <v/>
      </c>
      <c r="I112" s="375"/>
      <c r="J112" s="375"/>
      <c r="K112" s="375"/>
      <c r="L112" s="376" t="str">
        <f>Calibración!CU20</f>
        <v/>
      </c>
      <c r="M112" s="376"/>
    </row>
    <row r="113" spans="2:20" hidden="1" x14ac:dyDescent="0.25">
      <c r="B113" s="377" t="str">
        <f>Calibración!CP21</f>
        <v/>
      </c>
      <c r="C113" s="377"/>
      <c r="D113" s="245" t="str">
        <f>Calibración!CR21</f>
        <v/>
      </c>
      <c r="E113" s="375" t="str">
        <f>Calibración!CS21</f>
        <v/>
      </c>
      <c r="F113" s="375"/>
      <c r="G113" s="375"/>
      <c r="H113" s="375" t="str">
        <f>Calibración!CT21</f>
        <v/>
      </c>
      <c r="I113" s="375"/>
      <c r="J113" s="375"/>
      <c r="K113" s="375"/>
      <c r="L113" s="376" t="str">
        <f>Calibración!CU21</f>
        <v/>
      </c>
      <c r="M113" s="376"/>
    </row>
    <row r="114" spans="2:20" hidden="1" x14ac:dyDescent="0.25">
      <c r="B114" s="377" t="str">
        <f>Calibración!CP22</f>
        <v/>
      </c>
      <c r="C114" s="377"/>
      <c r="D114" s="245" t="str">
        <f>Calibración!CR22</f>
        <v/>
      </c>
      <c r="E114" s="375" t="str">
        <f>Calibración!CS22</f>
        <v/>
      </c>
      <c r="F114" s="375"/>
      <c r="G114" s="375"/>
      <c r="H114" s="375" t="str">
        <f>Calibración!CT22</f>
        <v/>
      </c>
      <c r="I114" s="375"/>
      <c r="J114" s="375"/>
      <c r="K114" s="375"/>
      <c r="L114" s="376" t="str">
        <f>Calibración!CU22</f>
        <v/>
      </c>
      <c r="M114" s="376"/>
    </row>
    <row r="115" spans="2:20" hidden="1" x14ac:dyDescent="0.25">
      <c r="B115" s="377" t="str">
        <f>Calibración!CP23</f>
        <v/>
      </c>
      <c r="C115" s="377"/>
      <c r="D115" s="245" t="str">
        <f>Calibración!CR23</f>
        <v/>
      </c>
      <c r="E115" s="375" t="str">
        <f>Calibración!CS23</f>
        <v/>
      </c>
      <c r="F115" s="375"/>
      <c r="G115" s="375"/>
      <c r="H115" s="375" t="str">
        <f>Calibración!CT23</f>
        <v/>
      </c>
      <c r="I115" s="375"/>
      <c r="J115" s="375"/>
      <c r="K115" s="375"/>
      <c r="L115" s="376" t="str">
        <f>Calibración!CU23</f>
        <v/>
      </c>
      <c r="M115" s="376"/>
    </row>
    <row r="116" spans="2:20" hidden="1" x14ac:dyDescent="0.25">
      <c r="B116" s="377" t="str">
        <f>Calibración!CP24</f>
        <v/>
      </c>
      <c r="C116" s="377"/>
      <c r="D116" s="245" t="str">
        <f>Calibración!CR24</f>
        <v/>
      </c>
      <c r="E116" s="375" t="str">
        <f>Calibración!CS24</f>
        <v/>
      </c>
      <c r="F116" s="375"/>
      <c r="G116" s="375"/>
      <c r="H116" s="375" t="str">
        <f>Calibración!CT24</f>
        <v/>
      </c>
      <c r="I116" s="375"/>
      <c r="J116" s="375"/>
      <c r="K116" s="375"/>
      <c r="L116" s="376" t="str">
        <f>Calibración!CU24</f>
        <v/>
      </c>
      <c r="M116" s="376"/>
    </row>
    <row r="117" spans="2:20" hidden="1" x14ac:dyDescent="0.25">
      <c r="B117" s="377" t="str">
        <f>Calibración!CP25</f>
        <v/>
      </c>
      <c r="C117" s="377"/>
      <c r="D117" s="245" t="str">
        <f>Calibración!CR25</f>
        <v/>
      </c>
      <c r="E117" s="375" t="str">
        <f>Calibración!CS25</f>
        <v/>
      </c>
      <c r="F117" s="375"/>
      <c r="G117" s="375"/>
      <c r="H117" s="375" t="str">
        <f>Calibración!CT25</f>
        <v/>
      </c>
      <c r="I117" s="375"/>
      <c r="J117" s="375"/>
      <c r="K117" s="375"/>
      <c r="L117" s="376" t="str">
        <f>Calibración!CU25</f>
        <v/>
      </c>
      <c r="M117" s="376"/>
    </row>
    <row r="118" spans="2:20" x14ac:dyDescent="0.25">
      <c r="B118" s="232"/>
      <c r="C118" s="232"/>
      <c r="D118" s="223"/>
      <c r="E118" s="223"/>
      <c r="F118" s="223"/>
      <c r="G118" s="223"/>
      <c r="H118" s="223"/>
      <c r="I118" s="223"/>
      <c r="J118" s="223"/>
      <c r="K118" s="223"/>
      <c r="L118" s="244"/>
      <c r="M118" s="244"/>
    </row>
    <row r="119" spans="2:20" x14ac:dyDescent="0.25">
      <c r="B119" s="232"/>
      <c r="C119" s="232"/>
      <c r="D119" s="223"/>
      <c r="E119" s="223"/>
      <c r="F119" s="223"/>
      <c r="G119" s="223"/>
      <c r="H119" s="223"/>
      <c r="I119" s="223"/>
      <c r="J119" s="223"/>
      <c r="K119" s="223"/>
      <c r="L119" s="244"/>
      <c r="M119" s="244"/>
    </row>
    <row r="120" spans="2:20" x14ac:dyDescent="0.25">
      <c r="B120" s="226" t="s">
        <v>434</v>
      </c>
    </row>
    <row r="121" spans="2:20" x14ac:dyDescent="0.25">
      <c r="B121" s="221" t="s">
        <v>433</v>
      </c>
    </row>
    <row r="122" spans="2:20" x14ac:dyDescent="0.25">
      <c r="B122" s="221" t="s">
        <v>476</v>
      </c>
    </row>
    <row r="123" spans="2:20" x14ac:dyDescent="0.25">
      <c r="B123" s="221" t="s">
        <v>433</v>
      </c>
    </row>
    <row r="124" spans="2:20" x14ac:dyDescent="0.25">
      <c r="B124" s="221" t="s">
        <v>432</v>
      </c>
      <c r="S124" s="225"/>
      <c r="T124" s="225"/>
    </row>
    <row r="125" spans="2:20" x14ac:dyDescent="0.25">
      <c r="B125" s="221" t="s">
        <v>431</v>
      </c>
      <c r="S125" s="225"/>
      <c r="T125" s="225"/>
    </row>
    <row r="126" spans="2:20" x14ac:dyDescent="0.25">
      <c r="B126" s="221" t="s">
        <v>430</v>
      </c>
    </row>
    <row r="127" spans="2:20" x14ac:dyDescent="0.25">
      <c r="B127" s="221" t="s">
        <v>429</v>
      </c>
    </row>
    <row r="128" spans="2:20" x14ac:dyDescent="0.25">
      <c r="B128" s="221" t="s">
        <v>428</v>
      </c>
    </row>
    <row r="129" spans="2:13" x14ac:dyDescent="0.25">
      <c r="B129" s="223"/>
      <c r="C129" s="223"/>
      <c r="D129" s="223"/>
      <c r="E129" s="223"/>
      <c r="F129" s="223"/>
      <c r="J129" s="223"/>
      <c r="K129" s="223"/>
      <c r="L129" s="223"/>
      <c r="M129" s="223"/>
    </row>
    <row r="133" spans="2:13" x14ac:dyDescent="0.25">
      <c r="F133" s="364"/>
      <c r="G133" s="364"/>
      <c r="H133" s="364"/>
      <c r="I133" s="364"/>
    </row>
    <row r="134" spans="2:13" x14ac:dyDescent="0.25">
      <c r="F134" s="368" t="s">
        <v>67</v>
      </c>
      <c r="G134" s="368"/>
      <c r="H134" s="368"/>
      <c r="I134" s="368"/>
    </row>
    <row r="135" spans="2:13" x14ac:dyDescent="0.25">
      <c r="F135" s="368" t="s">
        <v>427</v>
      </c>
      <c r="G135" s="368"/>
      <c r="H135" s="368"/>
      <c r="I135" s="368"/>
    </row>
    <row r="136" spans="2:13" x14ac:dyDescent="0.25">
      <c r="F136" s="369" t="s">
        <v>426</v>
      </c>
      <c r="G136" s="369"/>
      <c r="H136" s="369"/>
      <c r="I136" s="369"/>
    </row>
    <row r="139" spans="2:13" x14ac:dyDescent="0.25">
      <c r="E139" s="369" t="s">
        <v>425</v>
      </c>
      <c r="F139" s="369"/>
      <c r="G139" s="369"/>
      <c r="H139" s="369"/>
      <c r="I139" s="369"/>
      <c r="J139" s="369"/>
    </row>
  </sheetData>
  <mergeCells count="183">
    <mergeCell ref="F135:I135"/>
    <mergeCell ref="F136:I136"/>
    <mergeCell ref="E139:J139"/>
    <mergeCell ref="D37:E37"/>
    <mergeCell ref="F133:I133"/>
    <mergeCell ref="F134:I134"/>
    <mergeCell ref="B83:M85"/>
    <mergeCell ref="H12:I12"/>
    <mergeCell ref="B36:C36"/>
    <mergeCell ref="D36:E36"/>
    <mergeCell ref="F36:G36"/>
    <mergeCell ref="L36:M36"/>
    <mergeCell ref="B34:C34"/>
    <mergeCell ref="D34:E34"/>
    <mergeCell ref="F34:G34"/>
    <mergeCell ref="L34:M34"/>
    <mergeCell ref="B35:C35"/>
    <mergeCell ref="H22:M23"/>
    <mergeCell ref="D33:E33"/>
    <mergeCell ref="F33:G33"/>
    <mergeCell ref="L33:M33"/>
    <mergeCell ref="B26:M26"/>
    <mergeCell ref="B28:C29"/>
    <mergeCell ref="D28:E29"/>
    <mergeCell ref="F28:G29"/>
    <mergeCell ref="H28:I29"/>
    <mergeCell ref="J28:K29"/>
    <mergeCell ref="B30:C30"/>
    <mergeCell ref="D30:E30"/>
    <mergeCell ref="F30:G30"/>
    <mergeCell ref="H30:I30"/>
    <mergeCell ref="J30:K30"/>
    <mergeCell ref="L30:M30"/>
    <mergeCell ref="L28:M29"/>
    <mergeCell ref="B32:C32"/>
    <mergeCell ref="B101:C101"/>
    <mergeCell ref="E101:G101"/>
    <mergeCell ref="H101:K101"/>
    <mergeCell ref="L101:M101"/>
    <mergeCell ref="F50:G50"/>
    <mergeCell ref="L50:M50"/>
    <mergeCell ref="B51:C51"/>
    <mergeCell ref="B37:C37"/>
    <mergeCell ref="D35:E35"/>
    <mergeCell ref="F35:G35"/>
    <mergeCell ref="L35:M35"/>
    <mergeCell ref="E99:G99"/>
    <mergeCell ref="H99:K99"/>
    <mergeCell ref="L99:M99"/>
    <mergeCell ref="B97:C97"/>
    <mergeCell ref="E97:G97"/>
    <mergeCell ref="H97:K97"/>
    <mergeCell ref="F37:G37"/>
    <mergeCell ref="L37:M37"/>
    <mergeCell ref="H31:I37"/>
    <mergeCell ref="J31:K37"/>
    <mergeCell ref="B52:C52"/>
    <mergeCell ref="B49:C49"/>
    <mergeCell ref="L97:M97"/>
    <mergeCell ref="B33:C33"/>
    <mergeCell ref="D32:E32"/>
    <mergeCell ref="F32:G32"/>
    <mergeCell ref="L32:M32"/>
    <mergeCell ref="B31:C31"/>
    <mergeCell ref="D31:E31"/>
    <mergeCell ref="F31:G31"/>
    <mergeCell ref="L31:M31"/>
    <mergeCell ref="B41:M41"/>
    <mergeCell ref="B43:C44"/>
    <mergeCell ref="D43:E44"/>
    <mergeCell ref="F43:G44"/>
    <mergeCell ref="H43:I44"/>
    <mergeCell ref="B88:M92"/>
    <mergeCell ref="B96:C96"/>
    <mergeCell ref="E96:G96"/>
    <mergeCell ref="H96:K96"/>
    <mergeCell ref="L96:M96"/>
    <mergeCell ref="D52:E52"/>
    <mergeCell ref="F52:G52"/>
    <mergeCell ref="L52:M52"/>
    <mergeCell ref="H46:I52"/>
    <mergeCell ref="J46:K52"/>
    <mergeCell ref="L43:M44"/>
    <mergeCell ref="B45:C45"/>
    <mergeCell ref="D45:E45"/>
    <mergeCell ref="F45:G45"/>
    <mergeCell ref="H45:I45"/>
    <mergeCell ref="L45:M45"/>
    <mergeCell ref="J43:K44"/>
    <mergeCell ref="B48:C48"/>
    <mergeCell ref="D48:E48"/>
    <mergeCell ref="F48:G48"/>
    <mergeCell ref="L48:M48"/>
    <mergeCell ref="L46:M46"/>
    <mergeCell ref="B47:C47"/>
    <mergeCell ref="D47:E47"/>
    <mergeCell ref="F47:G47"/>
    <mergeCell ref="L47:M47"/>
    <mergeCell ref="L108:M108"/>
    <mergeCell ref="B112:C112"/>
    <mergeCell ref="E112:G112"/>
    <mergeCell ref="D49:E49"/>
    <mergeCell ref="J45:K45"/>
    <mergeCell ref="L98:M98"/>
    <mergeCell ref="B110:C110"/>
    <mergeCell ref="E110:G110"/>
    <mergeCell ref="H110:K110"/>
    <mergeCell ref="B46:C46"/>
    <mergeCell ref="D46:E46"/>
    <mergeCell ref="L102:M102"/>
    <mergeCell ref="B99:C99"/>
    <mergeCell ref="B111:C111"/>
    <mergeCell ref="E111:G111"/>
    <mergeCell ref="H111:K111"/>
    <mergeCell ref="L111:M111"/>
    <mergeCell ref="B109:C109"/>
    <mergeCell ref="E109:G109"/>
    <mergeCell ref="H109:K109"/>
    <mergeCell ref="L109:M109"/>
    <mergeCell ref="F51:G51"/>
    <mergeCell ref="L51:M51"/>
    <mergeCell ref="L106:M106"/>
    <mergeCell ref="B103:C103"/>
    <mergeCell ref="E103:G103"/>
    <mergeCell ref="H103:K103"/>
    <mergeCell ref="L103:M103"/>
    <mergeCell ref="B104:C104"/>
    <mergeCell ref="E104:G104"/>
    <mergeCell ref="H104:K104"/>
    <mergeCell ref="L104:M104"/>
    <mergeCell ref="F46:G46"/>
    <mergeCell ref="B100:C100"/>
    <mergeCell ref="E100:G100"/>
    <mergeCell ref="H100:K100"/>
    <mergeCell ref="L100:M100"/>
    <mergeCell ref="B102:C102"/>
    <mergeCell ref="E102:G102"/>
    <mergeCell ref="H102:K102"/>
    <mergeCell ref="F49:G49"/>
    <mergeCell ref="L49:M49"/>
    <mergeCell ref="D50:E50"/>
    <mergeCell ref="B50:C50"/>
    <mergeCell ref="D51:E51"/>
    <mergeCell ref="B98:C98"/>
    <mergeCell ref="E98:G98"/>
    <mergeCell ref="H98:K98"/>
    <mergeCell ref="L105:M105"/>
    <mergeCell ref="B117:C117"/>
    <mergeCell ref="E117:G117"/>
    <mergeCell ref="H117:K117"/>
    <mergeCell ref="L117:M117"/>
    <mergeCell ref="B116:C116"/>
    <mergeCell ref="E116:G116"/>
    <mergeCell ref="H116:K116"/>
    <mergeCell ref="L116:M116"/>
    <mergeCell ref="H112:K112"/>
    <mergeCell ref="B106:C106"/>
    <mergeCell ref="E106:G106"/>
    <mergeCell ref="H106:K106"/>
    <mergeCell ref="B105:C105"/>
    <mergeCell ref="E105:G105"/>
    <mergeCell ref="H105:K105"/>
    <mergeCell ref="L110:M110"/>
    <mergeCell ref="B107:C107"/>
    <mergeCell ref="E107:G107"/>
    <mergeCell ref="H107:K107"/>
    <mergeCell ref="L107:M107"/>
    <mergeCell ref="B108:C108"/>
    <mergeCell ref="E108:G108"/>
    <mergeCell ref="H108:K108"/>
    <mergeCell ref="E114:G114"/>
    <mergeCell ref="H114:K114"/>
    <mergeCell ref="L114:M114"/>
    <mergeCell ref="L112:M112"/>
    <mergeCell ref="B115:C115"/>
    <mergeCell ref="E115:G115"/>
    <mergeCell ref="H115:K115"/>
    <mergeCell ref="L115:M115"/>
    <mergeCell ref="B113:C113"/>
    <mergeCell ref="E113:G113"/>
    <mergeCell ref="H113:K113"/>
    <mergeCell ref="L113:M113"/>
    <mergeCell ref="B114:C114"/>
  </mergeCells>
  <pageMargins left="0.51181102362204722" right="0.51181102362204722" top="0.51181102362204722" bottom="0.51181102362204722" header="0" footer="0.19685039370078741"/>
  <pageSetup orientation="portrait" horizontalDpi="1200" verticalDpi="1200" r:id="rId1"/>
  <headerFooter>
    <oddHeader>&amp;C
&amp;G</oddHeader>
    <oddFooter xml:space="preserve">&amp;C&amp;G&amp;R&amp;"Arial,Normal"&amp;8Página &amp;Pde&amp;N&amp;"-,Normal"&amp;11
</oddFooter>
  </headerFooter>
  <legacyDrawingHF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18A736-F438-4652-82CF-ACDB94E42677}">
  <dimension ref="B1:AA138"/>
  <sheetViews>
    <sheetView tabSelected="1" view="pageLayout" topLeftCell="A41" zoomScaleNormal="100" workbookViewId="0">
      <selection activeCell="F53" sqref="F53"/>
    </sheetView>
  </sheetViews>
  <sheetFormatPr baseColWidth="10" defaultColWidth="8.88671875" defaultRowHeight="13.2" x14ac:dyDescent="0.25"/>
  <cols>
    <col min="1" max="1" width="3" style="221" customWidth="1"/>
    <col min="2" max="6" width="7.5546875" style="221" customWidth="1"/>
    <col min="7" max="7" width="5.6640625" style="221" customWidth="1"/>
    <col min="8" max="10" width="7.5546875" style="221" customWidth="1"/>
    <col min="11" max="11" width="9" style="221" customWidth="1"/>
    <col min="12" max="12" width="7.5546875" style="221" customWidth="1"/>
    <col min="13" max="13" width="8.109375" style="221" customWidth="1"/>
    <col min="14" max="16384" width="8.88671875" style="221"/>
  </cols>
  <sheetData>
    <row r="1" spans="2:13" x14ac:dyDescent="0.25">
      <c r="B1" s="223"/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</row>
    <row r="2" spans="2:13" x14ac:dyDescent="0.25">
      <c r="B2" s="223"/>
      <c r="C2" s="223"/>
      <c r="D2" s="223"/>
      <c r="E2" s="223"/>
      <c r="F2" s="223"/>
      <c r="G2" s="223"/>
      <c r="H2" s="223"/>
      <c r="I2" s="223"/>
      <c r="J2" s="223"/>
      <c r="K2" s="223"/>
      <c r="L2" s="223"/>
      <c r="M2" s="223"/>
    </row>
    <row r="3" spans="2:13" x14ac:dyDescent="0.25">
      <c r="B3" s="223"/>
      <c r="C3" s="223"/>
      <c r="D3" s="223"/>
      <c r="E3" s="223"/>
      <c r="F3" s="223"/>
      <c r="G3" s="223"/>
      <c r="H3" s="223"/>
      <c r="I3" s="223"/>
      <c r="J3" s="223"/>
      <c r="K3" s="223"/>
      <c r="L3" s="223"/>
      <c r="M3" s="223"/>
    </row>
    <row r="4" spans="2:13" x14ac:dyDescent="0.25">
      <c r="B4" s="223"/>
      <c r="C4" s="223"/>
      <c r="D4" s="223"/>
      <c r="E4" s="223"/>
      <c r="F4" s="223"/>
      <c r="G4" s="223"/>
      <c r="H4" s="223"/>
      <c r="I4" s="223"/>
      <c r="J4" s="223"/>
      <c r="K4" s="223"/>
      <c r="L4" s="223"/>
      <c r="M4" s="223"/>
    </row>
    <row r="5" spans="2:13" ht="16.5" customHeight="1" x14ac:dyDescent="0.25">
      <c r="B5" s="223"/>
      <c r="C5" s="223"/>
      <c r="D5" s="223"/>
      <c r="E5" s="223"/>
      <c r="F5" s="223"/>
      <c r="G5" s="223"/>
      <c r="H5" s="223"/>
      <c r="I5" s="223"/>
      <c r="J5" s="223"/>
      <c r="K5" s="223"/>
      <c r="L5" s="223"/>
      <c r="M5" s="223"/>
    </row>
    <row r="6" spans="2:13" x14ac:dyDescent="0.25">
      <c r="B6" s="223"/>
      <c r="C6" s="223"/>
      <c r="D6" s="223"/>
      <c r="E6" s="223"/>
      <c r="F6" s="223"/>
      <c r="G6" s="223"/>
      <c r="H6" s="223"/>
      <c r="I6" s="223"/>
      <c r="J6" s="223"/>
      <c r="K6" s="223"/>
      <c r="L6" s="223"/>
      <c r="M6" s="223"/>
    </row>
    <row r="7" spans="2:13" x14ac:dyDescent="0.25">
      <c r="B7" s="223"/>
      <c r="C7" s="223"/>
      <c r="D7" s="223"/>
      <c r="E7" s="223"/>
      <c r="F7" s="223"/>
      <c r="G7" s="223"/>
      <c r="H7" s="223"/>
      <c r="I7" s="223"/>
      <c r="J7" s="223"/>
      <c r="K7" s="223"/>
      <c r="L7" s="223"/>
      <c r="M7" s="223"/>
    </row>
    <row r="8" spans="2:13" x14ac:dyDescent="0.25">
      <c r="B8" s="223"/>
      <c r="C8" s="223"/>
      <c r="D8" s="223"/>
      <c r="E8" s="223"/>
      <c r="F8" s="223"/>
      <c r="G8" s="223"/>
      <c r="H8" s="223"/>
      <c r="I8" s="223"/>
      <c r="J8" s="223"/>
      <c r="K8" s="223"/>
      <c r="L8" s="223"/>
      <c r="M8" s="223"/>
    </row>
    <row r="9" spans="2:13" x14ac:dyDescent="0.25">
      <c r="B9" s="236" t="s">
        <v>437</v>
      </c>
      <c r="C9" s="223"/>
      <c r="D9" s="223"/>
      <c r="E9" s="223"/>
      <c r="F9" s="223"/>
      <c r="G9" s="223"/>
      <c r="H9" s="235" t="str">
        <f>CertNum</f>
        <v>NI-MC-B-XXX-2020</v>
      </c>
      <c r="I9" s="223"/>
      <c r="J9" s="223"/>
      <c r="K9" s="223"/>
      <c r="L9" s="223"/>
      <c r="M9" s="223"/>
    </row>
    <row r="10" spans="2:13" x14ac:dyDescent="0.25">
      <c r="B10" s="236" t="s">
        <v>471</v>
      </c>
      <c r="C10" s="223"/>
      <c r="D10" s="223"/>
      <c r="E10" s="223"/>
      <c r="F10" s="223"/>
      <c r="G10" s="223"/>
      <c r="H10" s="239" t="str">
        <f>CertCode</f>
        <v>NI-CS-075-17</v>
      </c>
      <c r="I10" s="223"/>
      <c r="J10" s="223"/>
      <c r="K10" s="223"/>
      <c r="L10" s="223"/>
      <c r="M10" s="223"/>
    </row>
    <row r="11" spans="2:13" x14ac:dyDescent="0.25">
      <c r="B11" s="236" t="s">
        <v>470</v>
      </c>
      <c r="C11" s="223"/>
      <c r="D11" s="223"/>
      <c r="E11" s="223"/>
      <c r="F11" s="223"/>
      <c r="G11" s="223"/>
      <c r="H11" s="238" t="str">
        <f>CertDate</f>
        <v>2021-01-01</v>
      </c>
      <c r="I11" s="223"/>
      <c r="J11" s="223"/>
      <c r="K11" s="223"/>
      <c r="L11" s="223"/>
      <c r="M11" s="223"/>
    </row>
    <row r="12" spans="2:13" x14ac:dyDescent="0.25">
      <c r="B12" s="236" t="s">
        <v>469</v>
      </c>
      <c r="C12" s="223"/>
      <c r="D12" s="223"/>
      <c r="E12" s="223"/>
      <c r="F12" s="223"/>
      <c r="G12" s="223"/>
      <c r="H12" s="363">
        <f ca="1">NOW()</f>
        <v>45497.601785300925</v>
      </c>
      <c r="I12" s="363"/>
      <c r="J12" s="223"/>
      <c r="K12" s="223"/>
      <c r="L12" s="223"/>
      <c r="M12" s="223"/>
    </row>
    <row r="13" spans="2:13" x14ac:dyDescent="0.25">
      <c r="B13" s="236" t="s">
        <v>468</v>
      </c>
      <c r="C13" s="223"/>
      <c r="D13" s="223"/>
      <c r="E13" s="223"/>
      <c r="F13" s="223"/>
      <c r="G13" s="223"/>
      <c r="H13" s="232" t="str">
        <f>BalanzaTipo</f>
        <v>Balanza Digital</v>
      </c>
      <c r="I13" s="223"/>
      <c r="J13" s="223"/>
      <c r="K13" s="223"/>
      <c r="L13" s="223"/>
      <c r="M13" s="223"/>
    </row>
    <row r="14" spans="2:13" x14ac:dyDescent="0.25">
      <c r="B14" s="236" t="s">
        <v>467</v>
      </c>
      <c r="C14" s="223"/>
      <c r="D14" s="223"/>
      <c r="E14" s="223"/>
      <c r="F14" s="223"/>
      <c r="G14" s="223"/>
      <c r="H14" s="232" t="str">
        <f>BalanzaMarca</f>
        <v>gtergd</v>
      </c>
      <c r="I14" s="223"/>
      <c r="J14" s="223"/>
      <c r="K14" s="223"/>
      <c r="L14" s="223"/>
      <c r="M14" s="223"/>
    </row>
    <row r="15" spans="2:13" x14ac:dyDescent="0.25">
      <c r="B15" s="236" t="s">
        <v>466</v>
      </c>
      <c r="C15" s="223"/>
      <c r="D15" s="223"/>
      <c r="E15" s="223"/>
      <c r="F15" s="223"/>
      <c r="G15" s="223"/>
      <c r="H15" s="232" t="str">
        <f>BalanzaSerie</f>
        <v>54654asd</v>
      </c>
      <c r="I15" s="223"/>
      <c r="J15" s="223"/>
      <c r="K15" s="223"/>
      <c r="L15" s="223"/>
      <c r="M15" s="223"/>
    </row>
    <row r="16" spans="2:13" x14ac:dyDescent="0.25">
      <c r="B16" s="236" t="s">
        <v>465</v>
      </c>
      <c r="C16" s="223"/>
      <c r="D16" s="223"/>
      <c r="E16" s="223"/>
      <c r="F16" s="223"/>
      <c r="G16" s="223"/>
      <c r="H16" s="232" t="str">
        <f>BalanzaModelo</f>
        <v>346asd</v>
      </c>
      <c r="I16" s="223"/>
      <c r="J16" s="223"/>
      <c r="K16" s="223"/>
      <c r="L16" s="223"/>
      <c r="M16" s="223"/>
    </row>
    <row r="17" spans="2:13" x14ac:dyDescent="0.25">
      <c r="B17" s="236" t="s">
        <v>464</v>
      </c>
      <c r="C17" s="223"/>
      <c r="D17" s="223"/>
      <c r="E17" s="223"/>
      <c r="F17" s="223"/>
      <c r="G17" s="223"/>
      <c r="H17" s="232" t="str">
        <f>BalanzaRango1</f>
        <v>0 g a 100 g</v>
      </c>
      <c r="I17" s="223"/>
      <c r="J17" s="223"/>
      <c r="K17" s="223"/>
      <c r="L17" s="223"/>
      <c r="M17" s="223"/>
    </row>
    <row r="18" spans="2:13" x14ac:dyDescent="0.25">
      <c r="B18" s="236" t="s">
        <v>463</v>
      </c>
      <c r="C18" s="223"/>
      <c r="D18" s="223"/>
      <c r="E18" s="223"/>
      <c r="F18" s="223"/>
      <c r="G18" s="223"/>
      <c r="H18" s="232" t="str">
        <f>BalanzaResol1</f>
        <v>0,01 g</v>
      </c>
      <c r="I18" s="223"/>
      <c r="J18" s="223"/>
      <c r="K18" s="223"/>
      <c r="L18" s="223"/>
      <c r="M18" s="223"/>
    </row>
    <row r="19" spans="2:13" x14ac:dyDescent="0.25">
      <c r="B19" s="236" t="s">
        <v>462</v>
      </c>
      <c r="C19" s="223"/>
      <c r="D19" s="223"/>
      <c r="E19" s="223"/>
      <c r="F19" s="223"/>
      <c r="G19" s="223"/>
      <c r="H19" s="232" t="str">
        <f>BalanzaCode</f>
        <v>002456635</v>
      </c>
      <c r="I19" s="223"/>
      <c r="J19" s="223"/>
      <c r="K19" s="223"/>
      <c r="L19" s="223"/>
      <c r="M19" s="223"/>
    </row>
    <row r="20" spans="2:13" x14ac:dyDescent="0.25">
      <c r="B20" s="236" t="s">
        <v>461</v>
      </c>
      <c r="C20" s="223"/>
      <c r="D20" s="223"/>
      <c r="E20" s="223"/>
      <c r="F20" s="223"/>
      <c r="G20" s="223"/>
      <c r="H20" s="232" t="str">
        <f>ClientName</f>
        <v>San Lotano Cigars S.A.</v>
      </c>
      <c r="I20" s="223"/>
      <c r="J20" s="223"/>
      <c r="K20" s="223"/>
      <c r="L20" s="223"/>
      <c r="M20" s="223"/>
    </row>
    <row r="21" spans="2:13" x14ac:dyDescent="0.25">
      <c r="B21" s="236" t="s">
        <v>460</v>
      </c>
      <c r="C21" s="223"/>
      <c r="D21" s="223"/>
      <c r="E21" s="223"/>
      <c r="F21" s="223"/>
      <c r="G21" s="223"/>
      <c r="H21" s="232" t="str">
        <f>ClientAdr</f>
        <v>km 129 Carretera a Ocotal 300m al Oeste Valle de Verapaz, Totogalpa, Madriz</v>
      </c>
      <c r="I21" s="223"/>
      <c r="J21" s="223"/>
      <c r="K21" s="223"/>
      <c r="L21" s="223"/>
      <c r="M21" s="223"/>
    </row>
    <row r="22" spans="2:13" x14ac:dyDescent="0.25">
      <c r="B22" s="236" t="s">
        <v>459</v>
      </c>
      <c r="C22" s="223"/>
      <c r="D22" s="223"/>
      <c r="E22" s="223"/>
      <c r="F22" s="223"/>
      <c r="G22" s="223"/>
      <c r="H22" s="370" t="str">
        <f>ClientPlace</f>
        <v>Nicaragua, Managua, Bello Horizonte VI Etapa, Casa #135.</v>
      </c>
      <c r="I22" s="370"/>
      <c r="J22" s="370"/>
      <c r="K22" s="370"/>
      <c r="L22" s="370"/>
      <c r="M22" s="370"/>
    </row>
    <row r="23" spans="2:13" x14ac:dyDescent="0.25">
      <c r="B23" s="236"/>
      <c r="C23" s="223"/>
      <c r="D23" s="223"/>
      <c r="E23" s="223"/>
      <c r="F23" s="223"/>
      <c r="G23" s="223"/>
      <c r="H23" s="370"/>
      <c r="I23" s="370"/>
      <c r="J23" s="370"/>
      <c r="K23" s="370"/>
      <c r="L23" s="370"/>
      <c r="M23" s="370"/>
    </row>
    <row r="24" spans="2:13" x14ac:dyDescent="0.25">
      <c r="B24" s="226" t="s">
        <v>458</v>
      </c>
      <c r="C24" s="223"/>
      <c r="D24" s="223"/>
      <c r="E24" s="223"/>
      <c r="F24" s="223"/>
      <c r="G24" s="223"/>
      <c r="H24" s="223"/>
      <c r="I24" s="223"/>
      <c r="J24" s="223"/>
      <c r="K24" s="223"/>
      <c r="L24" s="223"/>
      <c r="M24" s="223"/>
    </row>
    <row r="25" spans="2:13" ht="6" customHeight="1" x14ac:dyDescent="0.25">
      <c r="B25" s="236"/>
      <c r="C25" s="223"/>
      <c r="D25" s="223"/>
      <c r="E25" s="223"/>
      <c r="F25" s="223"/>
      <c r="G25" s="223"/>
      <c r="H25" s="223"/>
      <c r="I25" s="223"/>
      <c r="J25" s="223"/>
      <c r="K25" s="223"/>
      <c r="L25" s="223"/>
      <c r="M25" s="223"/>
    </row>
    <row r="26" spans="2:13" x14ac:dyDescent="0.25">
      <c r="B26" s="371" t="s">
        <v>457</v>
      </c>
      <c r="C26" s="371"/>
      <c r="D26" s="371"/>
      <c r="E26" s="371"/>
      <c r="F26" s="371"/>
      <c r="G26" s="371"/>
      <c r="H26" s="371"/>
      <c r="I26" s="371"/>
      <c r="J26" s="371"/>
      <c r="K26" s="371"/>
      <c r="L26" s="371"/>
      <c r="M26" s="371"/>
    </row>
    <row r="27" spans="2:13" ht="8.4" customHeight="1" x14ac:dyDescent="0.25">
      <c r="B27" s="223"/>
      <c r="C27" s="223"/>
      <c r="D27" s="223"/>
      <c r="E27" s="236"/>
      <c r="F27" s="223"/>
      <c r="G27" s="223"/>
      <c r="H27" s="223"/>
      <c r="I27" s="223"/>
      <c r="J27" s="223"/>
      <c r="K27" s="223"/>
      <c r="L27" s="223"/>
      <c r="M27" s="223"/>
    </row>
    <row r="28" spans="2:13" x14ac:dyDescent="0.25">
      <c r="B28" s="366" t="s">
        <v>456</v>
      </c>
      <c r="C28" s="366"/>
      <c r="D28" s="366" t="s">
        <v>455</v>
      </c>
      <c r="E28" s="366"/>
      <c r="F28" s="366" t="s">
        <v>454</v>
      </c>
      <c r="G28" s="366"/>
      <c r="H28" s="366" t="s">
        <v>346</v>
      </c>
      <c r="I28" s="366"/>
      <c r="J28" s="366" t="s">
        <v>453</v>
      </c>
      <c r="K28" s="366"/>
      <c r="L28" s="366" t="s">
        <v>452</v>
      </c>
      <c r="M28" s="366"/>
    </row>
    <row r="29" spans="2:13" x14ac:dyDescent="0.25">
      <c r="B29" s="366"/>
      <c r="C29" s="366"/>
      <c r="D29" s="366"/>
      <c r="E29" s="366"/>
      <c r="F29" s="366"/>
      <c r="G29" s="366"/>
      <c r="H29" s="366"/>
      <c r="I29" s="366"/>
      <c r="J29" s="366"/>
      <c r="K29" s="366"/>
      <c r="L29" s="366"/>
      <c r="M29" s="366"/>
    </row>
    <row r="30" spans="2:13" x14ac:dyDescent="0.25">
      <c r="B30" s="367" t="str">
        <f>UnidadEscala</f>
        <v>g</v>
      </c>
      <c r="C30" s="367"/>
      <c r="D30" s="367" t="str">
        <f>UnidadEscala</f>
        <v>g</v>
      </c>
      <c r="E30" s="367"/>
      <c r="F30" s="367" t="str">
        <f>UnidadEscala</f>
        <v>g</v>
      </c>
      <c r="G30" s="367"/>
      <c r="H30" s="367" t="str">
        <f>UnidadEscala</f>
        <v>g</v>
      </c>
      <c r="I30" s="367"/>
      <c r="J30" s="367" t="str">
        <f>UnidadEscala</f>
        <v>g</v>
      </c>
      <c r="K30" s="367"/>
      <c r="L30" s="367" t="str">
        <f>UnidadEscala</f>
        <v>g</v>
      </c>
      <c r="M30" s="367"/>
    </row>
    <row r="31" spans="2:13" x14ac:dyDescent="0.25">
      <c r="B31" s="380" t="str">
        <f>IFERROR(FIXED('kU(E)'!T21,decim + 2),"")</f>
        <v>0.000</v>
      </c>
      <c r="C31" s="381"/>
      <c r="D31" s="380" t="str">
        <f>IFERROR(FIXED('kU(E)'!U21,decim),"")</f>
        <v>0.0</v>
      </c>
      <c r="E31" s="381"/>
      <c r="F31" s="380" t="str">
        <f>IFERROR(FIXED('kU(E)'!V21,decim),"")</f>
        <v>0.0</v>
      </c>
      <c r="G31" s="381"/>
      <c r="H31" s="367" t="str">
        <f>IFERROR(IF(Calibración!$E$40=0,"No aplica (N/A)",FIXED(u_rep,decim)),"")</f>
        <v>No aplica (N/A)</v>
      </c>
      <c r="I31" s="367"/>
      <c r="J31" s="367" t="str">
        <f>IFERROR(IF(Calibración!$E$51=0,"No aplica (N/A)",FIXED(ecc_error_max,decim)),"")</f>
        <v>No aplica (N/A)</v>
      </c>
      <c r="K31" s="367"/>
      <c r="L31" s="380" t="str">
        <f>IFERROR(FIXED('kU(E)'!X22,decim+5),"")</f>
        <v>0.000000</v>
      </c>
      <c r="M31" s="381"/>
    </row>
    <row r="32" spans="2:13" x14ac:dyDescent="0.25">
      <c r="B32" s="380" t="str">
        <f>IFERROR(FIXED('kU(E)'!T22,decim + 2),"")</f>
        <v>0.000</v>
      </c>
      <c r="C32" s="381"/>
      <c r="D32" s="380" t="str">
        <f>IFERROR(FIXED('kU(E)'!U22,decim),"")</f>
        <v/>
      </c>
      <c r="E32" s="381"/>
      <c r="F32" s="380" t="str">
        <f>IFERROR(FIXED('kU(E)'!V22,decim),"")</f>
        <v/>
      </c>
      <c r="G32" s="381"/>
      <c r="H32" s="367"/>
      <c r="I32" s="367"/>
      <c r="J32" s="367"/>
      <c r="K32" s="367"/>
      <c r="L32" s="380" t="str">
        <f>IFERROR(FIXED('kU(E)'!X22,decim+5),"")</f>
        <v>0.000000</v>
      </c>
      <c r="M32" s="381"/>
    </row>
    <row r="33" spans="2:13" x14ac:dyDescent="0.25">
      <c r="B33" s="380" t="str">
        <f>IFERROR(FIXED('kU(E)'!T23,decim + 2),"")</f>
        <v>0.000</v>
      </c>
      <c r="C33" s="381"/>
      <c r="D33" s="380" t="str">
        <f>IFERROR(FIXED('kU(E)'!U23,decim),"")</f>
        <v/>
      </c>
      <c r="E33" s="381"/>
      <c r="F33" s="380" t="str">
        <f>IFERROR(FIXED('kU(E)'!V23,decim),"")</f>
        <v/>
      </c>
      <c r="G33" s="381"/>
      <c r="H33" s="367"/>
      <c r="I33" s="367"/>
      <c r="J33" s="367"/>
      <c r="K33" s="367"/>
      <c r="L33" s="380" t="str">
        <f>IFERROR(FIXED('kU(E)'!X23,decim+5),"")</f>
        <v/>
      </c>
      <c r="M33" s="381"/>
    </row>
    <row r="34" spans="2:13" x14ac:dyDescent="0.25">
      <c r="B34" s="380" t="str">
        <f>IFERROR(FIXED('kU(E)'!T24,decim + 2),"")</f>
        <v>0.000</v>
      </c>
      <c r="C34" s="381"/>
      <c r="D34" s="380" t="str">
        <f>IFERROR(FIXED('kU(E)'!U24,decim),"")</f>
        <v/>
      </c>
      <c r="E34" s="381"/>
      <c r="F34" s="380" t="str">
        <f>IFERROR(FIXED('kU(E)'!V24,decim),"")</f>
        <v/>
      </c>
      <c r="G34" s="381"/>
      <c r="H34" s="367"/>
      <c r="I34" s="367"/>
      <c r="J34" s="367"/>
      <c r="K34" s="367"/>
      <c r="L34" s="380" t="str">
        <f>IFERROR(FIXED('kU(E)'!X24,decim+5),"")</f>
        <v/>
      </c>
      <c r="M34" s="381"/>
    </row>
    <row r="35" spans="2:13" x14ac:dyDescent="0.25">
      <c r="B35" s="380" t="str">
        <f>IFERROR(FIXED('kU(E)'!T25,decim + 2),"")</f>
        <v>0.000</v>
      </c>
      <c r="C35" s="381"/>
      <c r="D35" s="380" t="str">
        <f>IFERROR(FIXED('kU(E)'!U25,decim),"")</f>
        <v/>
      </c>
      <c r="E35" s="381"/>
      <c r="F35" s="380" t="str">
        <f>IFERROR(FIXED('kU(E)'!V25,decim),"")</f>
        <v/>
      </c>
      <c r="G35" s="381"/>
      <c r="H35" s="367"/>
      <c r="I35" s="367"/>
      <c r="J35" s="367"/>
      <c r="K35" s="367"/>
      <c r="L35" s="380" t="str">
        <f>IFERROR(FIXED('kU(E)'!X25,decim+5),"")</f>
        <v/>
      </c>
      <c r="M35" s="381"/>
    </row>
    <row r="36" spans="2:13" x14ac:dyDescent="0.25">
      <c r="B36" s="380" t="str">
        <f>IFERROR(FIXED('kU(E)'!T26,decim + 2),"")</f>
        <v>0.000</v>
      </c>
      <c r="C36" s="381"/>
      <c r="D36" s="380" t="str">
        <f>IFERROR(FIXED('kU(E)'!U26,decim),"")</f>
        <v/>
      </c>
      <c r="E36" s="381"/>
      <c r="F36" s="380" t="str">
        <f>IFERROR(FIXED('kU(E)'!V26,decim),"")</f>
        <v/>
      </c>
      <c r="G36" s="381"/>
      <c r="H36" s="367"/>
      <c r="I36" s="367"/>
      <c r="J36" s="367"/>
      <c r="K36" s="367"/>
      <c r="L36" s="380" t="str">
        <f>IFERROR(FIXED('kU(E)'!X26,decim+5),"")</f>
        <v/>
      </c>
      <c r="M36" s="381"/>
    </row>
    <row r="37" spans="2:13" x14ac:dyDescent="0.25">
      <c r="B37" s="380" t="str">
        <f>IFERROR(FIXED('kU(E)'!T27,decim + 2),"")</f>
        <v>0.000</v>
      </c>
      <c r="C37" s="381"/>
      <c r="D37" s="380" t="str">
        <f>IFERROR(FIXED('kU(E)'!U27,decim),"")</f>
        <v/>
      </c>
      <c r="E37" s="381"/>
      <c r="F37" s="380" t="str">
        <f>IFERROR(FIXED('kU(E)'!V27,decim),"")</f>
        <v/>
      </c>
      <c r="G37" s="381"/>
      <c r="H37" s="367"/>
      <c r="I37" s="367"/>
      <c r="J37" s="367"/>
      <c r="K37" s="367"/>
      <c r="L37" s="380" t="str">
        <f>IFERROR(FIXED('kU(E)'!X27,decim+5),"")</f>
        <v/>
      </c>
      <c r="M37" s="381"/>
    </row>
    <row r="38" spans="2:13" x14ac:dyDescent="0.25">
      <c r="B38" s="224"/>
      <c r="C38" s="224"/>
      <c r="D38" s="224"/>
      <c r="E38" s="224"/>
      <c r="F38" s="224"/>
      <c r="G38" s="224"/>
      <c r="H38" s="224"/>
      <c r="I38" s="224"/>
      <c r="J38" s="224"/>
      <c r="K38" s="224"/>
      <c r="L38" s="224"/>
      <c r="M38" s="224"/>
    </row>
    <row r="39" spans="2:13" x14ac:dyDescent="0.25">
      <c r="B39" s="226" t="s">
        <v>1415</v>
      </c>
      <c r="C39" s="223"/>
      <c r="D39" s="223"/>
      <c r="E39" s="223"/>
      <c r="F39" s="223"/>
      <c r="G39" s="223"/>
      <c r="H39" s="223"/>
      <c r="I39" s="223"/>
      <c r="J39" s="223"/>
      <c r="K39" s="223"/>
      <c r="L39" s="223"/>
      <c r="M39" s="223"/>
    </row>
    <row r="40" spans="2:13" ht="6.6" customHeight="1" x14ac:dyDescent="0.25">
      <c r="B40" s="236"/>
      <c r="C40" s="223"/>
      <c r="D40" s="223"/>
      <c r="E40" s="223"/>
      <c r="F40" s="223"/>
      <c r="G40" s="223"/>
      <c r="H40" s="223"/>
      <c r="I40" s="223"/>
      <c r="J40" s="223"/>
      <c r="K40" s="223"/>
      <c r="L40" s="223"/>
      <c r="M40" s="223"/>
    </row>
    <row r="41" spans="2:13" x14ac:dyDescent="0.25">
      <c r="B41" s="371" t="s">
        <v>457</v>
      </c>
      <c r="C41" s="371"/>
      <c r="D41" s="371"/>
      <c r="E41" s="371"/>
      <c r="F41" s="371"/>
      <c r="G41" s="371"/>
      <c r="H41" s="371"/>
      <c r="I41" s="371"/>
      <c r="J41" s="371"/>
      <c r="K41" s="371"/>
      <c r="L41" s="371"/>
      <c r="M41" s="371"/>
    </row>
    <row r="42" spans="2:13" x14ac:dyDescent="0.25">
      <c r="B42" s="223"/>
      <c r="C42" s="223"/>
      <c r="D42" s="223"/>
      <c r="E42" s="236"/>
      <c r="F42" s="223"/>
      <c r="G42" s="223"/>
      <c r="H42" s="223"/>
      <c r="I42" s="223"/>
      <c r="J42" s="223"/>
      <c r="K42" s="223"/>
      <c r="L42" s="223"/>
      <c r="M42" s="223"/>
    </row>
    <row r="43" spans="2:13" x14ac:dyDescent="0.25">
      <c r="B43" s="366" t="s">
        <v>456</v>
      </c>
      <c r="C43" s="366"/>
      <c r="D43" s="366" t="s">
        <v>455</v>
      </c>
      <c r="E43" s="366"/>
      <c r="F43" s="366" t="s">
        <v>454</v>
      </c>
      <c r="G43" s="366"/>
      <c r="H43" s="366" t="s">
        <v>346</v>
      </c>
      <c r="I43" s="366"/>
      <c r="J43" s="366" t="s">
        <v>453</v>
      </c>
      <c r="K43" s="366"/>
      <c r="L43" s="366" t="s">
        <v>452</v>
      </c>
      <c r="M43" s="366"/>
    </row>
    <row r="44" spans="2:13" x14ac:dyDescent="0.25">
      <c r="B44" s="366"/>
      <c r="C44" s="366"/>
      <c r="D44" s="366"/>
      <c r="E44" s="366"/>
      <c r="F44" s="366"/>
      <c r="G44" s="366"/>
      <c r="H44" s="366"/>
      <c r="I44" s="366"/>
      <c r="J44" s="366"/>
      <c r="K44" s="366"/>
      <c r="L44" s="366"/>
      <c r="M44" s="366"/>
    </row>
    <row r="45" spans="2:13" x14ac:dyDescent="0.25">
      <c r="B45" s="367" t="s">
        <v>129</v>
      </c>
      <c r="C45" s="367"/>
      <c r="D45" s="367" t="s">
        <v>129</v>
      </c>
      <c r="E45" s="367"/>
      <c r="F45" s="367" t="s">
        <v>129</v>
      </c>
      <c r="G45" s="367"/>
      <c r="H45" s="367" t="s">
        <v>129</v>
      </c>
      <c r="I45" s="367"/>
      <c r="J45" s="367" t="s">
        <v>129</v>
      </c>
      <c r="K45" s="367"/>
      <c r="L45" s="367" t="s">
        <v>129</v>
      </c>
      <c r="M45" s="367"/>
    </row>
    <row r="46" spans="2:13" x14ac:dyDescent="0.25">
      <c r="B46" s="383" t="str">
        <f>IFERROR(FIXED(IF(UnidadEscala="kg",CONVERT(B31,"kg","lbm"),CONVERT(B31,"g","lbm")),decim + 2),"")</f>
        <v>0.000</v>
      </c>
      <c r="C46" s="383"/>
      <c r="D46" s="383" t="str">
        <f>IFERROR(FIXED(IF(UnidadEscala="kg",CONVERT(D31,"kg","lbm"),CONVERT(D31,"g","lbm")),decim + 2),"")</f>
        <v>0.000</v>
      </c>
      <c r="E46" s="383"/>
      <c r="F46" s="383" t="str">
        <f>IFERROR(FIXED(IF(UnidadEscala="kg",CONVERT(F31,"kg","lbm"),CONVERT(F31,"g","lbm")),decim + 2),"")</f>
        <v>0.000</v>
      </c>
      <c r="G46" s="383"/>
      <c r="H46" s="367" t="str">
        <f>IFERROR(IF(Calibración!$E$40=0,"No aplica (N/A)",FIXED(IF(UnidadEscala="kg",CONVERT($H$31,"kg","lbm"),CONVERT($H$31,"g","lbm")),decim)),"")</f>
        <v>No aplica (N/A)</v>
      </c>
      <c r="I46" s="367"/>
      <c r="J46" s="367" t="str">
        <f>IFERROR(IF(Calibración!$E$51=0,"No aplica (N/A)",FIXED(IF(UnidadEscala="kg",CONVERT($J$31,"kg","lbm"),CONVERT($J$31,"g","lbm")),decim)),"")</f>
        <v>No aplica (N/A)</v>
      </c>
      <c r="K46" s="367"/>
      <c r="L46" s="383" t="str">
        <f>IFERROR(FIXED(IF(UnidadEscala="kg",CONVERT(L31,"kg","lbm"),CONVERT(L31,"g","lbm")),decim+5),"")</f>
        <v>0.000000</v>
      </c>
      <c r="M46" s="383"/>
    </row>
    <row r="47" spans="2:13" x14ac:dyDescent="0.25">
      <c r="B47" s="383" t="str">
        <f>IFERROR(FIXED(IF(UnidadEscala="kg",CONVERT(B32,"kg","lbm"),CONVERT(B32,"g","lbm")),decim + 2),"")</f>
        <v>0.000</v>
      </c>
      <c r="C47" s="383"/>
      <c r="D47" s="383" t="str">
        <f>IFERROR(FIXED(IF(UnidadEscala="kg",CONVERT(D32,"kg","lbm"),CONVERT(D32,"g","lbm")),decim + 2),"")</f>
        <v/>
      </c>
      <c r="E47" s="383"/>
      <c r="F47" s="383" t="str">
        <f>IFERROR(FIXED(IF(UnidadEscala="kg",CONVERT(F32,"kg","lbm"),CONVERT(F32,"g","lbm")),decim + 2),"")</f>
        <v/>
      </c>
      <c r="G47" s="383"/>
      <c r="H47" s="367"/>
      <c r="I47" s="367"/>
      <c r="J47" s="367"/>
      <c r="K47" s="367"/>
      <c r="L47" s="383" t="str">
        <f>IFERROR(FIXED(IF(UnidadEscala="kg",CONVERT(L32,"kg","lbm"),CONVERT(L32,"g","lbm")),decim+5),"")</f>
        <v>0.000000</v>
      </c>
      <c r="M47" s="383"/>
    </row>
    <row r="48" spans="2:13" x14ac:dyDescent="0.25">
      <c r="B48" s="383" t="str">
        <f>IFERROR(FIXED(IF(UnidadEscala="kg",CONVERT(B33,"kg","lbm"),CONVERT(B33,"g","lbm")),decim + 2),"")</f>
        <v>0.000</v>
      </c>
      <c r="C48" s="383"/>
      <c r="D48" s="383" t="str">
        <f>IFERROR(FIXED(IF(UnidadEscala="kg",CONVERT(D33,"kg","lbm"),CONVERT(D33,"g","lbm")),decim + 2),"")</f>
        <v/>
      </c>
      <c r="E48" s="383"/>
      <c r="F48" s="383" t="str">
        <f>IFERROR(FIXED(IF(UnidadEscala="kg",CONVERT(F33,"kg","lbm"),CONVERT(F33,"g","lbm")),decim + 2),"")</f>
        <v/>
      </c>
      <c r="G48" s="383"/>
      <c r="H48" s="367"/>
      <c r="I48" s="367"/>
      <c r="J48" s="367"/>
      <c r="K48" s="367"/>
      <c r="L48" s="383" t="str">
        <f>IFERROR(FIXED(IF(UnidadEscala="kg",CONVERT(L33,"kg","lbm"),CONVERT(L33,"g","lbm")),decim+5),"")</f>
        <v/>
      </c>
      <c r="M48" s="383"/>
    </row>
    <row r="49" spans="2:13" x14ac:dyDescent="0.25">
      <c r="B49" s="383" t="str">
        <f>IFERROR(FIXED(IF(UnidadEscala="kg",CONVERT(B34,"kg","lbm"),CONVERT(B34,"g","lbm")),decim + 2),"")</f>
        <v>0.000</v>
      </c>
      <c r="C49" s="383"/>
      <c r="D49" s="383" t="str">
        <f>IFERROR(FIXED(IF(UnidadEscala="kg",CONVERT(D34,"kg","lbm"),CONVERT(D34,"g","lbm")),decim + 2),"")</f>
        <v/>
      </c>
      <c r="E49" s="383"/>
      <c r="F49" s="383" t="str">
        <f>IFERROR(FIXED(IF(UnidadEscala="kg",CONVERT(F34,"kg","lbm"),CONVERT(F34,"g","lbm")),decim + 2),"")</f>
        <v/>
      </c>
      <c r="G49" s="383"/>
      <c r="H49" s="367"/>
      <c r="I49" s="367"/>
      <c r="J49" s="367"/>
      <c r="K49" s="367"/>
      <c r="L49" s="383" t="str">
        <f>IFERROR(FIXED(IF(UnidadEscala="kg",CONVERT(L34,"kg","lbm"),CONVERT(L34,"g","lbm")),decim+5),"")</f>
        <v/>
      </c>
      <c r="M49" s="383"/>
    </row>
    <row r="50" spans="2:13" x14ac:dyDescent="0.25">
      <c r="B50" s="383" t="str">
        <f>IFERROR(FIXED(IF(UnidadEscala="kg",CONVERT(B35,"kg","lbm"),CONVERT(B35,"g","lbm")),decim + 2),"")</f>
        <v>0.000</v>
      </c>
      <c r="C50" s="383"/>
      <c r="D50" s="383" t="str">
        <f>IFERROR(FIXED(IF(UnidadEscala="kg",CONVERT(D35,"kg","lbm"),CONVERT(D35,"g","lbm")),decim + 2),"")</f>
        <v/>
      </c>
      <c r="E50" s="383"/>
      <c r="F50" s="383" t="str">
        <f>IFERROR(FIXED(IF(UnidadEscala="kg",CONVERT(F35,"kg","lbm"),CONVERT(F35,"g","lbm")),decim + 2),"")</f>
        <v/>
      </c>
      <c r="G50" s="383"/>
      <c r="H50" s="367"/>
      <c r="I50" s="367"/>
      <c r="J50" s="367"/>
      <c r="K50" s="367"/>
      <c r="L50" s="383" t="str">
        <f>IFERROR(FIXED(IF(UnidadEscala="kg",CONVERT(L35,"kg","lbm"),CONVERT(L35,"g","lbm")),decim+5),"")</f>
        <v/>
      </c>
      <c r="M50" s="383"/>
    </row>
    <row r="51" spans="2:13" x14ac:dyDescent="0.25">
      <c r="B51" s="383" t="str">
        <f>IFERROR(FIXED(IF(UnidadEscala="kg",CONVERT(B36,"kg","lbm"),CONVERT(B36,"g","lbm")),decim + 2),"")</f>
        <v>0.000</v>
      </c>
      <c r="C51" s="383"/>
      <c r="D51" s="383" t="str">
        <f>IFERROR(FIXED(IF(UnidadEscala="kg",CONVERT(D36,"kg","lbm"),CONVERT(D36,"g","lbm")),decim + 2),"")</f>
        <v/>
      </c>
      <c r="E51" s="383"/>
      <c r="F51" s="383" t="str">
        <f>IFERROR(FIXED(IF(UnidadEscala="kg",CONVERT(F36,"kg","lbm"),CONVERT(F36,"g","lbm")),decim + 2),"")</f>
        <v/>
      </c>
      <c r="G51" s="383"/>
      <c r="H51" s="367"/>
      <c r="I51" s="367"/>
      <c r="J51" s="367"/>
      <c r="K51" s="367"/>
      <c r="L51" s="383" t="str">
        <f>IFERROR(FIXED(IF(UnidadEscala="kg",CONVERT(L36,"kg","lbm"),CONVERT(L36,"g","lbm")),decim+5),"")</f>
        <v/>
      </c>
      <c r="M51" s="383"/>
    </row>
    <row r="52" spans="2:13" x14ac:dyDescent="0.25">
      <c r="B52" s="383" t="str">
        <f>IFERROR(FIXED(IF(UnidadEscala="kg",CONVERT(B37,"kg","lbm"),CONVERT(B37,"g","lbm")),decim + 2),"")</f>
        <v>0.000</v>
      </c>
      <c r="C52" s="383"/>
      <c r="D52" s="383" t="str">
        <f>IFERROR(FIXED(IF(UnidadEscala="kg",CONVERT(D37,"kg","lbm"),CONVERT(D37,"g","lbm")),decim + 2),"")</f>
        <v/>
      </c>
      <c r="E52" s="383"/>
      <c r="F52" s="383" t="str">
        <f>IFERROR(FIXED(IF(UnidadEscala="kg",CONVERT(F37,"kg","lbm"),CONVERT(F37,"g","lbm")),decim + 2),"")</f>
        <v/>
      </c>
      <c r="G52" s="383"/>
      <c r="H52" s="367"/>
      <c r="I52" s="367"/>
      <c r="J52" s="367"/>
      <c r="K52" s="367"/>
      <c r="L52" s="383" t="str">
        <f>IFERROR(FIXED(IF(UnidadEscala="kg",CONVERT(L37,"kg","lbm"),CONVERT(L37,"g","lbm")),decim+5),"")</f>
        <v/>
      </c>
      <c r="M52" s="383"/>
    </row>
    <row r="53" spans="2:13" x14ac:dyDescent="0.25">
      <c r="B53" s="224"/>
      <c r="C53" s="224"/>
      <c r="D53" s="224"/>
      <c r="E53" s="224"/>
      <c r="F53" s="224"/>
      <c r="G53" s="224"/>
      <c r="H53" s="224"/>
      <c r="I53" s="224"/>
      <c r="J53" s="224"/>
      <c r="K53" s="224"/>
      <c r="L53" s="224"/>
      <c r="M53" s="224"/>
    </row>
    <row r="54" spans="2:13" x14ac:dyDescent="0.25">
      <c r="B54" s="224"/>
      <c r="C54" s="224"/>
      <c r="D54" s="224"/>
      <c r="E54" s="224"/>
      <c r="F54" s="224"/>
      <c r="G54" s="224"/>
      <c r="H54" s="224"/>
      <c r="I54" s="224"/>
      <c r="J54" s="224"/>
      <c r="K54" s="224"/>
      <c r="L54" s="224"/>
      <c r="M54" s="224"/>
    </row>
    <row r="55" spans="2:13" x14ac:dyDescent="0.25">
      <c r="B55" s="224"/>
      <c r="C55" s="224"/>
      <c r="D55" s="224"/>
      <c r="E55" s="224"/>
      <c r="F55" s="224"/>
      <c r="G55" s="224"/>
      <c r="H55" s="224"/>
      <c r="I55" s="224"/>
      <c r="J55" s="224"/>
      <c r="K55" s="224"/>
      <c r="L55" s="224"/>
      <c r="M55" s="224"/>
    </row>
    <row r="56" spans="2:13" x14ac:dyDescent="0.25">
      <c r="B56" s="224"/>
      <c r="C56" s="224"/>
      <c r="D56" s="224"/>
      <c r="E56" s="224"/>
      <c r="F56" s="224"/>
      <c r="G56" s="224"/>
      <c r="H56" s="224"/>
      <c r="I56" s="224"/>
      <c r="J56" s="224"/>
      <c r="K56" s="224"/>
      <c r="L56" s="224"/>
      <c r="M56" s="224"/>
    </row>
    <row r="57" spans="2:13" x14ac:dyDescent="0.25">
      <c r="B57" s="224"/>
      <c r="C57" s="224"/>
      <c r="D57" s="224"/>
      <c r="E57" s="224"/>
      <c r="F57" s="224"/>
      <c r="G57" s="224"/>
      <c r="H57" s="224"/>
      <c r="I57" s="224"/>
      <c r="J57" s="224"/>
      <c r="K57" s="224"/>
      <c r="L57" s="224"/>
      <c r="M57" s="224"/>
    </row>
    <row r="58" spans="2:13" x14ac:dyDescent="0.25">
      <c r="B58" s="224"/>
      <c r="C58" s="224"/>
      <c r="D58" s="224"/>
      <c r="E58" s="224"/>
      <c r="F58" s="224"/>
      <c r="G58" s="224"/>
      <c r="H58" s="224"/>
      <c r="I58" s="224"/>
      <c r="J58" s="224"/>
      <c r="K58" s="224"/>
      <c r="L58" s="224"/>
      <c r="M58" s="224"/>
    </row>
    <row r="59" spans="2:13" x14ac:dyDescent="0.25">
      <c r="B59" s="224"/>
      <c r="C59" s="224"/>
      <c r="D59" s="224"/>
      <c r="E59" s="224"/>
      <c r="F59" s="224"/>
      <c r="G59" s="224"/>
      <c r="H59" s="224"/>
      <c r="I59" s="224"/>
      <c r="J59" s="224"/>
      <c r="K59" s="224"/>
      <c r="L59" s="224"/>
      <c r="M59" s="224"/>
    </row>
    <row r="60" spans="2:13" x14ac:dyDescent="0.25">
      <c r="B60" s="224"/>
      <c r="C60" s="224"/>
      <c r="D60" s="224"/>
      <c r="E60" s="224"/>
      <c r="F60" s="224"/>
      <c r="G60" s="224"/>
      <c r="H60" s="224"/>
      <c r="I60" s="224"/>
      <c r="J60" s="224"/>
      <c r="K60" s="224"/>
      <c r="L60" s="224"/>
      <c r="M60" s="224"/>
    </row>
    <row r="61" spans="2:13" x14ac:dyDescent="0.25">
      <c r="B61" s="224"/>
      <c r="C61" s="224"/>
      <c r="D61" s="224"/>
      <c r="E61" s="224"/>
      <c r="F61" s="224"/>
      <c r="G61" s="224"/>
      <c r="H61" s="224"/>
      <c r="I61" s="224"/>
      <c r="J61" s="224"/>
      <c r="K61" s="224"/>
      <c r="L61" s="224"/>
      <c r="M61" s="224"/>
    </row>
    <row r="62" spans="2:13" x14ac:dyDescent="0.25">
      <c r="B62" s="224"/>
      <c r="C62" s="224"/>
      <c r="D62" s="224"/>
      <c r="E62" s="224"/>
      <c r="F62" s="224"/>
      <c r="G62" s="224"/>
      <c r="H62" s="224"/>
      <c r="I62" s="224"/>
      <c r="J62" s="224"/>
      <c r="K62" s="224"/>
      <c r="L62" s="224"/>
      <c r="M62" s="224"/>
    </row>
    <row r="63" spans="2:13" x14ac:dyDescent="0.25">
      <c r="B63" s="236" t="s">
        <v>451</v>
      </c>
      <c r="C63" s="223"/>
      <c r="D63" s="223"/>
      <c r="E63" s="223"/>
      <c r="F63" s="223"/>
      <c r="G63" s="223"/>
      <c r="H63" s="235" t="s">
        <v>450</v>
      </c>
      <c r="I63" s="223"/>
      <c r="J63" s="223"/>
      <c r="K63" s="223"/>
      <c r="L63" s="223"/>
      <c r="M63" s="223"/>
    </row>
    <row r="64" spans="2:13" x14ac:dyDescent="0.25">
      <c r="B64" s="232" t="s">
        <v>449</v>
      </c>
      <c r="C64" s="223"/>
      <c r="D64" s="231" t="str">
        <f>FIXED(CertTempC,1)</f>
        <v>21.3</v>
      </c>
      <c r="E64" s="224" t="s">
        <v>443</v>
      </c>
      <c r="F64" s="231" t="str">
        <f>FIXED(CertTempIncerti,1)</f>
        <v>0.4</v>
      </c>
      <c r="G64" s="223" t="s">
        <v>448</v>
      </c>
      <c r="H64" s="232" t="s">
        <v>447</v>
      </c>
      <c r="I64" s="234" t="s">
        <v>444</v>
      </c>
      <c r="J64" s="233">
        <f>CertPres</f>
        <v>1001</v>
      </c>
      <c r="K64" s="224" t="s">
        <v>443</v>
      </c>
      <c r="L64" s="233">
        <f>CertPresIncert</f>
        <v>10</v>
      </c>
      <c r="M64" s="223" t="s">
        <v>446</v>
      </c>
    </row>
    <row r="65" spans="2:13" x14ac:dyDescent="0.25">
      <c r="B65" s="232" t="s">
        <v>445</v>
      </c>
      <c r="C65" s="224" t="s">
        <v>444</v>
      </c>
      <c r="D65" s="231" t="str">
        <f>FIXED(CertHR,1)</f>
        <v>49.4</v>
      </c>
      <c r="E65" s="224" t="s">
        <v>443</v>
      </c>
      <c r="F65" s="231" t="str">
        <f>FIXED(CertHRIncerti,1)</f>
        <v>1.3</v>
      </c>
      <c r="G65" s="223" t="s">
        <v>442</v>
      </c>
    </row>
    <row r="66" spans="2:13" x14ac:dyDescent="0.25">
      <c r="B66" s="232"/>
      <c r="C66" s="224"/>
      <c r="D66" s="231"/>
      <c r="E66" s="224"/>
      <c r="F66" s="231"/>
      <c r="G66" s="223"/>
    </row>
    <row r="67" spans="2:13" x14ac:dyDescent="0.25">
      <c r="B67" s="232"/>
      <c r="C67" s="224"/>
      <c r="D67" s="231"/>
      <c r="E67" s="224"/>
      <c r="F67" s="231"/>
      <c r="G67" s="223"/>
    </row>
    <row r="68" spans="2:13" x14ac:dyDescent="0.25">
      <c r="B68" s="232"/>
      <c r="C68" s="224"/>
      <c r="D68" s="231"/>
      <c r="E68" s="224"/>
      <c r="F68" s="231"/>
      <c r="G68" s="223"/>
    </row>
    <row r="69" spans="2:13" x14ac:dyDescent="0.25">
      <c r="B69" s="232"/>
      <c r="C69" s="224"/>
      <c r="D69" s="231"/>
      <c r="E69" s="224"/>
      <c r="F69" s="231"/>
      <c r="G69" s="223"/>
    </row>
    <row r="70" spans="2:13" x14ac:dyDescent="0.25">
      <c r="B70" s="224"/>
      <c r="C70" s="224"/>
      <c r="D70" s="224"/>
      <c r="E70" s="224"/>
      <c r="F70" s="224"/>
      <c r="G70" s="224"/>
      <c r="H70" s="224"/>
      <c r="I70" s="224"/>
      <c r="J70" s="224"/>
      <c r="K70" s="224"/>
      <c r="L70" s="224"/>
      <c r="M70" s="224"/>
    </row>
    <row r="71" spans="2:13" x14ac:dyDescent="0.25">
      <c r="B71" s="224"/>
      <c r="C71" s="224"/>
      <c r="D71" s="224"/>
      <c r="E71" s="224"/>
      <c r="F71" s="224"/>
      <c r="G71" s="224"/>
      <c r="H71" s="224"/>
      <c r="I71" s="224"/>
      <c r="J71" s="224"/>
      <c r="K71" s="224"/>
      <c r="L71" s="224"/>
      <c r="M71" s="224"/>
    </row>
    <row r="72" spans="2:13" x14ac:dyDescent="0.25">
      <c r="B72" s="224"/>
      <c r="C72" s="224"/>
      <c r="D72" s="224"/>
      <c r="E72" s="224"/>
      <c r="F72" s="224"/>
      <c r="G72" s="224"/>
      <c r="H72" s="224"/>
      <c r="I72" s="224"/>
      <c r="J72" s="224"/>
      <c r="K72" s="224"/>
      <c r="L72" s="224"/>
      <c r="M72" s="224"/>
    </row>
    <row r="73" spans="2:13" x14ac:dyDescent="0.25">
      <c r="B73" s="224"/>
      <c r="C73" s="224"/>
      <c r="D73" s="224"/>
      <c r="E73" s="224"/>
      <c r="F73" s="224"/>
      <c r="G73" s="224"/>
      <c r="H73" s="224"/>
      <c r="I73" s="224"/>
      <c r="J73" s="224"/>
      <c r="K73" s="224"/>
      <c r="L73" s="224"/>
      <c r="M73" s="224"/>
    </row>
    <row r="74" spans="2:13" x14ac:dyDescent="0.25">
      <c r="B74" s="224"/>
      <c r="C74" s="224"/>
      <c r="D74" s="224"/>
      <c r="E74" s="224"/>
      <c r="F74" s="224"/>
      <c r="G74" s="224"/>
      <c r="H74" s="224"/>
      <c r="I74" s="224"/>
      <c r="J74" s="224"/>
      <c r="K74" s="224"/>
      <c r="L74" s="224"/>
      <c r="M74" s="224"/>
    </row>
    <row r="75" spans="2:13" x14ac:dyDescent="0.25">
      <c r="B75" s="224"/>
      <c r="C75" s="224"/>
      <c r="D75" s="224"/>
      <c r="E75" s="224"/>
      <c r="F75" s="224"/>
      <c r="G75" s="224"/>
      <c r="H75" s="224"/>
      <c r="I75" s="224"/>
      <c r="J75" s="224"/>
      <c r="K75" s="224"/>
      <c r="L75" s="224"/>
      <c r="M75" s="224"/>
    </row>
    <row r="76" spans="2:13" x14ac:dyDescent="0.25">
      <c r="B76" s="224"/>
      <c r="C76" s="224"/>
      <c r="D76" s="224"/>
      <c r="E76" s="224"/>
      <c r="F76" s="224"/>
      <c r="G76" s="224"/>
      <c r="H76" s="224"/>
      <c r="I76" s="224"/>
      <c r="J76" s="224"/>
      <c r="K76" s="224"/>
      <c r="L76" s="224"/>
      <c r="M76" s="224"/>
    </row>
    <row r="77" spans="2:13" x14ac:dyDescent="0.25">
      <c r="B77" s="224"/>
      <c r="C77" s="224"/>
      <c r="D77" s="224"/>
      <c r="E77" s="224"/>
      <c r="F77" s="224"/>
      <c r="G77" s="224"/>
      <c r="H77" s="224"/>
      <c r="I77" s="224"/>
      <c r="J77" s="224"/>
      <c r="K77" s="224"/>
      <c r="L77" s="224"/>
      <c r="M77" s="224"/>
    </row>
    <row r="78" spans="2:13" x14ac:dyDescent="0.25">
      <c r="B78" s="224"/>
      <c r="C78" s="224"/>
      <c r="D78" s="224"/>
      <c r="E78" s="224"/>
      <c r="F78" s="224"/>
      <c r="G78" s="224"/>
      <c r="H78" s="224"/>
      <c r="I78" s="224"/>
      <c r="J78" s="224"/>
      <c r="K78" s="224"/>
      <c r="L78" s="224"/>
      <c r="M78" s="224"/>
    </row>
    <row r="79" spans="2:13" x14ac:dyDescent="0.25">
      <c r="B79" s="236" t="s">
        <v>437</v>
      </c>
      <c r="C79" s="223"/>
      <c r="D79" s="223"/>
      <c r="E79" s="223"/>
      <c r="F79" s="223"/>
      <c r="G79" s="223"/>
      <c r="H79" s="235" t="str">
        <f>CertNum</f>
        <v>NI-MC-B-XXX-2020</v>
      </c>
      <c r="I79" s="223"/>
      <c r="J79" s="223"/>
      <c r="K79" s="223"/>
      <c r="L79" s="223"/>
      <c r="M79" s="223"/>
    </row>
    <row r="80" spans="2:13" x14ac:dyDescent="0.25">
      <c r="B80" s="224"/>
      <c r="C80" s="224"/>
      <c r="D80" s="224"/>
      <c r="E80" s="224"/>
      <c r="F80" s="224"/>
      <c r="G80" s="224"/>
      <c r="H80" s="224"/>
      <c r="I80" s="224"/>
      <c r="J80" s="224"/>
      <c r="K80" s="224"/>
      <c r="L80" s="224"/>
      <c r="M80" s="224"/>
    </row>
    <row r="81" spans="2:27" x14ac:dyDescent="0.25">
      <c r="B81" s="224"/>
      <c r="C81" s="224"/>
      <c r="D81" s="224"/>
      <c r="E81" s="224"/>
      <c r="F81" s="224"/>
      <c r="G81" s="224"/>
      <c r="H81" s="224"/>
      <c r="I81" s="224"/>
      <c r="J81" s="224"/>
      <c r="K81" s="224"/>
      <c r="L81" s="224"/>
      <c r="M81" s="224"/>
    </row>
    <row r="82" spans="2:27" x14ac:dyDescent="0.25">
      <c r="B82" s="226" t="s">
        <v>441</v>
      </c>
    </row>
    <row r="83" spans="2:27" ht="12.75" customHeight="1" x14ac:dyDescent="0.25">
      <c r="B83" s="372" t="s">
        <v>440</v>
      </c>
      <c r="C83" s="372"/>
      <c r="D83" s="372"/>
      <c r="E83" s="372"/>
      <c r="F83" s="372"/>
      <c r="G83" s="372"/>
      <c r="H83" s="372"/>
      <c r="I83" s="372"/>
      <c r="J83" s="372"/>
      <c r="K83" s="372"/>
      <c r="L83" s="372"/>
      <c r="M83" s="372"/>
    </row>
    <row r="84" spans="2:27" x14ac:dyDescent="0.25">
      <c r="B84" s="372"/>
      <c r="C84" s="372"/>
      <c r="D84" s="372"/>
      <c r="E84" s="372"/>
      <c r="F84" s="372"/>
      <c r="G84" s="372"/>
      <c r="H84" s="372"/>
      <c r="I84" s="372"/>
      <c r="J84" s="372"/>
      <c r="K84" s="372"/>
      <c r="L84" s="372"/>
      <c r="M84" s="372"/>
    </row>
    <row r="85" spans="2:27" x14ac:dyDescent="0.25">
      <c r="B85" s="372"/>
      <c r="C85" s="372"/>
      <c r="D85" s="372"/>
      <c r="E85" s="372"/>
      <c r="F85" s="372"/>
      <c r="G85" s="372"/>
      <c r="H85" s="372"/>
      <c r="I85" s="372"/>
      <c r="J85" s="372"/>
      <c r="K85" s="372"/>
      <c r="L85" s="372"/>
      <c r="M85" s="372"/>
    </row>
    <row r="86" spans="2:27" x14ac:dyDescent="0.25">
      <c r="B86" s="223"/>
      <c r="C86" s="223"/>
      <c r="D86" s="223"/>
      <c r="E86" s="223"/>
      <c r="F86" s="223"/>
      <c r="G86" s="223"/>
      <c r="H86" s="223"/>
      <c r="I86" s="223"/>
      <c r="J86" s="223"/>
      <c r="K86" s="223"/>
      <c r="L86" s="223"/>
      <c r="M86" s="223"/>
    </row>
    <row r="87" spans="2:27" x14ac:dyDescent="0.25">
      <c r="B87" s="226" t="s">
        <v>439</v>
      </c>
      <c r="C87" s="225"/>
      <c r="D87" s="225"/>
      <c r="E87" s="225"/>
      <c r="F87" s="225"/>
      <c r="G87" s="225"/>
      <c r="H87" s="225"/>
      <c r="I87" s="225"/>
      <c r="J87" s="225"/>
      <c r="K87" s="225"/>
      <c r="L87" s="225"/>
      <c r="M87" s="225"/>
      <c r="N87" s="225"/>
      <c r="O87" s="225"/>
      <c r="P87" s="225"/>
      <c r="Q87" s="225"/>
      <c r="R87" s="225"/>
      <c r="S87" s="225"/>
      <c r="T87" s="225"/>
      <c r="U87" s="225"/>
      <c r="V87" s="225"/>
      <c r="W87" s="225"/>
      <c r="X87" s="225"/>
    </row>
    <row r="88" spans="2:27" ht="14.4" customHeight="1" x14ac:dyDescent="0.25">
      <c r="B88" s="372" t="s">
        <v>438</v>
      </c>
      <c r="C88" s="372"/>
      <c r="D88" s="372"/>
      <c r="E88" s="372"/>
      <c r="F88" s="372"/>
      <c r="G88" s="372"/>
      <c r="H88" s="372"/>
      <c r="I88" s="372"/>
      <c r="J88" s="372"/>
      <c r="K88" s="372"/>
      <c r="L88" s="372"/>
      <c r="M88" s="372"/>
      <c r="N88" s="225"/>
      <c r="O88" s="225"/>
      <c r="P88" s="225"/>
      <c r="Q88" s="225"/>
      <c r="R88" s="225"/>
      <c r="S88" s="225"/>
      <c r="T88" s="225"/>
      <c r="U88" s="225"/>
      <c r="V88" s="225"/>
      <c r="W88" s="225"/>
      <c r="X88" s="225"/>
      <c r="Y88" s="225"/>
      <c r="Z88" s="225"/>
      <c r="AA88" s="225"/>
    </row>
    <row r="89" spans="2:27" x14ac:dyDescent="0.25">
      <c r="B89" s="372"/>
      <c r="C89" s="372"/>
      <c r="D89" s="372"/>
      <c r="E89" s="372"/>
      <c r="F89" s="372"/>
      <c r="G89" s="372"/>
      <c r="H89" s="372"/>
      <c r="I89" s="372"/>
      <c r="J89" s="372"/>
      <c r="K89" s="372"/>
      <c r="L89" s="372"/>
      <c r="M89" s="372"/>
      <c r="N89" s="225"/>
      <c r="O89" s="225"/>
      <c r="P89" s="225"/>
      <c r="Q89" s="225"/>
      <c r="R89" s="225"/>
      <c r="S89" s="225"/>
      <c r="T89" s="225"/>
      <c r="U89" s="225"/>
      <c r="V89" s="225"/>
      <c r="W89" s="225"/>
      <c r="X89" s="225"/>
      <c r="Y89" s="225"/>
      <c r="Z89" s="225"/>
      <c r="AA89" s="225"/>
    </row>
    <row r="90" spans="2:27" x14ac:dyDescent="0.25">
      <c r="B90" s="372"/>
      <c r="C90" s="372"/>
      <c r="D90" s="372"/>
      <c r="E90" s="372"/>
      <c r="F90" s="372"/>
      <c r="G90" s="372"/>
      <c r="H90" s="372"/>
      <c r="I90" s="372"/>
      <c r="J90" s="372"/>
      <c r="K90" s="372"/>
      <c r="L90" s="372"/>
      <c r="M90" s="372"/>
      <c r="N90" s="225"/>
      <c r="O90" s="225"/>
      <c r="P90" s="225"/>
      <c r="Q90" s="225"/>
      <c r="R90" s="225"/>
      <c r="S90" s="225"/>
      <c r="T90" s="225"/>
      <c r="U90" s="225"/>
      <c r="V90" s="225"/>
      <c r="W90" s="225"/>
      <c r="X90" s="225"/>
      <c r="Y90" s="225"/>
      <c r="Z90" s="225"/>
      <c r="AA90" s="225"/>
    </row>
    <row r="91" spans="2:27" x14ac:dyDescent="0.25">
      <c r="B91" s="372"/>
      <c r="C91" s="372"/>
      <c r="D91" s="372"/>
      <c r="E91" s="372"/>
      <c r="F91" s="372"/>
      <c r="G91" s="372"/>
      <c r="H91" s="372"/>
      <c r="I91" s="372"/>
      <c r="J91" s="372"/>
      <c r="K91" s="372"/>
      <c r="L91" s="372"/>
      <c r="M91" s="372"/>
      <c r="N91" s="225"/>
      <c r="O91" s="225"/>
      <c r="P91" s="225"/>
      <c r="Q91" s="225"/>
      <c r="R91" s="225"/>
      <c r="S91" s="225"/>
      <c r="T91" s="225"/>
      <c r="U91" s="225"/>
      <c r="V91" s="225"/>
      <c r="W91" s="225"/>
      <c r="X91" s="225"/>
      <c r="Y91" s="225"/>
      <c r="Z91" s="225"/>
      <c r="AA91" s="225"/>
    </row>
    <row r="92" spans="2:27" x14ac:dyDescent="0.25">
      <c r="B92" s="372"/>
      <c r="C92" s="372"/>
      <c r="D92" s="372"/>
      <c r="E92" s="372"/>
      <c r="F92" s="372"/>
      <c r="G92" s="372"/>
      <c r="H92" s="372"/>
      <c r="I92" s="372"/>
      <c r="J92" s="372"/>
      <c r="K92" s="372"/>
      <c r="L92" s="372"/>
      <c r="M92" s="372"/>
      <c r="N92" s="225"/>
      <c r="O92" s="225"/>
      <c r="P92" s="225"/>
      <c r="Q92" s="225"/>
      <c r="R92" s="225"/>
      <c r="S92" s="225"/>
      <c r="T92" s="225"/>
      <c r="U92" s="225"/>
      <c r="V92" s="225"/>
      <c r="W92" s="225"/>
      <c r="X92" s="225"/>
      <c r="Y92" s="225"/>
      <c r="Z92" s="225"/>
      <c r="AA92" s="225"/>
    </row>
    <row r="93" spans="2:27" x14ac:dyDescent="0.25">
      <c r="B93" s="230"/>
      <c r="C93" s="230"/>
      <c r="D93" s="230"/>
      <c r="E93" s="230"/>
      <c r="F93" s="230"/>
      <c r="G93" s="230"/>
      <c r="H93" s="230"/>
      <c r="I93" s="230"/>
      <c r="J93" s="230"/>
      <c r="K93" s="230"/>
      <c r="L93" s="230"/>
      <c r="M93" s="230"/>
      <c r="N93" s="225"/>
      <c r="O93" s="225"/>
      <c r="P93" s="225"/>
      <c r="Q93" s="225"/>
      <c r="R93" s="225"/>
      <c r="S93" s="225"/>
      <c r="T93" s="225"/>
      <c r="U93" s="225"/>
      <c r="V93" s="225"/>
      <c r="W93" s="225"/>
      <c r="X93" s="225"/>
      <c r="Y93" s="225"/>
      <c r="Z93" s="225"/>
      <c r="AA93" s="225"/>
    </row>
    <row r="94" spans="2:27" x14ac:dyDescent="0.25">
      <c r="B94" s="226" t="s">
        <v>436</v>
      </c>
      <c r="C94" s="223"/>
      <c r="D94" s="223"/>
      <c r="E94" s="223"/>
      <c r="F94" s="223"/>
      <c r="G94" s="223"/>
      <c r="H94" s="223"/>
      <c r="I94" s="223"/>
      <c r="J94" s="223"/>
      <c r="K94" s="223"/>
      <c r="L94" s="223"/>
      <c r="M94" s="223"/>
    </row>
    <row r="95" spans="2:27" ht="7.2" customHeight="1" x14ac:dyDescent="0.25">
      <c r="B95" s="223"/>
      <c r="C95" s="223"/>
      <c r="D95" s="223"/>
      <c r="E95" s="223"/>
      <c r="F95" s="223"/>
      <c r="G95" s="223"/>
      <c r="H95" s="223"/>
      <c r="I95" s="223"/>
      <c r="J95" s="223"/>
      <c r="K95" s="223"/>
      <c r="L95" s="223"/>
      <c r="M95" s="223"/>
    </row>
    <row r="96" spans="2:27" x14ac:dyDescent="0.25">
      <c r="B96" s="361" t="str">
        <f>Calibración!CP4</f>
        <v>Descripción</v>
      </c>
      <c r="C96" s="361"/>
      <c r="D96" s="229" t="str">
        <f>Calibración!CR4</f>
        <v>Marca</v>
      </c>
      <c r="E96" s="361" t="str">
        <f>Calibración!CS4</f>
        <v>Código</v>
      </c>
      <c r="F96" s="361"/>
      <c r="G96" s="361"/>
      <c r="H96" s="361" t="str">
        <f>Calibración!CT4</f>
        <v>Trazabilidad</v>
      </c>
      <c r="I96" s="361"/>
      <c r="J96" s="361"/>
      <c r="K96" s="361"/>
      <c r="L96" s="365" t="str">
        <f>Calibración!CU4</f>
        <v>Próx. Calibr.</v>
      </c>
      <c r="M96" s="365"/>
    </row>
    <row r="97" spans="2:13" x14ac:dyDescent="0.25">
      <c r="B97" s="374" t="s">
        <v>435</v>
      </c>
      <c r="C97" s="374"/>
      <c r="D97" s="228" t="str">
        <f>VLOOKUP(E97,'BD Patron'!C6:O10,2,FALSE)</f>
        <v>Extech</v>
      </c>
      <c r="E97" s="362" t="str">
        <f>General!I4</f>
        <v>NI-MCPPT-06</v>
      </c>
      <c r="F97" s="362"/>
      <c r="G97" s="362"/>
      <c r="H97" s="362" t="str">
        <f>VLOOKUP(E97,'BD Patron'!C6:O10,11,FALSE)</f>
        <v>SCM Metrología y Laboratorios SCM-00039471</v>
      </c>
      <c r="I97" s="362"/>
      <c r="J97" s="362"/>
      <c r="K97" s="362"/>
      <c r="L97" s="373">
        <f>VLOOKUP(E97,'BD Patron'!C6:O10,10,FALSE)+731</f>
        <v>45570</v>
      </c>
      <c r="M97" s="373"/>
    </row>
    <row r="98" spans="2:13" x14ac:dyDescent="0.25">
      <c r="B98" s="355" t="str">
        <f>Calibración!CP6</f>
        <v/>
      </c>
      <c r="C98" s="355"/>
      <c r="D98" s="227" t="str">
        <f>Calibración!CR6</f>
        <v/>
      </c>
      <c r="E98" s="356" t="str">
        <f>Calibración!CS6</f>
        <v/>
      </c>
      <c r="F98" s="356"/>
      <c r="G98" s="356"/>
      <c r="H98" s="356" t="str">
        <f>Calibración!CT6</f>
        <v/>
      </c>
      <c r="I98" s="356"/>
      <c r="J98" s="356"/>
      <c r="K98" s="356"/>
      <c r="L98" s="357" t="str">
        <f>Calibración!CU6</f>
        <v/>
      </c>
      <c r="M98" s="357"/>
    </row>
    <row r="99" spans="2:13" x14ac:dyDescent="0.25">
      <c r="B99" s="355" t="str">
        <f>Calibración!CP7</f>
        <v/>
      </c>
      <c r="C99" s="355"/>
      <c r="D99" s="227" t="str">
        <f>Calibración!CR7</f>
        <v/>
      </c>
      <c r="E99" s="356" t="str">
        <f>Calibración!CS7</f>
        <v/>
      </c>
      <c r="F99" s="356"/>
      <c r="G99" s="356"/>
      <c r="H99" s="356" t="str">
        <f>Calibración!CT7</f>
        <v/>
      </c>
      <c r="I99" s="356"/>
      <c r="J99" s="356"/>
      <c r="K99" s="356"/>
      <c r="L99" s="357" t="str">
        <f>Calibración!CU7</f>
        <v/>
      </c>
      <c r="M99" s="357"/>
    </row>
    <row r="100" spans="2:13" x14ac:dyDescent="0.25">
      <c r="B100" s="355" t="str">
        <f>Calibración!CP8</f>
        <v/>
      </c>
      <c r="C100" s="355"/>
      <c r="D100" s="227" t="str">
        <f>Calibración!CR8</f>
        <v/>
      </c>
      <c r="E100" s="356" t="str">
        <f>Calibración!CS8</f>
        <v/>
      </c>
      <c r="F100" s="356"/>
      <c r="G100" s="356"/>
      <c r="H100" s="356" t="str">
        <f>Calibración!CT8</f>
        <v/>
      </c>
      <c r="I100" s="356"/>
      <c r="J100" s="356"/>
      <c r="K100" s="356"/>
      <c r="L100" s="357" t="str">
        <f>Calibración!CU8</f>
        <v/>
      </c>
      <c r="M100" s="357"/>
    </row>
    <row r="101" spans="2:13" x14ac:dyDescent="0.25">
      <c r="B101" s="355" t="str">
        <f>Calibración!CP9</f>
        <v/>
      </c>
      <c r="C101" s="355"/>
      <c r="D101" s="227" t="str">
        <f>Calibración!CR9</f>
        <v/>
      </c>
      <c r="E101" s="356" t="str">
        <f>Calibración!CS9</f>
        <v/>
      </c>
      <c r="F101" s="356"/>
      <c r="G101" s="356"/>
      <c r="H101" s="356" t="str">
        <f>Calibración!CT9</f>
        <v/>
      </c>
      <c r="I101" s="356"/>
      <c r="J101" s="356"/>
      <c r="K101" s="356"/>
      <c r="L101" s="357" t="str">
        <f>Calibración!CU9</f>
        <v/>
      </c>
      <c r="M101" s="357"/>
    </row>
    <row r="102" spans="2:13" hidden="1" x14ac:dyDescent="0.25">
      <c r="B102" s="378" t="str">
        <f>Calibración!CP10</f>
        <v/>
      </c>
      <c r="C102" s="378"/>
      <c r="D102" s="246" t="str">
        <f>Calibración!CR10</f>
        <v/>
      </c>
      <c r="E102" s="379" t="str">
        <f>Calibración!CS10</f>
        <v/>
      </c>
      <c r="F102" s="379"/>
      <c r="G102" s="379"/>
      <c r="H102" s="379" t="str">
        <f>Calibración!CT10</f>
        <v/>
      </c>
      <c r="I102" s="379"/>
      <c r="J102" s="379"/>
      <c r="K102" s="379"/>
      <c r="L102" s="382" t="str">
        <f>Calibración!CU10</f>
        <v/>
      </c>
      <c r="M102" s="382"/>
    </row>
    <row r="103" spans="2:13" hidden="1" x14ac:dyDescent="0.25">
      <c r="B103" s="377" t="str">
        <f>Calibración!CP11</f>
        <v/>
      </c>
      <c r="C103" s="377"/>
      <c r="D103" s="245" t="str">
        <f>Calibración!CR11</f>
        <v/>
      </c>
      <c r="E103" s="375" t="str">
        <f>Calibración!CS11</f>
        <v/>
      </c>
      <c r="F103" s="375"/>
      <c r="G103" s="375"/>
      <c r="H103" s="375" t="str">
        <f>Calibración!CT11</f>
        <v/>
      </c>
      <c r="I103" s="375"/>
      <c r="J103" s="375"/>
      <c r="K103" s="375"/>
      <c r="L103" s="376" t="str">
        <f>Calibración!CU11</f>
        <v/>
      </c>
      <c r="M103" s="376"/>
    </row>
    <row r="104" spans="2:13" hidden="1" x14ac:dyDescent="0.25">
      <c r="B104" s="377" t="str">
        <f>Calibración!CP12</f>
        <v/>
      </c>
      <c r="C104" s="377"/>
      <c r="D104" s="245" t="str">
        <f>Calibración!CR12</f>
        <v/>
      </c>
      <c r="E104" s="375" t="str">
        <f>Calibración!CS12</f>
        <v/>
      </c>
      <c r="F104" s="375"/>
      <c r="G104" s="375"/>
      <c r="H104" s="375" t="str">
        <f>Calibración!CT12</f>
        <v/>
      </c>
      <c r="I104" s="375"/>
      <c r="J104" s="375"/>
      <c r="K104" s="375"/>
      <c r="L104" s="376" t="str">
        <f>Calibración!CU12</f>
        <v/>
      </c>
      <c r="M104" s="376"/>
    </row>
    <row r="105" spans="2:13" hidden="1" x14ac:dyDescent="0.25">
      <c r="B105" s="377" t="str">
        <f>Calibración!CP13</f>
        <v/>
      </c>
      <c r="C105" s="377"/>
      <c r="D105" s="245" t="str">
        <f>Calibración!CR13</f>
        <v/>
      </c>
      <c r="E105" s="375" t="str">
        <f>Calibración!CS13</f>
        <v/>
      </c>
      <c r="F105" s="375"/>
      <c r="G105" s="375"/>
      <c r="H105" s="375" t="str">
        <f>Calibración!CT13</f>
        <v/>
      </c>
      <c r="I105" s="375"/>
      <c r="J105" s="375"/>
      <c r="K105" s="375"/>
      <c r="L105" s="376" t="str">
        <f>Calibración!CU13</f>
        <v/>
      </c>
      <c r="M105" s="376"/>
    </row>
    <row r="106" spans="2:13" hidden="1" x14ac:dyDescent="0.25">
      <c r="B106" s="377" t="str">
        <f>Calibración!CP14</f>
        <v/>
      </c>
      <c r="C106" s="377"/>
      <c r="D106" s="245" t="str">
        <f>Calibración!CR14</f>
        <v/>
      </c>
      <c r="E106" s="375" t="str">
        <f>Calibración!CS14</f>
        <v/>
      </c>
      <c r="F106" s="375"/>
      <c r="G106" s="375"/>
      <c r="H106" s="375" t="str">
        <f>Calibración!CT14</f>
        <v/>
      </c>
      <c r="I106" s="375"/>
      <c r="J106" s="375"/>
      <c r="K106" s="375"/>
      <c r="L106" s="376" t="str">
        <f>Calibración!CU14</f>
        <v/>
      </c>
      <c r="M106" s="376"/>
    </row>
    <row r="107" spans="2:13" hidden="1" x14ac:dyDescent="0.25">
      <c r="B107" s="377" t="str">
        <f>Calibración!CP15</f>
        <v/>
      </c>
      <c r="C107" s="377"/>
      <c r="D107" s="245" t="str">
        <f>Calibración!CR15</f>
        <v/>
      </c>
      <c r="E107" s="375" t="str">
        <f>Calibración!CS15</f>
        <v/>
      </c>
      <c r="F107" s="375"/>
      <c r="G107" s="375"/>
      <c r="H107" s="375" t="str">
        <f>Calibración!CT15</f>
        <v/>
      </c>
      <c r="I107" s="375"/>
      <c r="J107" s="375"/>
      <c r="K107" s="375"/>
      <c r="L107" s="376" t="str">
        <f>Calibración!CU15</f>
        <v/>
      </c>
      <c r="M107" s="376"/>
    </row>
    <row r="108" spans="2:13" hidden="1" x14ac:dyDescent="0.25">
      <c r="B108" s="377" t="str">
        <f>Calibración!CP16</f>
        <v/>
      </c>
      <c r="C108" s="377"/>
      <c r="D108" s="245" t="str">
        <f>Calibración!CR16</f>
        <v/>
      </c>
      <c r="E108" s="375" t="str">
        <f>Calibración!CS16</f>
        <v/>
      </c>
      <c r="F108" s="375"/>
      <c r="G108" s="375"/>
      <c r="H108" s="375" t="str">
        <f>Calibración!CT16</f>
        <v/>
      </c>
      <c r="I108" s="375"/>
      <c r="J108" s="375"/>
      <c r="K108" s="375"/>
      <c r="L108" s="376" t="str">
        <f>Calibración!CU16</f>
        <v/>
      </c>
      <c r="M108" s="376"/>
    </row>
    <row r="109" spans="2:13" hidden="1" x14ac:dyDescent="0.25">
      <c r="B109" s="377" t="str">
        <f>Calibración!CP17</f>
        <v/>
      </c>
      <c r="C109" s="377"/>
      <c r="D109" s="245" t="str">
        <f>Calibración!CR17</f>
        <v/>
      </c>
      <c r="E109" s="375" t="str">
        <f>Calibración!CS17</f>
        <v/>
      </c>
      <c r="F109" s="375"/>
      <c r="G109" s="375"/>
      <c r="H109" s="375" t="str">
        <f>Calibración!CT17</f>
        <v/>
      </c>
      <c r="I109" s="375"/>
      <c r="J109" s="375"/>
      <c r="K109" s="375"/>
      <c r="L109" s="376" t="str">
        <f>Calibración!CU17</f>
        <v/>
      </c>
      <c r="M109" s="376"/>
    </row>
    <row r="110" spans="2:13" hidden="1" x14ac:dyDescent="0.25">
      <c r="B110" s="377" t="str">
        <f>Calibración!CP18</f>
        <v/>
      </c>
      <c r="C110" s="377"/>
      <c r="D110" s="245" t="str">
        <f>Calibración!CR18</f>
        <v/>
      </c>
      <c r="E110" s="375" t="str">
        <f>Calibración!CS18</f>
        <v/>
      </c>
      <c r="F110" s="375"/>
      <c r="G110" s="375"/>
      <c r="H110" s="375" t="str">
        <f>Calibración!CT18</f>
        <v/>
      </c>
      <c r="I110" s="375"/>
      <c r="J110" s="375"/>
      <c r="K110" s="375"/>
      <c r="L110" s="376" t="str">
        <f>Calibración!CU18</f>
        <v/>
      </c>
      <c r="M110" s="376"/>
    </row>
    <row r="111" spans="2:13" hidden="1" x14ac:dyDescent="0.25">
      <c r="B111" s="377" t="str">
        <f>Calibración!CP19</f>
        <v/>
      </c>
      <c r="C111" s="377"/>
      <c r="D111" s="245" t="str">
        <f>Calibración!CR19</f>
        <v/>
      </c>
      <c r="E111" s="375" t="str">
        <f>Calibración!CS19</f>
        <v/>
      </c>
      <c r="F111" s="375"/>
      <c r="G111" s="375"/>
      <c r="H111" s="375" t="str">
        <f>Calibración!CT19</f>
        <v/>
      </c>
      <c r="I111" s="375"/>
      <c r="J111" s="375"/>
      <c r="K111" s="375"/>
      <c r="L111" s="376" t="str">
        <f>Calibración!CU19</f>
        <v/>
      </c>
      <c r="M111" s="376"/>
    </row>
    <row r="112" spans="2:13" hidden="1" x14ac:dyDescent="0.25">
      <c r="B112" s="377" t="str">
        <f>Calibración!CP20</f>
        <v/>
      </c>
      <c r="C112" s="377"/>
      <c r="D112" s="245" t="str">
        <f>Calibración!CR20</f>
        <v/>
      </c>
      <c r="E112" s="375" t="str">
        <f>Calibración!CS20</f>
        <v/>
      </c>
      <c r="F112" s="375"/>
      <c r="G112" s="375"/>
      <c r="H112" s="375" t="str">
        <f>Calibración!CT20</f>
        <v/>
      </c>
      <c r="I112" s="375"/>
      <c r="J112" s="375"/>
      <c r="K112" s="375"/>
      <c r="L112" s="376" t="str">
        <f>Calibración!CU20</f>
        <v/>
      </c>
      <c r="M112" s="376"/>
    </row>
    <row r="113" spans="2:20" hidden="1" x14ac:dyDescent="0.25">
      <c r="B113" s="377" t="str">
        <f>Calibración!CP21</f>
        <v/>
      </c>
      <c r="C113" s="377"/>
      <c r="D113" s="245" t="str">
        <f>Calibración!CR21</f>
        <v/>
      </c>
      <c r="E113" s="375" t="str">
        <f>Calibración!CS21</f>
        <v/>
      </c>
      <c r="F113" s="375"/>
      <c r="G113" s="375"/>
      <c r="H113" s="375" t="str">
        <f>Calibración!CT21</f>
        <v/>
      </c>
      <c r="I113" s="375"/>
      <c r="J113" s="375"/>
      <c r="K113" s="375"/>
      <c r="L113" s="376" t="str">
        <f>Calibración!CU21</f>
        <v/>
      </c>
      <c r="M113" s="376"/>
    </row>
    <row r="114" spans="2:20" hidden="1" x14ac:dyDescent="0.25">
      <c r="B114" s="377" t="str">
        <f>Calibración!CP22</f>
        <v/>
      </c>
      <c r="C114" s="377"/>
      <c r="D114" s="245" t="str">
        <f>Calibración!CR22</f>
        <v/>
      </c>
      <c r="E114" s="375" t="str">
        <f>Calibración!CS22</f>
        <v/>
      </c>
      <c r="F114" s="375"/>
      <c r="G114" s="375"/>
      <c r="H114" s="375" t="str">
        <f>Calibración!CT22</f>
        <v/>
      </c>
      <c r="I114" s="375"/>
      <c r="J114" s="375"/>
      <c r="K114" s="375"/>
      <c r="L114" s="376" t="str">
        <f>Calibración!CU22</f>
        <v/>
      </c>
      <c r="M114" s="376"/>
    </row>
    <row r="115" spans="2:20" hidden="1" x14ac:dyDescent="0.25">
      <c r="B115" s="377" t="str">
        <f>Calibración!CP23</f>
        <v/>
      </c>
      <c r="C115" s="377"/>
      <c r="D115" s="245" t="str">
        <f>Calibración!CR23</f>
        <v/>
      </c>
      <c r="E115" s="375" t="str">
        <f>Calibración!CS23</f>
        <v/>
      </c>
      <c r="F115" s="375"/>
      <c r="G115" s="375"/>
      <c r="H115" s="375" t="str">
        <f>Calibración!CT23</f>
        <v/>
      </c>
      <c r="I115" s="375"/>
      <c r="J115" s="375"/>
      <c r="K115" s="375"/>
      <c r="L115" s="376" t="str">
        <f>Calibración!CU23</f>
        <v/>
      </c>
      <c r="M115" s="376"/>
    </row>
    <row r="116" spans="2:20" hidden="1" x14ac:dyDescent="0.25">
      <c r="B116" s="377" t="str">
        <f>Calibración!CP24</f>
        <v/>
      </c>
      <c r="C116" s="377"/>
      <c r="D116" s="245" t="str">
        <f>Calibración!CR24</f>
        <v/>
      </c>
      <c r="E116" s="375" t="str">
        <f>Calibración!CS24</f>
        <v/>
      </c>
      <c r="F116" s="375"/>
      <c r="G116" s="375"/>
      <c r="H116" s="375" t="str">
        <f>Calibración!CT24</f>
        <v/>
      </c>
      <c r="I116" s="375"/>
      <c r="J116" s="375"/>
      <c r="K116" s="375"/>
      <c r="L116" s="376" t="str">
        <f>Calibración!CU24</f>
        <v/>
      </c>
      <c r="M116" s="376"/>
    </row>
    <row r="117" spans="2:20" hidden="1" x14ac:dyDescent="0.25">
      <c r="B117" s="377" t="str">
        <f>Calibración!CP25</f>
        <v/>
      </c>
      <c r="C117" s="377"/>
      <c r="D117" s="245" t="str">
        <f>Calibración!CR25</f>
        <v/>
      </c>
      <c r="E117" s="375" t="str">
        <f>Calibración!CS25</f>
        <v/>
      </c>
      <c r="F117" s="375"/>
      <c r="G117" s="375"/>
      <c r="H117" s="375" t="str">
        <f>Calibración!CT25</f>
        <v/>
      </c>
      <c r="I117" s="375"/>
      <c r="J117" s="375"/>
      <c r="K117" s="375"/>
      <c r="L117" s="376" t="str">
        <f>Calibración!CU25</f>
        <v/>
      </c>
      <c r="M117" s="376"/>
    </row>
    <row r="118" spans="2:20" x14ac:dyDescent="0.25">
      <c r="B118" s="232"/>
      <c r="C118" s="232"/>
      <c r="D118" s="223"/>
      <c r="E118" s="223"/>
      <c r="F118" s="223"/>
      <c r="G118" s="223"/>
      <c r="H118" s="223"/>
      <c r="I118" s="223"/>
      <c r="J118" s="223"/>
      <c r="K118" s="223"/>
      <c r="L118" s="244"/>
      <c r="M118" s="244"/>
    </row>
    <row r="119" spans="2:20" x14ac:dyDescent="0.25">
      <c r="B119" s="232"/>
      <c r="C119" s="232"/>
      <c r="D119" s="223"/>
      <c r="E119" s="223"/>
      <c r="F119" s="223"/>
      <c r="G119" s="223"/>
      <c r="H119" s="223"/>
      <c r="I119" s="223"/>
      <c r="J119" s="223"/>
      <c r="K119" s="223"/>
      <c r="L119" s="244"/>
      <c r="M119" s="244"/>
    </row>
    <row r="120" spans="2:20" x14ac:dyDescent="0.25">
      <c r="B120" s="226" t="s">
        <v>434</v>
      </c>
    </row>
    <row r="121" spans="2:20" x14ac:dyDescent="0.25">
      <c r="B121" s="221" t="s">
        <v>433</v>
      </c>
    </row>
    <row r="122" spans="2:20" x14ac:dyDescent="0.25">
      <c r="B122" s="221" t="s">
        <v>476</v>
      </c>
    </row>
    <row r="123" spans="2:20" x14ac:dyDescent="0.25">
      <c r="B123" s="221" t="s">
        <v>433</v>
      </c>
    </row>
    <row r="124" spans="2:20" x14ac:dyDescent="0.25">
      <c r="B124" s="221" t="s">
        <v>432</v>
      </c>
      <c r="S124" s="225"/>
      <c r="T124" s="225"/>
    </row>
    <row r="125" spans="2:20" x14ac:dyDescent="0.25">
      <c r="B125" s="221" t="s">
        <v>431</v>
      </c>
      <c r="S125" s="225"/>
      <c r="T125" s="225"/>
    </row>
    <row r="126" spans="2:20" x14ac:dyDescent="0.25">
      <c r="B126" s="221" t="s">
        <v>430</v>
      </c>
    </row>
    <row r="127" spans="2:20" x14ac:dyDescent="0.25">
      <c r="B127" s="221" t="s">
        <v>429</v>
      </c>
    </row>
    <row r="128" spans="2:20" x14ac:dyDescent="0.25">
      <c r="B128" s="221" t="s">
        <v>428</v>
      </c>
    </row>
    <row r="129" spans="2:13" x14ac:dyDescent="0.25">
      <c r="B129" s="223"/>
      <c r="C129" s="223"/>
      <c r="D129" s="223"/>
      <c r="E129" s="223"/>
      <c r="F129" s="223"/>
      <c r="J129" s="223"/>
      <c r="K129" s="223"/>
      <c r="L129" s="223"/>
      <c r="M129" s="223"/>
    </row>
    <row r="132" spans="2:13" x14ac:dyDescent="0.25">
      <c r="F132" s="364"/>
      <c r="G132" s="364"/>
      <c r="H132" s="364"/>
      <c r="I132" s="364"/>
    </row>
    <row r="133" spans="2:13" ht="15" customHeight="1" x14ac:dyDescent="0.25">
      <c r="F133" s="368" t="s">
        <v>67</v>
      </c>
      <c r="G133" s="368"/>
      <c r="H133" s="368"/>
      <c r="I133" s="368"/>
    </row>
    <row r="134" spans="2:13" ht="15" customHeight="1" x14ac:dyDescent="0.25">
      <c r="F134" s="368" t="s">
        <v>427</v>
      </c>
      <c r="G134" s="368"/>
      <c r="H134" s="368"/>
      <c r="I134" s="368"/>
    </row>
    <row r="135" spans="2:13" ht="15" customHeight="1" x14ac:dyDescent="0.25">
      <c r="F135" s="369" t="s">
        <v>426</v>
      </c>
      <c r="G135" s="369"/>
      <c r="H135" s="369"/>
      <c r="I135" s="369"/>
    </row>
    <row r="138" spans="2:13" ht="15" customHeight="1" x14ac:dyDescent="0.25">
      <c r="E138" s="369" t="s">
        <v>425</v>
      </c>
      <c r="F138" s="369"/>
      <c r="G138" s="369"/>
      <c r="H138" s="369"/>
      <c r="I138" s="369"/>
      <c r="J138" s="369"/>
    </row>
  </sheetData>
  <mergeCells count="183">
    <mergeCell ref="H12:I12"/>
    <mergeCell ref="F134:I134"/>
    <mergeCell ref="F135:I135"/>
    <mergeCell ref="E138:J138"/>
    <mergeCell ref="B117:C117"/>
    <mergeCell ref="E117:G117"/>
    <mergeCell ref="H117:K117"/>
    <mergeCell ref="B111:C111"/>
    <mergeCell ref="E111:G111"/>
    <mergeCell ref="H111:K111"/>
    <mergeCell ref="B113:C113"/>
    <mergeCell ref="E113:G113"/>
    <mergeCell ref="H113:K113"/>
    <mergeCell ref="B109:C109"/>
    <mergeCell ref="E109:G109"/>
    <mergeCell ref="H109:K109"/>
    <mergeCell ref="B104:C104"/>
    <mergeCell ref="E104:G104"/>
    <mergeCell ref="H104:K104"/>
    <mergeCell ref="B101:C101"/>
    <mergeCell ref="E101:G101"/>
    <mergeCell ref="H101:K101"/>
    <mergeCell ref="B98:C98"/>
    <mergeCell ref="E98:G98"/>
    <mergeCell ref="L117:M117"/>
    <mergeCell ref="F132:I132"/>
    <mergeCell ref="F133:I133"/>
    <mergeCell ref="B115:C115"/>
    <mergeCell ref="E115:G115"/>
    <mergeCell ref="H115:K115"/>
    <mergeCell ref="L115:M115"/>
    <mergeCell ref="B116:C116"/>
    <mergeCell ref="E116:G116"/>
    <mergeCell ref="H116:K116"/>
    <mergeCell ref="L116:M116"/>
    <mergeCell ref="L113:M113"/>
    <mergeCell ref="B114:C114"/>
    <mergeCell ref="E114:G114"/>
    <mergeCell ref="H114:K114"/>
    <mergeCell ref="L114:M114"/>
    <mergeCell ref="L111:M111"/>
    <mergeCell ref="B112:C112"/>
    <mergeCell ref="E112:G112"/>
    <mergeCell ref="H112:K112"/>
    <mergeCell ref="L112:M112"/>
    <mergeCell ref="L109:M109"/>
    <mergeCell ref="B110:C110"/>
    <mergeCell ref="E110:G110"/>
    <mergeCell ref="H110:K110"/>
    <mergeCell ref="L110:M110"/>
    <mergeCell ref="B107:C107"/>
    <mergeCell ref="E107:G107"/>
    <mergeCell ref="H107:K107"/>
    <mergeCell ref="L107:M107"/>
    <mergeCell ref="B108:C108"/>
    <mergeCell ref="E108:G108"/>
    <mergeCell ref="H108:K108"/>
    <mergeCell ref="L104:M104"/>
    <mergeCell ref="L108:M108"/>
    <mergeCell ref="B105:C105"/>
    <mergeCell ref="E105:G105"/>
    <mergeCell ref="H105:K105"/>
    <mergeCell ref="L105:M105"/>
    <mergeCell ref="B106:C106"/>
    <mergeCell ref="E106:G106"/>
    <mergeCell ref="H106:K106"/>
    <mergeCell ref="L106:M106"/>
    <mergeCell ref="L101:M101"/>
    <mergeCell ref="B102:C102"/>
    <mergeCell ref="E102:G102"/>
    <mergeCell ref="H102:K102"/>
    <mergeCell ref="L102:M102"/>
    <mergeCell ref="B103:C103"/>
    <mergeCell ref="E103:G103"/>
    <mergeCell ref="H103:K103"/>
    <mergeCell ref="L103:M103"/>
    <mergeCell ref="H98:K98"/>
    <mergeCell ref="L98:M98"/>
    <mergeCell ref="B99:C99"/>
    <mergeCell ref="E99:G99"/>
    <mergeCell ref="H99:K99"/>
    <mergeCell ref="L99:M99"/>
    <mergeCell ref="B100:C100"/>
    <mergeCell ref="E100:G100"/>
    <mergeCell ref="H100:K100"/>
    <mergeCell ref="L100:M100"/>
    <mergeCell ref="B46:C46"/>
    <mergeCell ref="D46:E46"/>
    <mergeCell ref="B83:M85"/>
    <mergeCell ref="B88:M92"/>
    <mergeCell ref="B96:C96"/>
    <mergeCell ref="E96:G96"/>
    <mergeCell ref="H96:K96"/>
    <mergeCell ref="L96:M96"/>
    <mergeCell ref="B97:C97"/>
    <mergeCell ref="E97:G97"/>
    <mergeCell ref="H97:K97"/>
    <mergeCell ref="L97:M97"/>
    <mergeCell ref="B41:M41"/>
    <mergeCell ref="B43:C44"/>
    <mergeCell ref="B52:C52"/>
    <mergeCell ref="D52:E52"/>
    <mergeCell ref="F52:G52"/>
    <mergeCell ref="L52:M52"/>
    <mergeCell ref="H46:I52"/>
    <mergeCell ref="J46:K52"/>
    <mergeCell ref="B48:C48"/>
    <mergeCell ref="D48:E48"/>
    <mergeCell ref="F48:G48"/>
    <mergeCell ref="L48:M48"/>
    <mergeCell ref="B50:C50"/>
    <mergeCell ref="D50:E50"/>
    <mergeCell ref="F50:G50"/>
    <mergeCell ref="L50:M50"/>
    <mergeCell ref="B51:C51"/>
    <mergeCell ref="D51:E51"/>
    <mergeCell ref="F51:G51"/>
    <mergeCell ref="L51:M51"/>
    <mergeCell ref="B49:C49"/>
    <mergeCell ref="D49:E49"/>
    <mergeCell ref="F49:G49"/>
    <mergeCell ref="L49:M49"/>
    <mergeCell ref="J43:K44"/>
    <mergeCell ref="L43:M44"/>
    <mergeCell ref="F34:G34"/>
    <mergeCell ref="L34:M34"/>
    <mergeCell ref="B34:C34"/>
    <mergeCell ref="F46:G46"/>
    <mergeCell ref="L46:M46"/>
    <mergeCell ref="B47:C47"/>
    <mergeCell ref="D47:E47"/>
    <mergeCell ref="F47:G47"/>
    <mergeCell ref="L47:M47"/>
    <mergeCell ref="B37:C37"/>
    <mergeCell ref="D37:E37"/>
    <mergeCell ref="F37:G37"/>
    <mergeCell ref="L37:M37"/>
    <mergeCell ref="D43:E44"/>
    <mergeCell ref="F43:G44"/>
    <mergeCell ref="H43:I44"/>
    <mergeCell ref="B45:C45"/>
    <mergeCell ref="D45:E45"/>
    <mergeCell ref="F45:G45"/>
    <mergeCell ref="H45:I45"/>
    <mergeCell ref="J45:K45"/>
    <mergeCell ref="L45:M45"/>
    <mergeCell ref="H22:M23"/>
    <mergeCell ref="B26:M26"/>
    <mergeCell ref="B28:C29"/>
    <mergeCell ref="D28:E29"/>
    <mergeCell ref="F28:G29"/>
    <mergeCell ref="F35:G35"/>
    <mergeCell ref="L35:M35"/>
    <mergeCell ref="B31:C31"/>
    <mergeCell ref="D31:E31"/>
    <mergeCell ref="F31:G31"/>
    <mergeCell ref="L31:M31"/>
    <mergeCell ref="B35:C35"/>
    <mergeCell ref="D35:E35"/>
    <mergeCell ref="D34:E34"/>
    <mergeCell ref="H28:I29"/>
    <mergeCell ref="J28:K29"/>
    <mergeCell ref="L28:M29"/>
    <mergeCell ref="B33:C33"/>
    <mergeCell ref="D33:E33"/>
    <mergeCell ref="F33:G33"/>
    <mergeCell ref="L33:M33"/>
    <mergeCell ref="B30:C30"/>
    <mergeCell ref="D30:E30"/>
    <mergeCell ref="F30:G30"/>
    <mergeCell ref="H30:I30"/>
    <mergeCell ref="J30:K30"/>
    <mergeCell ref="L30:M30"/>
    <mergeCell ref="B32:C32"/>
    <mergeCell ref="D32:E32"/>
    <mergeCell ref="F32:G32"/>
    <mergeCell ref="L32:M32"/>
    <mergeCell ref="H31:I37"/>
    <mergeCell ref="J31:K37"/>
    <mergeCell ref="B36:C36"/>
    <mergeCell ref="D36:E36"/>
    <mergeCell ref="F36:G36"/>
    <mergeCell ref="L36:M36"/>
  </mergeCells>
  <pageMargins left="0.51181102362204722" right="0.51181102362204722" top="0.51181102362204722" bottom="0.51181102362204722" header="0" footer="0.19685039370078741"/>
  <pageSetup orientation="portrait" horizontalDpi="1200" verticalDpi="1200" r:id="rId1"/>
  <headerFooter>
    <oddHeader>&amp;C
&amp;G</oddHeader>
    <oddFooter xml:space="preserve">&amp;C&amp;G&amp;R&amp;"Arial,Normal"&amp;8Página &amp;Pde&amp;N&amp;"-,Normal"&amp;11
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46FD3-2160-486B-BA97-465F9D2AB3A0}">
  <dimension ref="B1:AA129"/>
  <sheetViews>
    <sheetView view="pageLayout" topLeftCell="A24" zoomScaleNormal="100" workbookViewId="0">
      <selection activeCell="H11" sqref="H11:I11"/>
    </sheetView>
  </sheetViews>
  <sheetFormatPr baseColWidth="10" defaultColWidth="8.88671875" defaultRowHeight="13.2" x14ac:dyDescent="0.25"/>
  <cols>
    <col min="1" max="1" width="3.109375" style="221" customWidth="1"/>
    <col min="2" max="6" width="7.5546875" style="221" customWidth="1"/>
    <col min="7" max="7" width="6.33203125" style="221" customWidth="1"/>
    <col min="8" max="10" width="7.5546875" style="221" customWidth="1"/>
    <col min="11" max="11" width="8.6640625" style="221" customWidth="1"/>
    <col min="12" max="13" width="7.5546875" style="221" customWidth="1"/>
    <col min="14" max="16384" width="8.88671875" style="221"/>
  </cols>
  <sheetData>
    <row r="1" spans="2:13" x14ac:dyDescent="0.25">
      <c r="B1" s="223"/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</row>
    <row r="2" spans="2:13" x14ac:dyDescent="0.25">
      <c r="B2" s="223"/>
      <c r="C2" s="223"/>
      <c r="D2" s="223"/>
      <c r="E2" s="223"/>
      <c r="F2" s="223"/>
      <c r="G2" s="223"/>
      <c r="H2" s="223"/>
      <c r="I2" s="223"/>
      <c r="J2" s="223"/>
      <c r="K2" s="223"/>
      <c r="L2" s="223"/>
      <c r="M2" s="223"/>
    </row>
    <row r="3" spans="2:13" x14ac:dyDescent="0.25">
      <c r="B3" s="223"/>
      <c r="C3" s="223"/>
      <c r="D3" s="223"/>
      <c r="E3" s="223"/>
      <c r="F3" s="223"/>
      <c r="G3" s="223"/>
      <c r="H3" s="223"/>
      <c r="I3" s="223"/>
      <c r="J3" s="223"/>
      <c r="K3" s="223"/>
      <c r="L3" s="223"/>
      <c r="M3" s="223"/>
    </row>
    <row r="4" spans="2:13" x14ac:dyDescent="0.25">
      <c r="B4" s="223"/>
      <c r="C4" s="223"/>
      <c r="D4" s="223"/>
      <c r="E4" s="223"/>
      <c r="F4" s="223"/>
      <c r="G4" s="223"/>
      <c r="H4" s="223"/>
      <c r="I4" s="223"/>
      <c r="J4" s="223"/>
      <c r="K4" s="223"/>
      <c r="L4" s="223"/>
      <c r="M4" s="223"/>
    </row>
    <row r="5" spans="2:13" ht="18.75" customHeight="1" x14ac:dyDescent="0.25">
      <c r="B5" s="223"/>
      <c r="C5" s="223"/>
      <c r="D5" s="223"/>
      <c r="E5" s="223"/>
      <c r="F5" s="223"/>
      <c r="G5" s="223"/>
      <c r="H5" s="223"/>
      <c r="I5" s="223"/>
      <c r="J5" s="223"/>
      <c r="K5" s="223"/>
      <c r="L5" s="223"/>
      <c r="M5" s="223"/>
    </row>
    <row r="6" spans="2:13" x14ac:dyDescent="0.25">
      <c r="B6" s="223"/>
      <c r="C6" s="223"/>
      <c r="D6" s="223"/>
      <c r="E6" s="223"/>
      <c r="F6" s="223"/>
      <c r="G6" s="223"/>
      <c r="H6" s="223"/>
      <c r="I6" s="223"/>
      <c r="J6" s="223"/>
      <c r="K6" s="223"/>
      <c r="L6" s="223"/>
      <c r="M6" s="223"/>
    </row>
    <row r="7" spans="2:13" x14ac:dyDescent="0.25">
      <c r="B7" s="223"/>
      <c r="C7" s="223"/>
      <c r="D7" s="223"/>
      <c r="E7" s="223"/>
      <c r="F7" s="223"/>
      <c r="G7" s="223"/>
      <c r="H7" s="223"/>
      <c r="I7" s="223"/>
      <c r="J7" s="223"/>
      <c r="K7" s="223"/>
      <c r="L7" s="223"/>
      <c r="M7" s="223"/>
    </row>
    <row r="8" spans="2:13" x14ac:dyDescent="0.25">
      <c r="B8" s="236" t="s">
        <v>437</v>
      </c>
      <c r="C8" s="223"/>
      <c r="D8" s="223"/>
      <c r="E8" s="223"/>
      <c r="F8" s="223"/>
      <c r="G8" s="223"/>
      <c r="H8" s="235" t="str">
        <f>CertNum</f>
        <v>NI-MC-B-XXX-2020</v>
      </c>
      <c r="I8" s="223"/>
      <c r="J8" s="223"/>
      <c r="K8" s="223"/>
      <c r="L8" s="223"/>
      <c r="M8" s="223"/>
    </row>
    <row r="9" spans="2:13" x14ac:dyDescent="0.25">
      <c r="B9" s="236" t="s">
        <v>471</v>
      </c>
      <c r="C9" s="223"/>
      <c r="D9" s="223"/>
      <c r="E9" s="223"/>
      <c r="F9" s="223"/>
      <c r="G9" s="223"/>
      <c r="H9" s="239" t="str">
        <f>CertCode</f>
        <v>NI-CS-075-17</v>
      </c>
      <c r="I9" s="223"/>
      <c r="J9" s="223"/>
      <c r="K9" s="223"/>
      <c r="L9" s="223"/>
      <c r="M9" s="223"/>
    </row>
    <row r="10" spans="2:13" x14ac:dyDescent="0.25">
      <c r="B10" s="236" t="s">
        <v>470</v>
      </c>
      <c r="C10" s="223"/>
      <c r="D10" s="223"/>
      <c r="E10" s="223"/>
      <c r="F10" s="223"/>
      <c r="G10" s="223"/>
      <c r="H10" s="238" t="str">
        <f>CertDate</f>
        <v>2021-01-01</v>
      </c>
      <c r="I10" s="223"/>
      <c r="J10" s="223"/>
      <c r="K10" s="223"/>
      <c r="L10" s="223"/>
      <c r="M10" s="223"/>
    </row>
    <row r="11" spans="2:13" x14ac:dyDescent="0.25">
      <c r="B11" s="236" t="s">
        <v>469</v>
      </c>
      <c r="C11" s="223"/>
      <c r="D11" s="223"/>
      <c r="E11" s="223"/>
      <c r="F11" s="223"/>
      <c r="G11" s="223"/>
      <c r="H11" s="363">
        <f ca="1">NOW()</f>
        <v>45497.601785300925</v>
      </c>
      <c r="I11" s="363"/>
      <c r="J11" s="223"/>
      <c r="K11" s="223"/>
      <c r="L11" s="223"/>
      <c r="M11" s="223"/>
    </row>
    <row r="12" spans="2:13" x14ac:dyDescent="0.25">
      <c r="B12" s="236" t="s">
        <v>468</v>
      </c>
      <c r="C12" s="223"/>
      <c r="D12" s="223"/>
      <c r="E12" s="223"/>
      <c r="F12" s="223"/>
      <c r="G12" s="223"/>
      <c r="H12" s="232" t="str">
        <f>BalanzaTipo</f>
        <v>Balanza Digital</v>
      </c>
      <c r="I12" s="223"/>
      <c r="J12" s="223"/>
      <c r="K12" s="223"/>
      <c r="L12" s="223"/>
      <c r="M12" s="223"/>
    </row>
    <row r="13" spans="2:13" x14ac:dyDescent="0.25">
      <c r="B13" s="236" t="s">
        <v>467</v>
      </c>
      <c r="C13" s="223"/>
      <c r="D13" s="223"/>
      <c r="E13" s="223"/>
      <c r="F13" s="223"/>
      <c r="G13" s="223"/>
      <c r="H13" s="232" t="str">
        <f>BalanzaMarca</f>
        <v>gtergd</v>
      </c>
      <c r="I13" s="223"/>
      <c r="J13" s="223"/>
      <c r="K13" s="223"/>
      <c r="L13" s="223"/>
      <c r="M13" s="223"/>
    </row>
    <row r="14" spans="2:13" x14ac:dyDescent="0.25">
      <c r="B14" s="236" t="s">
        <v>466</v>
      </c>
      <c r="C14" s="223"/>
      <c r="D14" s="223"/>
      <c r="E14" s="223"/>
      <c r="F14" s="223"/>
      <c r="G14" s="223"/>
      <c r="H14" s="232" t="str">
        <f>BalanzaSerie</f>
        <v>54654asd</v>
      </c>
      <c r="I14" s="223"/>
      <c r="J14" s="223"/>
      <c r="K14" s="223"/>
      <c r="L14" s="223"/>
      <c r="M14" s="223"/>
    </row>
    <row r="15" spans="2:13" x14ac:dyDescent="0.25">
      <c r="B15" s="236" t="s">
        <v>465</v>
      </c>
      <c r="C15" s="223"/>
      <c r="D15" s="223"/>
      <c r="E15" s="223"/>
      <c r="F15" s="223"/>
      <c r="G15" s="223"/>
      <c r="H15" s="232" t="str">
        <f>BalanzaModelo</f>
        <v>346asd</v>
      </c>
      <c r="I15" s="223"/>
      <c r="J15" s="223"/>
      <c r="K15" s="223"/>
      <c r="L15" s="223"/>
      <c r="M15" s="223"/>
    </row>
    <row r="16" spans="2:13" x14ac:dyDescent="0.25">
      <c r="B16" s="236" t="s">
        <v>464</v>
      </c>
      <c r="C16" s="223"/>
      <c r="D16" s="223"/>
      <c r="E16" s="223"/>
      <c r="F16" s="223"/>
      <c r="G16" s="223"/>
      <c r="H16" s="232" t="str">
        <f>BalanzaRango1</f>
        <v>0 g a 100 g</v>
      </c>
      <c r="I16" s="223"/>
      <c r="J16" s="223"/>
      <c r="K16" s="223"/>
      <c r="L16" s="223"/>
      <c r="M16" s="223"/>
    </row>
    <row r="17" spans="2:13" x14ac:dyDescent="0.25">
      <c r="B17" s="236" t="s">
        <v>463</v>
      </c>
      <c r="C17" s="223"/>
      <c r="D17" s="223"/>
      <c r="E17" s="223"/>
      <c r="F17" s="223"/>
      <c r="G17" s="223"/>
      <c r="H17" s="232" t="str">
        <f>BalanzaResol1</f>
        <v>0,01 g</v>
      </c>
      <c r="I17" s="223"/>
      <c r="J17" s="223"/>
      <c r="K17" s="223"/>
      <c r="L17" s="223"/>
      <c r="M17" s="223"/>
    </row>
    <row r="18" spans="2:13" x14ac:dyDescent="0.25">
      <c r="B18" s="236" t="s">
        <v>462</v>
      </c>
      <c r="C18" s="223"/>
      <c r="D18" s="223"/>
      <c r="E18" s="223"/>
      <c r="F18" s="223"/>
      <c r="G18" s="223"/>
      <c r="H18" s="232" t="str">
        <f>BalanzaCode</f>
        <v>002456635</v>
      </c>
      <c r="I18" s="223"/>
      <c r="J18" s="223"/>
      <c r="K18" s="223"/>
      <c r="L18" s="223"/>
      <c r="M18" s="223"/>
    </row>
    <row r="19" spans="2:13" x14ac:dyDescent="0.25">
      <c r="B19" s="236" t="s">
        <v>461</v>
      </c>
      <c r="C19" s="223"/>
      <c r="D19" s="223"/>
      <c r="E19" s="223"/>
      <c r="F19" s="223"/>
      <c r="G19" s="223"/>
      <c r="H19" s="232" t="str">
        <f>ClientName</f>
        <v>San Lotano Cigars S.A.</v>
      </c>
      <c r="I19" s="223"/>
      <c r="J19" s="223"/>
      <c r="K19" s="223"/>
      <c r="L19" s="223"/>
      <c r="M19" s="223"/>
    </row>
    <row r="20" spans="2:13" x14ac:dyDescent="0.25">
      <c r="B20" s="236" t="s">
        <v>460</v>
      </c>
      <c r="C20" s="223"/>
      <c r="D20" s="223"/>
      <c r="E20" s="223"/>
      <c r="F20" s="223"/>
      <c r="G20" s="223"/>
      <c r="H20" s="232" t="str">
        <f>ClientAdr</f>
        <v>km 129 Carretera a Ocotal 300m al Oeste Valle de Verapaz, Totogalpa, Madriz</v>
      </c>
      <c r="I20" s="223"/>
      <c r="J20" s="223"/>
      <c r="K20" s="223"/>
      <c r="L20" s="223"/>
      <c r="M20" s="223"/>
    </row>
    <row r="21" spans="2:13" x14ac:dyDescent="0.25">
      <c r="B21" s="236" t="s">
        <v>459</v>
      </c>
      <c r="C21" s="223"/>
      <c r="D21" s="223"/>
      <c r="E21" s="223"/>
      <c r="F21" s="223"/>
      <c r="G21" s="223"/>
      <c r="H21" s="370" t="str">
        <f>ClientPlace</f>
        <v>Nicaragua, Managua, Bello Horizonte VI Etapa, Casa #135.</v>
      </c>
      <c r="I21" s="370"/>
      <c r="J21" s="370"/>
      <c r="K21" s="370"/>
      <c r="L21" s="370"/>
      <c r="M21" s="370"/>
    </row>
    <row r="22" spans="2:13" x14ac:dyDescent="0.25">
      <c r="B22" s="236"/>
      <c r="C22" s="223"/>
      <c r="D22" s="223"/>
      <c r="E22" s="223"/>
      <c r="F22" s="223"/>
      <c r="G22" s="223"/>
      <c r="H22" s="370"/>
      <c r="I22" s="370"/>
      <c r="J22" s="370"/>
      <c r="K22" s="370"/>
      <c r="L22" s="370"/>
      <c r="M22" s="370"/>
    </row>
    <row r="23" spans="2:13" x14ac:dyDescent="0.25">
      <c r="B23" s="236"/>
      <c r="C23" s="223"/>
      <c r="D23" s="223"/>
      <c r="E23" s="223"/>
      <c r="F23" s="223"/>
      <c r="G23" s="223"/>
      <c r="H23" s="232"/>
      <c r="I23" s="223"/>
      <c r="J23" s="223"/>
      <c r="K23" s="223"/>
      <c r="L23" s="223"/>
      <c r="M23" s="223"/>
    </row>
    <row r="24" spans="2:13" x14ac:dyDescent="0.25">
      <c r="B24" s="226" t="s">
        <v>458</v>
      </c>
      <c r="C24" s="223"/>
      <c r="D24" s="223"/>
      <c r="E24" s="223"/>
      <c r="F24" s="223"/>
      <c r="G24" s="223"/>
      <c r="H24" s="223"/>
      <c r="I24" s="223"/>
      <c r="J24" s="223"/>
      <c r="K24" s="223"/>
      <c r="L24" s="223"/>
      <c r="M24" s="223"/>
    </row>
    <row r="25" spans="2:13" ht="6" customHeight="1" x14ac:dyDescent="0.25">
      <c r="B25" s="236"/>
      <c r="C25" s="223"/>
      <c r="D25" s="223"/>
      <c r="E25" s="223"/>
      <c r="F25" s="223"/>
      <c r="G25" s="223"/>
      <c r="H25" s="223"/>
      <c r="I25" s="223"/>
      <c r="J25" s="223"/>
      <c r="K25" s="223"/>
      <c r="L25" s="223"/>
      <c r="M25" s="223"/>
    </row>
    <row r="26" spans="2:13" x14ac:dyDescent="0.25">
      <c r="B26" s="371" t="s">
        <v>457</v>
      </c>
      <c r="C26" s="371"/>
      <c r="D26" s="371"/>
      <c r="E26" s="371"/>
      <c r="F26" s="371"/>
      <c r="G26" s="371"/>
      <c r="H26" s="371"/>
      <c r="I26" s="371"/>
      <c r="J26" s="371"/>
      <c r="K26" s="371"/>
      <c r="L26" s="371"/>
      <c r="M26" s="371"/>
    </row>
    <row r="27" spans="2:13" x14ac:dyDescent="0.25">
      <c r="B27" s="223"/>
      <c r="C27" s="223"/>
      <c r="D27" s="223"/>
      <c r="E27" s="236"/>
      <c r="F27" s="223"/>
      <c r="G27" s="223"/>
      <c r="H27" s="223"/>
      <c r="I27" s="223"/>
      <c r="J27" s="223"/>
      <c r="K27" s="223"/>
      <c r="L27" s="223"/>
      <c r="M27" s="223"/>
    </row>
    <row r="28" spans="2:13" x14ac:dyDescent="0.25">
      <c r="B28" s="366" t="s">
        <v>456</v>
      </c>
      <c r="C28" s="366"/>
      <c r="D28" s="366" t="s">
        <v>455</v>
      </c>
      <c r="E28" s="366"/>
      <c r="F28" s="366" t="s">
        <v>454</v>
      </c>
      <c r="G28" s="366"/>
      <c r="H28" s="366" t="s">
        <v>346</v>
      </c>
      <c r="I28" s="366"/>
      <c r="J28" s="366" t="s">
        <v>453</v>
      </c>
      <c r="K28" s="366"/>
      <c r="L28" s="366" t="s">
        <v>452</v>
      </c>
      <c r="M28" s="366"/>
    </row>
    <row r="29" spans="2:13" x14ac:dyDescent="0.25">
      <c r="B29" s="366"/>
      <c r="C29" s="366"/>
      <c r="D29" s="366"/>
      <c r="E29" s="366"/>
      <c r="F29" s="366"/>
      <c r="G29" s="366"/>
      <c r="H29" s="366"/>
      <c r="I29" s="366"/>
      <c r="J29" s="366"/>
      <c r="K29" s="366"/>
      <c r="L29" s="366"/>
      <c r="M29" s="366"/>
    </row>
    <row r="30" spans="2:13" x14ac:dyDescent="0.25">
      <c r="B30" s="367" t="str">
        <f>UnidadEscala</f>
        <v>g</v>
      </c>
      <c r="C30" s="367"/>
      <c r="D30" s="367" t="str">
        <f>UnidadEscala</f>
        <v>g</v>
      </c>
      <c r="E30" s="367"/>
      <c r="F30" s="367" t="str">
        <f>UnidadEscala</f>
        <v>g</v>
      </c>
      <c r="G30" s="367"/>
      <c r="H30" s="367" t="str">
        <f>UnidadEscala</f>
        <v>g</v>
      </c>
      <c r="I30" s="367"/>
      <c r="J30" s="367" t="str">
        <f>UnidadEscala</f>
        <v>g</v>
      </c>
      <c r="K30" s="367"/>
      <c r="L30" s="367" t="str">
        <f>UnidadEscala</f>
        <v>g</v>
      </c>
      <c r="M30" s="367"/>
    </row>
    <row r="31" spans="2:13" x14ac:dyDescent="0.25">
      <c r="B31" s="380" t="str">
        <f>IFERROR(FIXED('kU(E)'!T21,decim),"")</f>
        <v>0.0</v>
      </c>
      <c r="C31" s="381"/>
      <c r="D31" s="380" t="str">
        <f>IFERROR(FIXED('kU(E)'!U21,decim),"")</f>
        <v>0.0</v>
      </c>
      <c r="E31" s="381"/>
      <c r="F31" s="380" t="str">
        <f>IFERROR(FIXED('kU(E)'!V21,decim),"")</f>
        <v>0.0</v>
      </c>
      <c r="G31" s="381"/>
      <c r="H31" s="367" t="str">
        <f>IFERROR(IF(Calibración!$E$40=0,"No aplica (N/A)",FIXED(u_rep,decim)),"")</f>
        <v>No aplica (N/A)</v>
      </c>
      <c r="I31" s="367"/>
      <c r="J31" s="367" t="str">
        <f>IFERROR(IF(Calibración!$E$51=0,"No aplica (N/A)",FIXED(ecc_error_max,decim)),"")</f>
        <v>No aplica (N/A)</v>
      </c>
      <c r="K31" s="367"/>
      <c r="L31" s="380" t="str">
        <f>IFERROR(FIXED('kU(E)'!X22,decim+1),"")</f>
        <v>0.00</v>
      </c>
      <c r="M31" s="381"/>
    </row>
    <row r="32" spans="2:13" x14ac:dyDescent="0.25">
      <c r="B32" s="380" t="str">
        <f>IFERROR(FIXED('kU(E)'!T22,decim),"")</f>
        <v>0.0</v>
      </c>
      <c r="C32" s="381"/>
      <c r="D32" s="380" t="str">
        <f>IFERROR(FIXED('kU(E)'!U22,decim),"")</f>
        <v/>
      </c>
      <c r="E32" s="381"/>
      <c r="F32" s="380" t="str">
        <f>IFERROR(FIXED('kU(E)'!V22,decim),"")</f>
        <v/>
      </c>
      <c r="G32" s="381"/>
      <c r="H32" s="367"/>
      <c r="I32" s="367"/>
      <c r="J32" s="367"/>
      <c r="K32" s="367"/>
      <c r="L32" s="380" t="str">
        <f>IFERROR(FIXED('kU(E)'!X22,decim+1),"")</f>
        <v>0.00</v>
      </c>
      <c r="M32" s="381"/>
    </row>
    <row r="33" spans="2:13" x14ac:dyDescent="0.25">
      <c r="B33" s="380" t="str">
        <f>IFERROR(FIXED('kU(E)'!T23,decim),"")</f>
        <v>0.0</v>
      </c>
      <c r="C33" s="381"/>
      <c r="D33" s="380" t="str">
        <f>IFERROR(FIXED('kU(E)'!U23,decim),"")</f>
        <v/>
      </c>
      <c r="E33" s="381"/>
      <c r="F33" s="380" t="str">
        <f>IFERROR(FIXED('kU(E)'!V23,decim),"")</f>
        <v/>
      </c>
      <c r="G33" s="381"/>
      <c r="H33" s="367"/>
      <c r="I33" s="367"/>
      <c r="J33" s="367"/>
      <c r="K33" s="367"/>
      <c r="L33" s="380" t="str">
        <f>IFERROR(FIXED('kU(E)'!X23,decim+1),"")</f>
        <v/>
      </c>
      <c r="M33" s="381"/>
    </row>
    <row r="34" spans="2:13" x14ac:dyDescent="0.25">
      <c r="B34" s="380" t="str">
        <f>IFERROR(FIXED('kU(E)'!T24,decim),"")</f>
        <v>0.0</v>
      </c>
      <c r="C34" s="381"/>
      <c r="D34" s="380" t="str">
        <f>IFERROR(FIXED('kU(E)'!U24,decim),"")</f>
        <v/>
      </c>
      <c r="E34" s="381"/>
      <c r="F34" s="380" t="str">
        <f>IFERROR(FIXED('kU(E)'!V24,decim),"")</f>
        <v/>
      </c>
      <c r="G34" s="381"/>
      <c r="H34" s="367"/>
      <c r="I34" s="367"/>
      <c r="J34" s="367"/>
      <c r="K34" s="367"/>
      <c r="L34" s="380" t="str">
        <f>IFERROR(FIXED('kU(E)'!X24,decim+1),"")</f>
        <v/>
      </c>
      <c r="M34" s="381"/>
    </row>
    <row r="35" spans="2:13" x14ac:dyDescent="0.25">
      <c r="B35" s="380" t="str">
        <f>IFERROR(FIXED('kU(E)'!T25,decim),"")</f>
        <v>0.0</v>
      </c>
      <c r="C35" s="381"/>
      <c r="D35" s="380" t="str">
        <f>IFERROR(FIXED('kU(E)'!U25,decim),"")</f>
        <v/>
      </c>
      <c r="E35" s="381"/>
      <c r="F35" s="380" t="str">
        <f>IFERROR(FIXED('kU(E)'!V25,decim),"")</f>
        <v/>
      </c>
      <c r="G35" s="381"/>
      <c r="H35" s="367"/>
      <c r="I35" s="367"/>
      <c r="J35" s="367"/>
      <c r="K35" s="367"/>
      <c r="L35" s="380" t="str">
        <f>IFERROR(FIXED('kU(E)'!X25,decim+1),"")</f>
        <v/>
      </c>
      <c r="M35" s="381"/>
    </row>
    <row r="36" spans="2:13" x14ac:dyDescent="0.25">
      <c r="B36" s="380" t="str">
        <f>IFERROR(FIXED('kU(E)'!T26,decim),"")</f>
        <v>0.0</v>
      </c>
      <c r="C36" s="381"/>
      <c r="D36" s="380" t="str">
        <f>IFERROR(FIXED('kU(E)'!U26,decim),"")</f>
        <v/>
      </c>
      <c r="E36" s="381"/>
      <c r="F36" s="380" t="str">
        <f>IFERROR(FIXED('kU(E)'!V26,decim),"")</f>
        <v/>
      </c>
      <c r="G36" s="381"/>
      <c r="H36" s="367"/>
      <c r="I36" s="367"/>
      <c r="J36" s="367"/>
      <c r="K36" s="367"/>
      <c r="L36" s="380" t="str">
        <f>IFERROR(FIXED('kU(E)'!X26,decim+1),"")</f>
        <v/>
      </c>
      <c r="M36" s="381"/>
    </row>
    <row r="37" spans="2:13" x14ac:dyDescent="0.25">
      <c r="B37" s="380" t="str">
        <f>IFERROR(FIXED('kU(E)'!T27,decim),"")</f>
        <v>0.0</v>
      </c>
      <c r="C37" s="381"/>
      <c r="D37" s="380" t="str">
        <f>IFERROR(FIXED('kU(E)'!U27,decim),"")</f>
        <v/>
      </c>
      <c r="E37" s="381"/>
      <c r="F37" s="380" t="str">
        <f>IFERROR(FIXED('kU(E)'!V27,decim),"")</f>
        <v/>
      </c>
      <c r="G37" s="381"/>
      <c r="H37" s="367"/>
      <c r="I37" s="367"/>
      <c r="J37" s="367"/>
      <c r="K37" s="367"/>
      <c r="L37" s="380" t="str">
        <f>IFERROR(FIXED('kU(E)'!X27,decim+1),"")</f>
        <v/>
      </c>
      <c r="M37" s="381"/>
    </row>
    <row r="38" spans="2:13" x14ac:dyDescent="0.25">
      <c r="B38" s="224"/>
      <c r="C38" s="224"/>
      <c r="D38" s="224"/>
      <c r="E38" s="224"/>
      <c r="F38" s="224"/>
      <c r="G38" s="224"/>
      <c r="H38" s="224"/>
      <c r="I38" s="224"/>
      <c r="J38" s="224"/>
      <c r="K38" s="224"/>
      <c r="L38" s="224"/>
      <c r="M38" s="224"/>
    </row>
    <row r="39" spans="2:13" x14ac:dyDescent="0.25">
      <c r="B39" s="226" t="s">
        <v>477</v>
      </c>
      <c r="C39" s="223"/>
      <c r="D39" s="223"/>
      <c r="E39" s="223"/>
      <c r="F39" s="223"/>
      <c r="G39" s="223"/>
      <c r="H39" s="223"/>
      <c r="I39" s="223"/>
      <c r="J39" s="223"/>
      <c r="K39" s="223"/>
      <c r="L39" s="223"/>
      <c r="M39" s="223"/>
    </row>
    <row r="40" spans="2:13" ht="6.6" customHeight="1" x14ac:dyDescent="0.25">
      <c r="B40" s="236"/>
      <c r="C40" s="223"/>
      <c r="D40" s="223"/>
      <c r="E40" s="223"/>
      <c r="F40" s="223"/>
      <c r="G40" s="223"/>
      <c r="H40" s="223"/>
      <c r="I40" s="223"/>
      <c r="J40" s="223"/>
      <c r="K40" s="223"/>
      <c r="L40" s="223"/>
      <c r="M40" s="223"/>
    </row>
    <row r="41" spans="2:13" x14ac:dyDescent="0.25">
      <c r="B41" s="371" t="s">
        <v>457</v>
      </c>
      <c r="C41" s="371"/>
      <c r="D41" s="371"/>
      <c r="E41" s="371"/>
      <c r="F41" s="371"/>
      <c r="G41" s="371"/>
      <c r="H41" s="371"/>
      <c r="I41" s="371"/>
      <c r="J41" s="371"/>
      <c r="K41" s="371"/>
      <c r="L41" s="371"/>
      <c r="M41" s="371"/>
    </row>
    <row r="42" spans="2:13" x14ac:dyDescent="0.25">
      <c r="B42" s="223"/>
      <c r="C42" s="223"/>
      <c r="D42" s="223"/>
      <c r="E42" s="236"/>
      <c r="F42" s="223"/>
      <c r="G42" s="223"/>
      <c r="H42" s="223"/>
      <c r="I42" s="223"/>
      <c r="J42" s="223"/>
      <c r="K42" s="223"/>
      <c r="L42" s="223"/>
      <c r="M42" s="223"/>
    </row>
    <row r="43" spans="2:13" x14ac:dyDescent="0.25">
      <c r="B43" s="366" t="s">
        <v>456</v>
      </c>
      <c r="C43" s="366"/>
      <c r="D43" s="366" t="s">
        <v>455</v>
      </c>
      <c r="E43" s="366"/>
      <c r="F43" s="366" t="s">
        <v>454</v>
      </c>
      <c r="G43" s="366"/>
      <c r="H43" s="366" t="s">
        <v>346</v>
      </c>
      <c r="I43" s="366"/>
      <c r="J43" s="366" t="s">
        <v>453</v>
      </c>
      <c r="K43" s="366"/>
      <c r="L43" s="366" t="s">
        <v>452</v>
      </c>
      <c r="M43" s="366"/>
    </row>
    <row r="44" spans="2:13" x14ac:dyDescent="0.25">
      <c r="B44" s="366"/>
      <c r="C44" s="366"/>
      <c r="D44" s="366"/>
      <c r="E44" s="366"/>
      <c r="F44" s="366"/>
      <c r="G44" s="366"/>
      <c r="H44" s="366"/>
      <c r="I44" s="366"/>
      <c r="J44" s="366"/>
      <c r="K44" s="366"/>
      <c r="L44" s="366"/>
      <c r="M44" s="366"/>
    </row>
    <row r="45" spans="2:13" x14ac:dyDescent="0.25">
      <c r="B45" s="367" t="str">
        <f>'kU(E)'!W34</f>
        <v>kg</v>
      </c>
      <c r="C45" s="367"/>
      <c r="D45" s="380" t="str">
        <f>'kU(E)'!W34</f>
        <v>kg</v>
      </c>
      <c r="E45" s="381"/>
      <c r="F45" s="380" t="str">
        <f>'kU(E)'!W34</f>
        <v>kg</v>
      </c>
      <c r="G45" s="381"/>
      <c r="H45" s="380" t="str">
        <f>'kU(E)'!W34</f>
        <v>kg</v>
      </c>
      <c r="I45" s="381"/>
      <c r="J45" s="380" t="str">
        <f>'kU(E)'!W34</f>
        <v>kg</v>
      </c>
      <c r="K45" s="381"/>
      <c r="L45" s="380" t="str">
        <f>'kU(E)'!W34</f>
        <v>kg</v>
      </c>
      <c r="M45" s="381"/>
    </row>
    <row r="46" spans="2:13" x14ac:dyDescent="0.25">
      <c r="B46" s="367" t="str">
        <f>IFERROR(FIXED('kU(E)'!T36,decim),"")</f>
        <v/>
      </c>
      <c r="C46" s="367"/>
      <c r="D46" s="367" t="str">
        <f>IFERROR(FIXED('kU(E)'!U36,decim),"")</f>
        <v/>
      </c>
      <c r="E46" s="367"/>
      <c r="F46" s="367" t="str">
        <f>IFERROR(FIXED('kU(E)'!V36,decim),"")</f>
        <v/>
      </c>
      <c r="G46" s="367"/>
      <c r="H46" s="367" t="str">
        <f>IFERROR(IF(Calibración!$E$40=0,"No aplica (N/A)",FIXED(IF($H$45="g",u_rep*453.592,u_rep/2.20462),decim)),"")</f>
        <v>No aplica (N/A)</v>
      </c>
      <c r="I46" s="367"/>
      <c r="J46" s="367" t="str">
        <f>IFERROR(IF(Calibración!$E$51=0,"No aplica (N/A)",FIXED(IF($J$45="g",ecc_error_max*453.592,ecc_error_max/2.20462),decim)),"")</f>
        <v>No aplica (N/A)</v>
      </c>
      <c r="K46" s="367"/>
      <c r="L46" s="367" t="str">
        <f>IFERROR(FIXED('kU(E)'!X37,decim+1),"")</f>
        <v/>
      </c>
      <c r="M46" s="367"/>
    </row>
    <row r="47" spans="2:13" x14ac:dyDescent="0.25">
      <c r="B47" s="367" t="str">
        <f>IFERROR(FIXED('kU(E)'!T37,decim),"")</f>
        <v/>
      </c>
      <c r="C47" s="367"/>
      <c r="D47" s="367" t="str">
        <f>IFERROR(FIXED('kU(E)'!U37,decim),"")</f>
        <v/>
      </c>
      <c r="E47" s="367"/>
      <c r="F47" s="367" t="str">
        <f>IFERROR(FIXED('kU(E)'!V37,decim),"")</f>
        <v/>
      </c>
      <c r="G47" s="367"/>
      <c r="H47" s="367"/>
      <c r="I47" s="367"/>
      <c r="J47" s="367"/>
      <c r="K47" s="367"/>
      <c r="L47" s="367" t="str">
        <f>IFERROR(FIXED('kU(E)'!X37,decim+1),"")</f>
        <v/>
      </c>
      <c r="M47" s="367"/>
    </row>
    <row r="48" spans="2:13" x14ac:dyDescent="0.25">
      <c r="B48" s="367" t="str">
        <f>IFERROR(FIXED('kU(E)'!T38,decim),"")</f>
        <v/>
      </c>
      <c r="C48" s="367"/>
      <c r="D48" s="367" t="str">
        <f>IFERROR(FIXED('kU(E)'!U38,decim),"")</f>
        <v/>
      </c>
      <c r="E48" s="367"/>
      <c r="F48" s="367" t="str">
        <f>IFERROR(FIXED('kU(E)'!V38,decim),"")</f>
        <v/>
      </c>
      <c r="G48" s="367"/>
      <c r="H48" s="367"/>
      <c r="I48" s="367"/>
      <c r="J48" s="367"/>
      <c r="K48" s="367"/>
      <c r="L48" s="367" t="str">
        <f>IFERROR(FIXED('kU(E)'!X38,decim+1),"")</f>
        <v/>
      </c>
      <c r="M48" s="367"/>
    </row>
    <row r="49" spans="2:13" x14ac:dyDescent="0.25">
      <c r="B49" s="367" t="str">
        <f>IFERROR(FIXED('kU(E)'!T39,decim),"")</f>
        <v/>
      </c>
      <c r="C49" s="367"/>
      <c r="D49" s="367" t="str">
        <f>IFERROR(FIXED('kU(E)'!U39,decim),"")</f>
        <v/>
      </c>
      <c r="E49" s="367"/>
      <c r="F49" s="367" t="str">
        <f>IFERROR(FIXED('kU(E)'!V39,decim),"")</f>
        <v/>
      </c>
      <c r="G49" s="367"/>
      <c r="H49" s="367"/>
      <c r="I49" s="367"/>
      <c r="J49" s="367"/>
      <c r="K49" s="367"/>
      <c r="L49" s="367" t="str">
        <f>IFERROR(FIXED('kU(E)'!X39,decim+1),"")</f>
        <v/>
      </c>
      <c r="M49" s="367"/>
    </row>
    <row r="50" spans="2:13" x14ac:dyDescent="0.25">
      <c r="B50" s="367" t="str">
        <f>IFERROR(FIXED('kU(E)'!T40,decim),"")</f>
        <v/>
      </c>
      <c r="C50" s="367"/>
      <c r="D50" s="367" t="str">
        <f>IFERROR(FIXED('kU(E)'!U40,decim),"")</f>
        <v/>
      </c>
      <c r="E50" s="367"/>
      <c r="F50" s="367" t="str">
        <f>IFERROR(FIXED('kU(E)'!V40,decim),"")</f>
        <v/>
      </c>
      <c r="G50" s="367"/>
      <c r="H50" s="367"/>
      <c r="I50" s="367"/>
      <c r="J50" s="367"/>
      <c r="K50" s="367"/>
      <c r="L50" s="367" t="str">
        <f>IFERROR(FIXED('kU(E)'!X40,decim+1),"")</f>
        <v/>
      </c>
      <c r="M50" s="367"/>
    </row>
    <row r="51" spans="2:13" x14ac:dyDescent="0.25">
      <c r="B51" s="367" t="str">
        <f>IFERROR(FIXED('kU(E)'!T41,decim),"")</f>
        <v/>
      </c>
      <c r="C51" s="367"/>
      <c r="D51" s="367" t="str">
        <f>IFERROR(FIXED('kU(E)'!U41,decim),"")</f>
        <v/>
      </c>
      <c r="E51" s="367"/>
      <c r="F51" s="367" t="str">
        <f>IFERROR(FIXED('kU(E)'!V41,decim),"")</f>
        <v/>
      </c>
      <c r="G51" s="367"/>
      <c r="H51" s="367"/>
      <c r="I51" s="367"/>
      <c r="J51" s="367"/>
      <c r="K51" s="367"/>
      <c r="L51" s="367" t="str">
        <f>IFERROR(FIXED('kU(E)'!X41,decim+1),"")</f>
        <v/>
      </c>
      <c r="M51" s="367"/>
    </row>
    <row r="52" spans="2:13" x14ac:dyDescent="0.25">
      <c r="B52" s="367" t="str">
        <f>IFERROR(FIXED('kU(E)'!T42,decim),"")</f>
        <v/>
      </c>
      <c r="C52" s="367"/>
      <c r="D52" s="367" t="str">
        <f>IFERROR(FIXED('kU(E)'!U42,decim),"")</f>
        <v/>
      </c>
      <c r="E52" s="367"/>
      <c r="F52" s="367" t="str">
        <f>IFERROR(FIXED('kU(E)'!V42,decim),"")</f>
        <v/>
      </c>
      <c r="G52" s="367"/>
      <c r="H52" s="367"/>
      <c r="I52" s="367"/>
      <c r="J52" s="367"/>
      <c r="K52" s="367"/>
      <c r="L52" s="367" t="str">
        <f>IFERROR(FIXED('kU(E)'!X42,decim+1),"")</f>
        <v/>
      </c>
      <c r="M52" s="367"/>
    </row>
    <row r="53" spans="2:13" x14ac:dyDescent="0.25">
      <c r="B53" s="224"/>
      <c r="C53" s="224"/>
      <c r="D53" s="224"/>
      <c r="E53" s="224"/>
      <c r="F53" s="224"/>
      <c r="G53" s="224"/>
      <c r="H53" s="224"/>
      <c r="I53" s="224"/>
      <c r="J53" s="224"/>
      <c r="K53" s="224"/>
      <c r="L53" s="224"/>
      <c r="M53" s="224"/>
    </row>
    <row r="54" spans="2:13" x14ac:dyDescent="0.25">
      <c r="B54" s="236" t="s">
        <v>451</v>
      </c>
      <c r="C54" s="223"/>
      <c r="D54" s="223"/>
      <c r="E54" s="223"/>
      <c r="F54" s="223"/>
      <c r="G54" s="223"/>
      <c r="H54" s="235" t="s">
        <v>450</v>
      </c>
      <c r="I54" s="223"/>
      <c r="J54" s="223"/>
      <c r="K54" s="223"/>
      <c r="L54" s="223"/>
      <c r="M54" s="223"/>
    </row>
    <row r="55" spans="2:13" x14ac:dyDescent="0.25">
      <c r="B55" s="232" t="s">
        <v>449</v>
      </c>
      <c r="C55" s="223"/>
      <c r="D55" s="231" t="str">
        <f>FIXED(CertTempC,1)</f>
        <v>21.3</v>
      </c>
      <c r="E55" s="224" t="s">
        <v>443</v>
      </c>
      <c r="F55" s="231" t="str">
        <f>FIXED(CertTempIncerti,1)</f>
        <v>0.4</v>
      </c>
      <c r="G55" s="223" t="s">
        <v>448</v>
      </c>
      <c r="H55" s="232" t="s">
        <v>447</v>
      </c>
      <c r="I55" s="234" t="s">
        <v>444</v>
      </c>
      <c r="J55" s="233">
        <f>CertPres</f>
        <v>1001</v>
      </c>
      <c r="K55" s="224" t="s">
        <v>443</v>
      </c>
      <c r="L55" s="233">
        <f>CertPresIncert</f>
        <v>10</v>
      </c>
      <c r="M55" s="223" t="s">
        <v>446</v>
      </c>
    </row>
    <row r="56" spans="2:13" x14ac:dyDescent="0.25">
      <c r="B56" s="232" t="s">
        <v>445</v>
      </c>
      <c r="C56" s="224" t="s">
        <v>444</v>
      </c>
      <c r="D56" s="231" t="str">
        <f>FIXED(CertHR,1)</f>
        <v>49.4</v>
      </c>
      <c r="E56" s="224" t="s">
        <v>443</v>
      </c>
      <c r="F56" s="231" t="str">
        <f>FIXED(CertHRIncerti,1)</f>
        <v>1.3</v>
      </c>
      <c r="G56" s="223" t="s">
        <v>442</v>
      </c>
    </row>
    <row r="57" spans="2:13" x14ac:dyDescent="0.25">
      <c r="B57" s="232"/>
      <c r="C57" s="224"/>
      <c r="D57" s="231"/>
      <c r="E57" s="224"/>
      <c r="F57" s="231"/>
      <c r="G57" s="223"/>
    </row>
    <row r="58" spans="2:13" x14ac:dyDescent="0.25">
      <c r="B58" s="232"/>
      <c r="C58" s="224"/>
      <c r="D58" s="231"/>
      <c r="E58" s="224"/>
      <c r="F58" s="231"/>
      <c r="G58" s="223"/>
    </row>
    <row r="59" spans="2:13" x14ac:dyDescent="0.25">
      <c r="B59" s="232"/>
      <c r="C59" s="224"/>
      <c r="D59" s="231"/>
      <c r="E59" s="224"/>
      <c r="F59" s="231"/>
      <c r="G59" s="223"/>
    </row>
    <row r="60" spans="2:13" x14ac:dyDescent="0.25">
      <c r="B60" s="232"/>
      <c r="C60" s="224"/>
      <c r="D60" s="231"/>
      <c r="E60" s="224"/>
      <c r="F60" s="231"/>
      <c r="G60" s="223"/>
    </row>
    <row r="61" spans="2:13" x14ac:dyDescent="0.25">
      <c r="B61" s="224"/>
      <c r="C61" s="224"/>
      <c r="D61" s="224"/>
      <c r="E61" s="224"/>
      <c r="F61" s="224"/>
      <c r="G61" s="224"/>
      <c r="H61" s="224"/>
      <c r="I61" s="224"/>
      <c r="J61" s="224"/>
      <c r="K61" s="224"/>
      <c r="L61" s="224"/>
      <c r="M61" s="224"/>
    </row>
    <row r="62" spans="2:13" x14ac:dyDescent="0.25">
      <c r="B62" s="224"/>
      <c r="C62" s="224"/>
      <c r="D62" s="224"/>
      <c r="E62" s="224"/>
      <c r="F62" s="224"/>
      <c r="G62" s="224"/>
      <c r="H62" s="224"/>
      <c r="I62" s="224"/>
      <c r="J62" s="224"/>
      <c r="K62" s="224"/>
      <c r="L62" s="224"/>
      <c r="M62" s="224"/>
    </row>
    <row r="63" spans="2:13" x14ac:dyDescent="0.25">
      <c r="B63" s="224"/>
      <c r="C63" s="224"/>
      <c r="D63" s="224"/>
      <c r="E63" s="224"/>
      <c r="F63" s="224"/>
      <c r="G63" s="224"/>
      <c r="H63" s="224"/>
      <c r="I63" s="224"/>
      <c r="J63" s="224"/>
      <c r="K63" s="224"/>
      <c r="L63" s="224"/>
      <c r="M63" s="224"/>
    </row>
    <row r="64" spans="2:13" x14ac:dyDescent="0.25">
      <c r="B64" s="224"/>
      <c r="C64" s="224"/>
      <c r="D64" s="224"/>
      <c r="E64" s="224"/>
      <c r="F64" s="224"/>
      <c r="G64" s="224"/>
      <c r="H64" s="224"/>
      <c r="I64" s="224"/>
      <c r="J64" s="224"/>
      <c r="K64" s="224"/>
      <c r="L64" s="224"/>
      <c r="M64" s="224"/>
    </row>
    <row r="65" spans="2:27" x14ac:dyDescent="0.25">
      <c r="B65" s="224"/>
      <c r="C65" s="224"/>
      <c r="D65" s="224"/>
      <c r="E65" s="224"/>
      <c r="F65" s="224"/>
      <c r="G65" s="224"/>
      <c r="H65" s="224"/>
      <c r="I65" s="224"/>
      <c r="J65" s="224"/>
      <c r="K65" s="224"/>
      <c r="L65" s="224"/>
      <c r="M65" s="224"/>
    </row>
    <row r="66" spans="2:27" ht="15.75" customHeight="1" x14ac:dyDescent="0.25">
      <c r="B66" s="224"/>
      <c r="C66" s="224"/>
      <c r="D66" s="224"/>
      <c r="E66" s="224"/>
      <c r="F66" s="224"/>
      <c r="G66" s="224"/>
      <c r="H66" s="224"/>
      <c r="I66" s="224"/>
      <c r="J66" s="224"/>
      <c r="K66" s="224"/>
      <c r="L66" s="224"/>
      <c r="M66" s="224"/>
    </row>
    <row r="67" spans="2:27" ht="15.75" customHeight="1" x14ac:dyDescent="0.25">
      <c r="B67" s="224"/>
      <c r="C67" s="224"/>
      <c r="D67" s="224"/>
      <c r="E67" s="224"/>
      <c r="F67" s="224"/>
      <c r="G67" s="224"/>
      <c r="H67" s="224"/>
      <c r="I67" s="224"/>
      <c r="J67" s="224"/>
      <c r="K67" s="224"/>
      <c r="L67" s="224"/>
      <c r="M67" s="224"/>
    </row>
    <row r="68" spans="2:27" x14ac:dyDescent="0.25">
      <c r="B68" s="224"/>
      <c r="C68" s="224"/>
      <c r="D68" s="224"/>
      <c r="E68" s="224"/>
      <c r="F68" s="224"/>
      <c r="G68" s="224"/>
      <c r="H68" s="224"/>
      <c r="I68" s="224"/>
      <c r="J68" s="224"/>
      <c r="K68" s="224"/>
      <c r="L68" s="224"/>
      <c r="M68" s="224"/>
    </row>
    <row r="69" spans="2:27" x14ac:dyDescent="0.25">
      <c r="B69" s="236" t="s">
        <v>437</v>
      </c>
      <c r="C69" s="223"/>
      <c r="D69" s="223"/>
      <c r="E69" s="223"/>
      <c r="F69" s="223"/>
      <c r="G69" s="223"/>
      <c r="H69" s="235" t="str">
        <f>CertNum</f>
        <v>NI-MC-B-XXX-2020</v>
      </c>
      <c r="I69" s="223"/>
      <c r="J69" s="223"/>
      <c r="K69" s="223"/>
      <c r="L69" s="223"/>
      <c r="M69" s="223"/>
    </row>
    <row r="70" spans="2:27" x14ac:dyDescent="0.25">
      <c r="B70" s="224"/>
      <c r="C70" s="224"/>
      <c r="D70" s="224"/>
      <c r="E70" s="224"/>
      <c r="F70" s="224"/>
      <c r="G70" s="224"/>
      <c r="H70" s="224"/>
      <c r="I70" s="224"/>
      <c r="J70" s="224"/>
      <c r="K70" s="224"/>
      <c r="L70" s="224"/>
      <c r="M70" s="224"/>
    </row>
    <row r="71" spans="2:27" x14ac:dyDescent="0.25">
      <c r="B71" s="224"/>
      <c r="C71" s="224"/>
      <c r="D71" s="224"/>
      <c r="E71" s="224"/>
      <c r="F71" s="224"/>
      <c r="G71" s="224"/>
      <c r="H71" s="224"/>
      <c r="I71" s="224"/>
      <c r="J71" s="224"/>
      <c r="K71" s="224"/>
      <c r="L71" s="224"/>
      <c r="M71" s="224"/>
    </row>
    <row r="72" spans="2:27" x14ac:dyDescent="0.25">
      <c r="B72" s="226" t="s">
        <v>441</v>
      </c>
    </row>
    <row r="73" spans="2:27" ht="12.75" customHeight="1" x14ac:dyDescent="0.25">
      <c r="B73" s="372" t="s">
        <v>440</v>
      </c>
      <c r="C73" s="372"/>
      <c r="D73" s="372"/>
      <c r="E73" s="372"/>
      <c r="F73" s="372"/>
      <c r="G73" s="372"/>
      <c r="H73" s="372"/>
      <c r="I73" s="372"/>
      <c r="J73" s="372"/>
      <c r="K73" s="372"/>
      <c r="L73" s="372"/>
      <c r="M73" s="372"/>
    </row>
    <row r="74" spans="2:27" x14ac:dyDescent="0.25">
      <c r="B74" s="372"/>
      <c r="C74" s="372"/>
      <c r="D74" s="372"/>
      <c r="E74" s="372"/>
      <c r="F74" s="372"/>
      <c r="G74" s="372"/>
      <c r="H74" s="372"/>
      <c r="I74" s="372"/>
      <c r="J74" s="372"/>
      <c r="K74" s="372"/>
      <c r="L74" s="372"/>
      <c r="M74" s="372"/>
    </row>
    <row r="75" spans="2:27" x14ac:dyDescent="0.25">
      <c r="B75" s="372"/>
      <c r="C75" s="372"/>
      <c r="D75" s="372"/>
      <c r="E75" s="372"/>
      <c r="F75" s="372"/>
      <c r="G75" s="372"/>
      <c r="H75" s="372"/>
      <c r="I75" s="372"/>
      <c r="J75" s="372"/>
      <c r="K75" s="372"/>
      <c r="L75" s="372"/>
      <c r="M75" s="372"/>
    </row>
    <row r="76" spans="2:27" x14ac:dyDescent="0.25">
      <c r="B76" s="223"/>
      <c r="C76" s="223"/>
      <c r="D76" s="223"/>
      <c r="E76" s="223"/>
      <c r="F76" s="223"/>
      <c r="G76" s="223"/>
      <c r="H76" s="223"/>
      <c r="I76" s="223"/>
      <c r="J76" s="223"/>
      <c r="K76" s="223"/>
      <c r="L76" s="223"/>
      <c r="M76" s="223"/>
    </row>
    <row r="77" spans="2:27" x14ac:dyDescent="0.25">
      <c r="B77" s="226" t="s">
        <v>439</v>
      </c>
      <c r="C77" s="225"/>
      <c r="D77" s="225"/>
      <c r="E77" s="225"/>
      <c r="F77" s="225"/>
      <c r="G77" s="225"/>
      <c r="H77" s="225"/>
      <c r="I77" s="225"/>
      <c r="J77" s="225"/>
      <c r="K77" s="225"/>
      <c r="L77" s="225"/>
      <c r="M77" s="225"/>
      <c r="N77" s="225"/>
      <c r="O77" s="225"/>
      <c r="P77" s="225"/>
      <c r="Q77" s="225"/>
      <c r="R77" s="225"/>
      <c r="S77" s="225"/>
      <c r="T77" s="225"/>
      <c r="U77" s="225"/>
      <c r="V77" s="225"/>
      <c r="W77" s="225"/>
      <c r="X77" s="225"/>
    </row>
    <row r="78" spans="2:27" ht="14.4" customHeight="1" x14ac:dyDescent="0.25">
      <c r="B78" s="372" t="s">
        <v>438</v>
      </c>
      <c r="C78" s="372"/>
      <c r="D78" s="372"/>
      <c r="E78" s="372"/>
      <c r="F78" s="372"/>
      <c r="G78" s="372"/>
      <c r="H78" s="372"/>
      <c r="I78" s="372"/>
      <c r="J78" s="372"/>
      <c r="K78" s="372"/>
      <c r="L78" s="372"/>
      <c r="M78" s="372"/>
      <c r="N78" s="225"/>
      <c r="O78" s="225"/>
      <c r="P78" s="225"/>
      <c r="Q78" s="225"/>
      <c r="R78" s="225"/>
      <c r="S78" s="225"/>
      <c r="T78" s="225"/>
      <c r="U78" s="225"/>
      <c r="V78" s="225"/>
      <c r="W78" s="225"/>
      <c r="X78" s="225"/>
      <c r="Y78" s="225"/>
      <c r="Z78" s="225"/>
      <c r="AA78" s="225"/>
    </row>
    <row r="79" spans="2:27" x14ac:dyDescent="0.25">
      <c r="B79" s="372"/>
      <c r="C79" s="372"/>
      <c r="D79" s="372"/>
      <c r="E79" s="372"/>
      <c r="F79" s="372"/>
      <c r="G79" s="372"/>
      <c r="H79" s="372"/>
      <c r="I79" s="372"/>
      <c r="J79" s="372"/>
      <c r="K79" s="372"/>
      <c r="L79" s="372"/>
      <c r="M79" s="372"/>
      <c r="N79" s="225"/>
      <c r="O79" s="225"/>
      <c r="P79" s="225"/>
      <c r="Q79" s="225"/>
      <c r="R79" s="225"/>
      <c r="S79" s="225"/>
      <c r="T79" s="225"/>
      <c r="U79" s="225"/>
      <c r="V79" s="225"/>
      <c r="W79" s="225"/>
      <c r="X79" s="225"/>
      <c r="Y79" s="225"/>
      <c r="Z79" s="225"/>
      <c r="AA79" s="225"/>
    </row>
    <row r="80" spans="2:27" x14ac:dyDescent="0.25">
      <c r="B80" s="372"/>
      <c r="C80" s="372"/>
      <c r="D80" s="372"/>
      <c r="E80" s="372"/>
      <c r="F80" s="372"/>
      <c r="G80" s="372"/>
      <c r="H80" s="372"/>
      <c r="I80" s="372"/>
      <c r="J80" s="372"/>
      <c r="K80" s="372"/>
      <c r="L80" s="372"/>
      <c r="M80" s="372"/>
      <c r="N80" s="225"/>
      <c r="O80" s="225"/>
      <c r="P80" s="225"/>
      <c r="Q80" s="225"/>
      <c r="R80" s="225"/>
      <c r="S80" s="225"/>
      <c r="T80" s="225"/>
      <c r="U80" s="225"/>
      <c r="V80" s="225"/>
      <c r="W80" s="225"/>
      <c r="X80" s="225"/>
      <c r="Y80" s="225"/>
      <c r="Z80" s="225"/>
      <c r="AA80" s="225"/>
    </row>
    <row r="81" spans="2:27" x14ac:dyDescent="0.25">
      <c r="B81" s="372"/>
      <c r="C81" s="372"/>
      <c r="D81" s="372"/>
      <c r="E81" s="372"/>
      <c r="F81" s="372"/>
      <c r="G81" s="372"/>
      <c r="H81" s="372"/>
      <c r="I81" s="372"/>
      <c r="J81" s="372"/>
      <c r="K81" s="372"/>
      <c r="L81" s="372"/>
      <c r="M81" s="372"/>
      <c r="N81" s="225"/>
      <c r="O81" s="225"/>
      <c r="P81" s="225"/>
      <c r="Q81" s="225"/>
      <c r="R81" s="225"/>
      <c r="S81" s="225"/>
      <c r="T81" s="225"/>
      <c r="U81" s="225"/>
      <c r="V81" s="225"/>
      <c r="W81" s="225"/>
      <c r="X81" s="225"/>
      <c r="Y81" s="225"/>
      <c r="Z81" s="225"/>
      <c r="AA81" s="225"/>
    </row>
    <row r="82" spans="2:27" x14ac:dyDescent="0.25">
      <c r="B82" s="372"/>
      <c r="C82" s="372"/>
      <c r="D82" s="372"/>
      <c r="E82" s="372"/>
      <c r="F82" s="372"/>
      <c r="G82" s="372"/>
      <c r="H82" s="372"/>
      <c r="I82" s="372"/>
      <c r="J82" s="372"/>
      <c r="K82" s="372"/>
      <c r="L82" s="372"/>
      <c r="M82" s="372"/>
      <c r="N82" s="225"/>
      <c r="O82" s="225"/>
      <c r="P82" s="225"/>
      <c r="Q82" s="225"/>
      <c r="R82" s="225"/>
      <c r="S82" s="225"/>
      <c r="T82" s="225"/>
      <c r="U82" s="225"/>
      <c r="V82" s="225"/>
      <c r="W82" s="225"/>
      <c r="X82" s="225"/>
      <c r="Y82" s="225"/>
      <c r="Z82" s="225"/>
      <c r="AA82" s="225"/>
    </row>
    <row r="83" spans="2:27" x14ac:dyDescent="0.25">
      <c r="B83" s="230"/>
      <c r="C83" s="230"/>
      <c r="D83" s="230"/>
      <c r="E83" s="230"/>
      <c r="F83" s="230"/>
      <c r="G83" s="230"/>
      <c r="H83" s="230"/>
      <c r="I83" s="230"/>
      <c r="J83" s="230"/>
      <c r="K83" s="230"/>
      <c r="L83" s="230"/>
      <c r="M83" s="230"/>
      <c r="N83" s="225"/>
      <c r="O83" s="225"/>
      <c r="P83" s="225"/>
      <c r="Q83" s="225"/>
      <c r="R83" s="225"/>
      <c r="S83" s="225"/>
      <c r="T83" s="225"/>
      <c r="U83" s="225"/>
      <c r="V83" s="225"/>
      <c r="W83" s="225"/>
      <c r="X83" s="225"/>
      <c r="Y83" s="225"/>
      <c r="Z83" s="225"/>
      <c r="AA83" s="225"/>
    </row>
    <row r="84" spans="2:27" x14ac:dyDescent="0.25">
      <c r="B84" s="226" t="s">
        <v>436</v>
      </c>
      <c r="C84" s="223"/>
      <c r="D84" s="223"/>
      <c r="E84" s="223"/>
      <c r="F84" s="223"/>
      <c r="G84" s="223"/>
      <c r="H84" s="223"/>
      <c r="I84" s="223"/>
      <c r="J84" s="223"/>
      <c r="K84" s="223"/>
      <c r="L84" s="223"/>
      <c r="M84" s="223"/>
    </row>
    <row r="85" spans="2:27" ht="7.2" customHeight="1" x14ac:dyDescent="0.25">
      <c r="B85" s="223"/>
      <c r="C85" s="223"/>
      <c r="D85" s="223"/>
      <c r="E85" s="223"/>
      <c r="F85" s="223"/>
      <c r="G85" s="223"/>
      <c r="H85" s="223"/>
      <c r="I85" s="223"/>
      <c r="J85" s="223"/>
      <c r="K85" s="223"/>
      <c r="L85" s="223"/>
      <c r="M85" s="223"/>
    </row>
    <row r="86" spans="2:27" x14ac:dyDescent="0.25">
      <c r="B86" s="361" t="str">
        <f>Calibración!CP4</f>
        <v>Descripción</v>
      </c>
      <c r="C86" s="361"/>
      <c r="D86" s="229" t="str">
        <f>Calibración!CR4</f>
        <v>Marca</v>
      </c>
      <c r="E86" s="361" t="str">
        <f>Calibración!CS4</f>
        <v>Código</v>
      </c>
      <c r="F86" s="361"/>
      <c r="G86" s="361"/>
      <c r="H86" s="361" t="str">
        <f>Calibración!CT4</f>
        <v>Trazabilidad</v>
      </c>
      <c r="I86" s="361"/>
      <c r="J86" s="361"/>
      <c r="K86" s="361"/>
      <c r="L86" s="365" t="str">
        <f>Calibración!CU4</f>
        <v>Próx. Calibr.</v>
      </c>
      <c r="M86" s="365"/>
    </row>
    <row r="87" spans="2:27" x14ac:dyDescent="0.25">
      <c r="B87" s="374" t="s">
        <v>435</v>
      </c>
      <c r="C87" s="374"/>
      <c r="D87" s="228" t="str">
        <f>VLOOKUP(E87,'BD Patron'!C6:O10,2,FALSE)</f>
        <v>Extech</v>
      </c>
      <c r="E87" s="362" t="str">
        <f>General!I4</f>
        <v>NI-MCPPT-06</v>
      </c>
      <c r="F87" s="362"/>
      <c r="G87" s="362"/>
      <c r="H87" s="362" t="str">
        <f>VLOOKUP(E87,'BD Patron'!C6:O10,11,FALSE)</f>
        <v>SCM Metrología y Laboratorios SCM-00039471</v>
      </c>
      <c r="I87" s="362"/>
      <c r="J87" s="362"/>
      <c r="K87" s="362"/>
      <c r="L87" s="373">
        <f>VLOOKUP(E87,'BD Patron'!C6:O10,10,FALSE)+731</f>
        <v>45570</v>
      </c>
      <c r="M87" s="373"/>
    </row>
    <row r="88" spans="2:27" x14ac:dyDescent="0.25">
      <c r="B88" s="355" t="str">
        <f>Calibración!CP6</f>
        <v/>
      </c>
      <c r="C88" s="355"/>
      <c r="D88" s="227" t="str">
        <f>Calibración!CR6</f>
        <v/>
      </c>
      <c r="E88" s="356" t="str">
        <f>Calibración!CS6</f>
        <v/>
      </c>
      <c r="F88" s="356"/>
      <c r="G88" s="356"/>
      <c r="H88" s="356" t="str">
        <f>Calibración!CT6</f>
        <v/>
      </c>
      <c r="I88" s="356"/>
      <c r="J88" s="356"/>
      <c r="K88" s="356"/>
      <c r="L88" s="357" t="str">
        <f>Calibración!CU6</f>
        <v/>
      </c>
      <c r="M88" s="357"/>
    </row>
    <row r="89" spans="2:27" x14ac:dyDescent="0.25">
      <c r="B89" s="355" t="str">
        <f>Calibración!CP7</f>
        <v/>
      </c>
      <c r="C89" s="355"/>
      <c r="D89" s="227" t="str">
        <f>Calibración!CR7</f>
        <v/>
      </c>
      <c r="E89" s="356" t="str">
        <f>Calibración!CS7</f>
        <v/>
      </c>
      <c r="F89" s="356"/>
      <c r="G89" s="356"/>
      <c r="H89" s="356" t="str">
        <f>Calibración!CT7</f>
        <v/>
      </c>
      <c r="I89" s="356"/>
      <c r="J89" s="356"/>
      <c r="K89" s="356"/>
      <c r="L89" s="357" t="str">
        <f>Calibración!CU7</f>
        <v/>
      </c>
      <c r="M89" s="357"/>
    </row>
    <row r="90" spans="2:27" x14ac:dyDescent="0.25">
      <c r="B90" s="355" t="str">
        <f>Calibración!CP8</f>
        <v/>
      </c>
      <c r="C90" s="355"/>
      <c r="D90" s="227" t="str">
        <f>Calibración!CR8</f>
        <v/>
      </c>
      <c r="E90" s="356" t="str">
        <f>Calibración!CS8</f>
        <v/>
      </c>
      <c r="F90" s="356"/>
      <c r="G90" s="356"/>
      <c r="H90" s="356" t="str">
        <f>Calibración!CT8</f>
        <v/>
      </c>
      <c r="I90" s="356"/>
      <c r="J90" s="356"/>
      <c r="K90" s="356"/>
      <c r="L90" s="357" t="str">
        <f>Calibración!CU8</f>
        <v/>
      </c>
      <c r="M90" s="357"/>
    </row>
    <row r="91" spans="2:27" x14ac:dyDescent="0.25">
      <c r="B91" s="355" t="str">
        <f>Calibración!CP9</f>
        <v/>
      </c>
      <c r="C91" s="355"/>
      <c r="D91" s="227" t="str">
        <f>Calibración!CR9</f>
        <v/>
      </c>
      <c r="E91" s="356" t="str">
        <f>Calibración!CS9</f>
        <v/>
      </c>
      <c r="F91" s="356"/>
      <c r="G91" s="356"/>
      <c r="H91" s="356" t="str">
        <f>Calibración!CT9</f>
        <v/>
      </c>
      <c r="I91" s="356"/>
      <c r="J91" s="356"/>
      <c r="K91" s="356"/>
      <c r="L91" s="357" t="str">
        <f>Calibración!CU9</f>
        <v/>
      </c>
      <c r="M91" s="357"/>
    </row>
    <row r="92" spans="2:27" hidden="1" x14ac:dyDescent="0.25">
      <c r="B92" s="378" t="str">
        <f>Calibración!CP10</f>
        <v/>
      </c>
      <c r="C92" s="378"/>
      <c r="D92" s="246" t="str">
        <f>Calibración!CR10</f>
        <v/>
      </c>
      <c r="E92" s="379" t="str">
        <f>Calibración!CS10</f>
        <v/>
      </c>
      <c r="F92" s="379"/>
      <c r="G92" s="379"/>
      <c r="H92" s="379" t="str">
        <f>Calibración!CT10</f>
        <v/>
      </c>
      <c r="I92" s="379"/>
      <c r="J92" s="379"/>
      <c r="K92" s="379"/>
      <c r="L92" s="382" t="str">
        <f>Calibración!CU10</f>
        <v/>
      </c>
      <c r="M92" s="382"/>
    </row>
    <row r="93" spans="2:27" hidden="1" x14ac:dyDescent="0.25">
      <c r="B93" s="377" t="str">
        <f>Calibración!CP11</f>
        <v/>
      </c>
      <c r="C93" s="377"/>
      <c r="D93" s="245" t="str">
        <f>Calibración!CR11</f>
        <v/>
      </c>
      <c r="E93" s="375" t="str">
        <f>Calibración!CS11</f>
        <v/>
      </c>
      <c r="F93" s="375"/>
      <c r="G93" s="375"/>
      <c r="H93" s="375" t="str">
        <f>Calibración!CT11</f>
        <v/>
      </c>
      <c r="I93" s="375"/>
      <c r="J93" s="375"/>
      <c r="K93" s="375"/>
      <c r="L93" s="376" t="str">
        <f>Calibración!CU11</f>
        <v/>
      </c>
      <c r="M93" s="376"/>
    </row>
    <row r="94" spans="2:27" hidden="1" x14ac:dyDescent="0.25">
      <c r="B94" s="377" t="str">
        <f>Calibración!CP12</f>
        <v/>
      </c>
      <c r="C94" s="377"/>
      <c r="D94" s="245" t="str">
        <f>Calibración!CR12</f>
        <v/>
      </c>
      <c r="E94" s="375" t="str">
        <f>Calibración!CS12</f>
        <v/>
      </c>
      <c r="F94" s="375"/>
      <c r="G94" s="375"/>
      <c r="H94" s="375" t="str">
        <f>Calibración!CT12</f>
        <v/>
      </c>
      <c r="I94" s="375"/>
      <c r="J94" s="375"/>
      <c r="K94" s="375"/>
      <c r="L94" s="376" t="str">
        <f>Calibración!CU12</f>
        <v/>
      </c>
      <c r="M94" s="376"/>
    </row>
    <row r="95" spans="2:27" hidden="1" x14ac:dyDescent="0.25">
      <c r="B95" s="377" t="str">
        <f>Calibración!CP13</f>
        <v/>
      </c>
      <c r="C95" s="377"/>
      <c r="D95" s="245" t="str">
        <f>Calibración!CR13</f>
        <v/>
      </c>
      <c r="E95" s="375" t="str">
        <f>Calibración!CS13</f>
        <v/>
      </c>
      <c r="F95" s="375"/>
      <c r="G95" s="375"/>
      <c r="H95" s="375" t="str">
        <f>Calibración!CT13</f>
        <v/>
      </c>
      <c r="I95" s="375"/>
      <c r="J95" s="375"/>
      <c r="K95" s="375"/>
      <c r="L95" s="376" t="str">
        <f>Calibración!CU13</f>
        <v/>
      </c>
      <c r="M95" s="376"/>
    </row>
    <row r="96" spans="2:27" hidden="1" x14ac:dyDescent="0.25">
      <c r="B96" s="377" t="str">
        <f>Calibración!CP14</f>
        <v/>
      </c>
      <c r="C96" s="377"/>
      <c r="D96" s="245" t="str">
        <f>Calibración!CR14</f>
        <v/>
      </c>
      <c r="E96" s="375" t="str">
        <f>Calibración!CS14</f>
        <v/>
      </c>
      <c r="F96" s="375"/>
      <c r="G96" s="375"/>
      <c r="H96" s="375" t="str">
        <f>Calibración!CT14</f>
        <v/>
      </c>
      <c r="I96" s="375"/>
      <c r="J96" s="375"/>
      <c r="K96" s="375"/>
      <c r="L96" s="376" t="str">
        <f>Calibración!CU14</f>
        <v/>
      </c>
      <c r="M96" s="376"/>
    </row>
    <row r="97" spans="2:13" hidden="1" x14ac:dyDescent="0.25">
      <c r="B97" s="377" t="str">
        <f>Calibración!CP15</f>
        <v/>
      </c>
      <c r="C97" s="377"/>
      <c r="D97" s="245" t="str">
        <f>Calibración!CR15</f>
        <v/>
      </c>
      <c r="E97" s="375" t="str">
        <f>Calibración!CS15</f>
        <v/>
      </c>
      <c r="F97" s="375"/>
      <c r="G97" s="375"/>
      <c r="H97" s="375" t="str">
        <f>Calibración!CT15</f>
        <v/>
      </c>
      <c r="I97" s="375"/>
      <c r="J97" s="375"/>
      <c r="K97" s="375"/>
      <c r="L97" s="376" t="str">
        <f>Calibración!CU15</f>
        <v/>
      </c>
      <c r="M97" s="376"/>
    </row>
    <row r="98" spans="2:13" hidden="1" x14ac:dyDescent="0.25">
      <c r="B98" s="377" t="str">
        <f>Calibración!CP16</f>
        <v/>
      </c>
      <c r="C98" s="377"/>
      <c r="D98" s="245" t="str">
        <f>Calibración!CR16</f>
        <v/>
      </c>
      <c r="E98" s="375" t="str">
        <f>Calibración!CS16</f>
        <v/>
      </c>
      <c r="F98" s="375"/>
      <c r="G98" s="375"/>
      <c r="H98" s="375" t="str">
        <f>Calibración!CT16</f>
        <v/>
      </c>
      <c r="I98" s="375"/>
      <c r="J98" s="375"/>
      <c r="K98" s="375"/>
      <c r="L98" s="376" t="str">
        <f>Calibración!CU16</f>
        <v/>
      </c>
      <c r="M98" s="376"/>
    </row>
    <row r="99" spans="2:13" hidden="1" x14ac:dyDescent="0.25">
      <c r="B99" s="377" t="str">
        <f>Calibración!CP17</f>
        <v/>
      </c>
      <c r="C99" s="377"/>
      <c r="D99" s="245" t="str">
        <f>Calibración!CR17</f>
        <v/>
      </c>
      <c r="E99" s="375" t="str">
        <f>Calibración!CS17</f>
        <v/>
      </c>
      <c r="F99" s="375"/>
      <c r="G99" s="375"/>
      <c r="H99" s="375" t="str">
        <f>Calibración!CT17</f>
        <v/>
      </c>
      <c r="I99" s="375"/>
      <c r="J99" s="375"/>
      <c r="K99" s="375"/>
      <c r="L99" s="376" t="str">
        <f>Calibración!CU17</f>
        <v/>
      </c>
      <c r="M99" s="376"/>
    </row>
    <row r="100" spans="2:13" hidden="1" x14ac:dyDescent="0.25">
      <c r="B100" s="377" t="str">
        <f>Calibración!CP18</f>
        <v/>
      </c>
      <c r="C100" s="377"/>
      <c r="D100" s="245" t="str">
        <f>Calibración!CR18</f>
        <v/>
      </c>
      <c r="E100" s="375" t="str">
        <f>Calibración!CS18</f>
        <v/>
      </c>
      <c r="F100" s="375"/>
      <c r="G100" s="375"/>
      <c r="H100" s="375" t="str">
        <f>Calibración!CT18</f>
        <v/>
      </c>
      <c r="I100" s="375"/>
      <c r="J100" s="375"/>
      <c r="K100" s="375"/>
      <c r="L100" s="376" t="str">
        <f>Calibración!CU18</f>
        <v/>
      </c>
      <c r="M100" s="376"/>
    </row>
    <row r="101" spans="2:13" hidden="1" x14ac:dyDescent="0.25">
      <c r="B101" s="377" t="str">
        <f>Calibración!CP19</f>
        <v/>
      </c>
      <c r="C101" s="377"/>
      <c r="D101" s="245" t="str">
        <f>Calibración!CR19</f>
        <v/>
      </c>
      <c r="E101" s="375" t="str">
        <f>Calibración!CS19</f>
        <v/>
      </c>
      <c r="F101" s="375"/>
      <c r="G101" s="375"/>
      <c r="H101" s="375" t="str">
        <f>Calibración!CT19</f>
        <v/>
      </c>
      <c r="I101" s="375"/>
      <c r="J101" s="375"/>
      <c r="K101" s="375"/>
      <c r="L101" s="376" t="str">
        <f>Calibración!CU19</f>
        <v/>
      </c>
      <c r="M101" s="376"/>
    </row>
    <row r="102" spans="2:13" hidden="1" x14ac:dyDescent="0.25">
      <c r="B102" s="377" t="str">
        <f>Calibración!CP20</f>
        <v/>
      </c>
      <c r="C102" s="377"/>
      <c r="D102" s="245" t="str">
        <f>Calibración!CR20</f>
        <v/>
      </c>
      <c r="E102" s="375" t="str">
        <f>Calibración!CS20</f>
        <v/>
      </c>
      <c r="F102" s="375"/>
      <c r="G102" s="375"/>
      <c r="H102" s="375" t="str">
        <f>Calibración!CT20</f>
        <v/>
      </c>
      <c r="I102" s="375"/>
      <c r="J102" s="375"/>
      <c r="K102" s="375"/>
      <c r="L102" s="376" t="str">
        <f>Calibración!CU20</f>
        <v/>
      </c>
      <c r="M102" s="376"/>
    </row>
    <row r="103" spans="2:13" hidden="1" x14ac:dyDescent="0.25">
      <c r="B103" s="377" t="str">
        <f>Calibración!CP21</f>
        <v/>
      </c>
      <c r="C103" s="377"/>
      <c r="D103" s="245" t="str">
        <f>Calibración!CR21</f>
        <v/>
      </c>
      <c r="E103" s="375" t="str">
        <f>Calibración!CS21</f>
        <v/>
      </c>
      <c r="F103" s="375"/>
      <c r="G103" s="375"/>
      <c r="H103" s="375" t="str">
        <f>Calibración!CT21</f>
        <v/>
      </c>
      <c r="I103" s="375"/>
      <c r="J103" s="375"/>
      <c r="K103" s="375"/>
      <c r="L103" s="376" t="str">
        <f>Calibración!CU21</f>
        <v/>
      </c>
      <c r="M103" s="376"/>
    </row>
    <row r="104" spans="2:13" hidden="1" x14ac:dyDescent="0.25">
      <c r="B104" s="377" t="str">
        <f>Calibración!CP22</f>
        <v/>
      </c>
      <c r="C104" s="377"/>
      <c r="D104" s="245" t="str">
        <f>Calibración!CR22</f>
        <v/>
      </c>
      <c r="E104" s="375" t="str">
        <f>Calibración!CS22</f>
        <v/>
      </c>
      <c r="F104" s="375"/>
      <c r="G104" s="375"/>
      <c r="H104" s="375" t="str">
        <f>Calibración!CT22</f>
        <v/>
      </c>
      <c r="I104" s="375"/>
      <c r="J104" s="375"/>
      <c r="K104" s="375"/>
      <c r="L104" s="376" t="str">
        <f>Calibración!CU22</f>
        <v/>
      </c>
      <c r="M104" s="376"/>
    </row>
    <row r="105" spans="2:13" hidden="1" x14ac:dyDescent="0.25">
      <c r="B105" s="377" t="str">
        <f>Calibración!CP23</f>
        <v/>
      </c>
      <c r="C105" s="377"/>
      <c r="D105" s="245" t="str">
        <f>Calibración!CR23</f>
        <v/>
      </c>
      <c r="E105" s="375" t="str">
        <f>Calibración!CS23</f>
        <v/>
      </c>
      <c r="F105" s="375"/>
      <c r="G105" s="375"/>
      <c r="H105" s="375" t="str">
        <f>Calibración!CT23</f>
        <v/>
      </c>
      <c r="I105" s="375"/>
      <c r="J105" s="375"/>
      <c r="K105" s="375"/>
      <c r="L105" s="376" t="str">
        <f>Calibración!CU23</f>
        <v/>
      </c>
      <c r="M105" s="376"/>
    </row>
    <row r="106" spans="2:13" hidden="1" x14ac:dyDescent="0.25">
      <c r="B106" s="377" t="str">
        <f>Calibración!CP24</f>
        <v/>
      </c>
      <c r="C106" s="377"/>
      <c r="D106" s="245" t="str">
        <f>Calibración!CR24</f>
        <v/>
      </c>
      <c r="E106" s="375" t="str">
        <f>Calibración!CS24</f>
        <v/>
      </c>
      <c r="F106" s="375"/>
      <c r="G106" s="375"/>
      <c r="H106" s="375" t="str">
        <f>Calibración!CT24</f>
        <v/>
      </c>
      <c r="I106" s="375"/>
      <c r="J106" s="375"/>
      <c r="K106" s="375"/>
      <c r="L106" s="376" t="str">
        <f>Calibración!CU24</f>
        <v/>
      </c>
      <c r="M106" s="376"/>
    </row>
    <row r="107" spans="2:13" hidden="1" x14ac:dyDescent="0.25">
      <c r="B107" s="377" t="str">
        <f>Calibración!CP25</f>
        <v/>
      </c>
      <c r="C107" s="377"/>
      <c r="D107" s="245" t="str">
        <f>Calibración!CR25</f>
        <v/>
      </c>
      <c r="E107" s="375" t="str">
        <f>Calibración!CS25</f>
        <v/>
      </c>
      <c r="F107" s="375"/>
      <c r="G107" s="375"/>
      <c r="H107" s="375" t="str">
        <f>Calibración!CT25</f>
        <v/>
      </c>
      <c r="I107" s="375"/>
      <c r="J107" s="375"/>
      <c r="K107" s="375"/>
      <c r="L107" s="376" t="str">
        <f>Calibración!CU25</f>
        <v/>
      </c>
      <c r="M107" s="376"/>
    </row>
    <row r="108" spans="2:13" x14ac:dyDescent="0.25">
      <c r="B108" s="232"/>
      <c r="C108" s="232"/>
      <c r="D108" s="223"/>
      <c r="E108" s="223"/>
      <c r="F108" s="223"/>
      <c r="G108" s="223"/>
      <c r="H108" s="223"/>
      <c r="I108" s="223"/>
      <c r="J108" s="223"/>
      <c r="K108" s="223"/>
      <c r="L108" s="244"/>
      <c r="M108" s="244"/>
    </row>
    <row r="109" spans="2:13" x14ac:dyDescent="0.25">
      <c r="B109" s="232"/>
      <c r="C109" s="232"/>
      <c r="D109" s="223"/>
      <c r="E109" s="223"/>
      <c r="F109" s="223"/>
      <c r="G109" s="223"/>
      <c r="H109" s="223"/>
      <c r="I109" s="223"/>
      <c r="J109" s="223"/>
      <c r="K109" s="223"/>
      <c r="L109" s="244"/>
      <c r="M109" s="244"/>
    </row>
    <row r="110" spans="2:13" x14ac:dyDescent="0.25">
      <c r="B110" s="226" t="s">
        <v>434</v>
      </c>
    </row>
    <row r="111" spans="2:13" x14ac:dyDescent="0.25">
      <c r="B111" s="221" t="s">
        <v>433</v>
      </c>
    </row>
    <row r="112" spans="2:13" x14ac:dyDescent="0.25">
      <c r="B112" s="221" t="s">
        <v>476</v>
      </c>
    </row>
    <row r="113" spans="2:20" x14ac:dyDescent="0.25">
      <c r="B113" s="221" t="s">
        <v>433</v>
      </c>
    </row>
    <row r="114" spans="2:20" x14ac:dyDescent="0.25">
      <c r="B114" s="221" t="s">
        <v>432</v>
      </c>
      <c r="S114" s="225"/>
      <c r="T114" s="225"/>
    </row>
    <row r="115" spans="2:20" x14ac:dyDescent="0.25">
      <c r="B115" s="221" t="s">
        <v>431</v>
      </c>
      <c r="S115" s="225"/>
      <c r="T115" s="225"/>
    </row>
    <row r="116" spans="2:20" x14ac:dyDescent="0.25">
      <c r="B116" s="221" t="s">
        <v>430</v>
      </c>
    </row>
    <row r="117" spans="2:20" x14ac:dyDescent="0.25">
      <c r="B117" s="221" t="s">
        <v>479</v>
      </c>
    </row>
    <row r="118" spans="2:20" x14ac:dyDescent="0.25">
      <c r="B118" s="221" t="s">
        <v>478</v>
      </c>
    </row>
    <row r="119" spans="2:20" x14ac:dyDescent="0.25">
      <c r="B119" s="223"/>
      <c r="C119" s="223"/>
      <c r="D119" s="223"/>
      <c r="E119" s="223"/>
      <c r="F119" s="223"/>
      <c r="J119" s="223"/>
      <c r="K119" s="223"/>
      <c r="L119" s="223"/>
      <c r="M119" s="223"/>
    </row>
    <row r="123" spans="2:20" x14ac:dyDescent="0.25">
      <c r="F123" s="364"/>
      <c r="G123" s="364"/>
      <c r="H123" s="364"/>
      <c r="I123" s="364"/>
    </row>
    <row r="124" spans="2:20" x14ac:dyDescent="0.25">
      <c r="F124" s="368" t="s">
        <v>67</v>
      </c>
      <c r="G124" s="368"/>
      <c r="H124" s="368"/>
      <c r="I124" s="368"/>
    </row>
    <row r="125" spans="2:20" x14ac:dyDescent="0.25">
      <c r="F125" s="368" t="s">
        <v>427</v>
      </c>
      <c r="G125" s="368"/>
      <c r="H125" s="368"/>
      <c r="I125" s="368"/>
    </row>
    <row r="126" spans="2:20" x14ac:dyDescent="0.25">
      <c r="F126" s="369" t="s">
        <v>426</v>
      </c>
      <c r="G126" s="369"/>
      <c r="H126" s="369"/>
      <c r="I126" s="369"/>
    </row>
    <row r="129" spans="5:10" x14ac:dyDescent="0.25">
      <c r="E129" s="369" t="s">
        <v>425</v>
      </c>
      <c r="F129" s="369"/>
      <c r="G129" s="369"/>
      <c r="H129" s="369"/>
      <c r="I129" s="369"/>
      <c r="J129" s="369"/>
    </row>
  </sheetData>
  <mergeCells count="183">
    <mergeCell ref="H11:I11"/>
    <mergeCell ref="F125:I125"/>
    <mergeCell ref="F126:I126"/>
    <mergeCell ref="E129:J129"/>
    <mergeCell ref="B107:C107"/>
    <mergeCell ref="E107:G107"/>
    <mergeCell ref="H107:K107"/>
    <mergeCell ref="B101:C101"/>
    <mergeCell ref="E101:G101"/>
    <mergeCell ref="H101:K101"/>
    <mergeCell ref="B103:C103"/>
    <mergeCell ref="E103:G103"/>
    <mergeCell ref="H103:K103"/>
    <mergeCell ref="B99:C99"/>
    <mergeCell ref="E99:G99"/>
    <mergeCell ref="H99:K99"/>
    <mergeCell ref="B94:C94"/>
    <mergeCell ref="E94:G94"/>
    <mergeCell ref="H94:K94"/>
    <mergeCell ref="B91:C91"/>
    <mergeCell ref="E91:G91"/>
    <mergeCell ref="H91:K91"/>
    <mergeCell ref="B88:C88"/>
    <mergeCell ref="E88:G88"/>
    <mergeCell ref="L107:M107"/>
    <mergeCell ref="F123:I123"/>
    <mergeCell ref="F124:I124"/>
    <mergeCell ref="B105:C105"/>
    <mergeCell ref="E105:G105"/>
    <mergeCell ref="H105:K105"/>
    <mergeCell ref="L105:M105"/>
    <mergeCell ref="B106:C106"/>
    <mergeCell ref="E106:G106"/>
    <mergeCell ref="H106:K106"/>
    <mergeCell ref="L106:M106"/>
    <mergeCell ref="L103:M103"/>
    <mergeCell ref="B104:C104"/>
    <mergeCell ref="E104:G104"/>
    <mergeCell ref="H104:K104"/>
    <mergeCell ref="L104:M104"/>
    <mergeCell ref="L101:M101"/>
    <mergeCell ref="B102:C102"/>
    <mergeCell ref="E102:G102"/>
    <mergeCell ref="H102:K102"/>
    <mergeCell ref="L102:M102"/>
    <mergeCell ref="L99:M99"/>
    <mergeCell ref="B100:C100"/>
    <mergeCell ref="E100:G100"/>
    <mergeCell ref="H100:K100"/>
    <mergeCell ref="L100:M100"/>
    <mergeCell ref="B97:C97"/>
    <mergeCell ref="E97:G97"/>
    <mergeCell ref="H97:K97"/>
    <mergeCell ref="L97:M97"/>
    <mergeCell ref="B98:C98"/>
    <mergeCell ref="E98:G98"/>
    <mergeCell ref="H98:K98"/>
    <mergeCell ref="L94:M94"/>
    <mergeCell ref="L98:M98"/>
    <mergeCell ref="B95:C95"/>
    <mergeCell ref="E95:G95"/>
    <mergeCell ref="H95:K95"/>
    <mergeCell ref="L95:M95"/>
    <mergeCell ref="B96:C96"/>
    <mergeCell ref="E96:G96"/>
    <mergeCell ref="H96:K96"/>
    <mergeCell ref="L96:M96"/>
    <mergeCell ref="L91:M91"/>
    <mergeCell ref="B92:C92"/>
    <mergeCell ref="E92:G92"/>
    <mergeCell ref="H92:K92"/>
    <mergeCell ref="L92:M92"/>
    <mergeCell ref="B93:C93"/>
    <mergeCell ref="E93:G93"/>
    <mergeCell ref="H93:K93"/>
    <mergeCell ref="L93:M93"/>
    <mergeCell ref="H88:K88"/>
    <mergeCell ref="L88:M88"/>
    <mergeCell ref="B89:C89"/>
    <mergeCell ref="E89:G89"/>
    <mergeCell ref="H89:K89"/>
    <mergeCell ref="L89:M89"/>
    <mergeCell ref="B90:C90"/>
    <mergeCell ref="E90:G90"/>
    <mergeCell ref="H90:K90"/>
    <mergeCell ref="L90:M90"/>
    <mergeCell ref="B46:C46"/>
    <mergeCell ref="D46:E46"/>
    <mergeCell ref="B73:M75"/>
    <mergeCell ref="B78:M82"/>
    <mergeCell ref="B86:C86"/>
    <mergeCell ref="E86:G86"/>
    <mergeCell ref="H86:K86"/>
    <mergeCell ref="L86:M86"/>
    <mergeCell ref="B87:C87"/>
    <mergeCell ref="E87:G87"/>
    <mergeCell ref="H87:K87"/>
    <mergeCell ref="L87:M87"/>
    <mergeCell ref="B41:M41"/>
    <mergeCell ref="B43:C44"/>
    <mergeCell ref="B52:C52"/>
    <mergeCell ref="D52:E52"/>
    <mergeCell ref="F52:G52"/>
    <mergeCell ref="L52:M52"/>
    <mergeCell ref="H46:I52"/>
    <mergeCell ref="J46:K52"/>
    <mergeCell ref="B48:C48"/>
    <mergeCell ref="D48:E48"/>
    <mergeCell ref="F48:G48"/>
    <mergeCell ref="L48:M48"/>
    <mergeCell ref="B50:C50"/>
    <mergeCell ref="D50:E50"/>
    <mergeCell ref="F50:G50"/>
    <mergeCell ref="L50:M50"/>
    <mergeCell ref="B51:C51"/>
    <mergeCell ref="D51:E51"/>
    <mergeCell ref="F51:G51"/>
    <mergeCell ref="L51:M51"/>
    <mergeCell ref="B49:C49"/>
    <mergeCell ref="D49:E49"/>
    <mergeCell ref="F49:G49"/>
    <mergeCell ref="L49:M49"/>
    <mergeCell ref="J43:K44"/>
    <mergeCell ref="L43:M44"/>
    <mergeCell ref="F34:G34"/>
    <mergeCell ref="L34:M34"/>
    <mergeCell ref="B34:C34"/>
    <mergeCell ref="F46:G46"/>
    <mergeCell ref="L46:M46"/>
    <mergeCell ref="B47:C47"/>
    <mergeCell ref="D47:E47"/>
    <mergeCell ref="F47:G47"/>
    <mergeCell ref="L47:M47"/>
    <mergeCell ref="B37:C37"/>
    <mergeCell ref="D37:E37"/>
    <mergeCell ref="F37:G37"/>
    <mergeCell ref="L37:M37"/>
    <mergeCell ref="D43:E44"/>
    <mergeCell ref="F43:G44"/>
    <mergeCell ref="H43:I44"/>
    <mergeCell ref="B45:C45"/>
    <mergeCell ref="D45:E45"/>
    <mergeCell ref="F45:G45"/>
    <mergeCell ref="H45:I45"/>
    <mergeCell ref="J45:K45"/>
    <mergeCell ref="L45:M45"/>
    <mergeCell ref="H21:M22"/>
    <mergeCell ref="B26:M26"/>
    <mergeCell ref="B28:C29"/>
    <mergeCell ref="D28:E29"/>
    <mergeCell ref="F28:G29"/>
    <mergeCell ref="F35:G35"/>
    <mergeCell ref="L35:M35"/>
    <mergeCell ref="B31:C31"/>
    <mergeCell ref="D31:E31"/>
    <mergeCell ref="F31:G31"/>
    <mergeCell ref="L31:M31"/>
    <mergeCell ref="B35:C35"/>
    <mergeCell ref="D35:E35"/>
    <mergeCell ref="D34:E34"/>
    <mergeCell ref="H28:I29"/>
    <mergeCell ref="J28:K29"/>
    <mergeCell ref="L28:M29"/>
    <mergeCell ref="B33:C33"/>
    <mergeCell ref="D33:E33"/>
    <mergeCell ref="F33:G33"/>
    <mergeCell ref="L33:M33"/>
    <mergeCell ref="B30:C30"/>
    <mergeCell ref="D30:E30"/>
    <mergeCell ref="F30:G30"/>
    <mergeCell ref="H30:I30"/>
    <mergeCell ref="J30:K30"/>
    <mergeCell ref="L30:M30"/>
    <mergeCell ref="B32:C32"/>
    <mergeCell ref="D32:E32"/>
    <mergeCell ref="F32:G32"/>
    <mergeCell ref="L32:M32"/>
    <mergeCell ref="H31:I37"/>
    <mergeCell ref="J31:K37"/>
    <mergeCell ref="B36:C36"/>
    <mergeCell ref="D36:E36"/>
    <mergeCell ref="F36:G36"/>
    <mergeCell ref="L36:M36"/>
  </mergeCells>
  <pageMargins left="0.51181102362204722" right="0.51181102362204722" top="0.51181102362204722" bottom="0.51181102362204722" header="0" footer="0.19685039370078741"/>
  <pageSetup orientation="portrait" horizontalDpi="1200" verticalDpi="1200" r:id="rId1"/>
  <headerFooter>
    <oddHeader>&amp;C
&amp;G</oddHeader>
    <oddFooter xml:space="preserve">&amp;C&amp;G&amp;R&amp;"Arial,Normal"&amp;8Página &amp;Pde&amp;N&amp;"-,Normal"&amp;11
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FA2BE-597E-4FD5-8CB5-774C4957DE88}">
  <dimension ref="B1:AA112"/>
  <sheetViews>
    <sheetView view="pageLayout" topLeftCell="A22" zoomScaleNormal="100" workbookViewId="0">
      <selection activeCell="J56" sqref="J56"/>
    </sheetView>
  </sheetViews>
  <sheetFormatPr baseColWidth="10" defaultColWidth="8.88671875" defaultRowHeight="13.2" x14ac:dyDescent="0.25"/>
  <cols>
    <col min="1" max="1" width="2.6640625" style="221" customWidth="1"/>
    <col min="2" max="6" width="7.5546875" style="221" customWidth="1"/>
    <col min="7" max="7" width="6.6640625" style="221" customWidth="1"/>
    <col min="8" max="10" width="7.5546875" style="221" customWidth="1"/>
    <col min="11" max="11" width="8.109375" style="221" customWidth="1"/>
    <col min="12" max="13" width="7.5546875" style="221" customWidth="1"/>
    <col min="14" max="16384" width="8.88671875" style="221"/>
  </cols>
  <sheetData>
    <row r="1" spans="2:13" x14ac:dyDescent="0.25">
      <c r="B1" s="223"/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</row>
    <row r="2" spans="2:13" x14ac:dyDescent="0.25">
      <c r="B2" s="223"/>
      <c r="C2" s="223"/>
      <c r="D2" s="223"/>
      <c r="E2" s="223"/>
      <c r="F2" s="223"/>
      <c r="G2" s="223"/>
      <c r="H2" s="223"/>
      <c r="I2" s="223"/>
      <c r="J2" s="223"/>
      <c r="K2" s="223"/>
      <c r="L2" s="223"/>
      <c r="M2" s="223"/>
    </row>
    <row r="3" spans="2:13" x14ac:dyDescent="0.25">
      <c r="B3" s="223"/>
      <c r="C3" s="223"/>
      <c r="D3" s="223"/>
      <c r="E3" s="223"/>
      <c r="F3" s="223"/>
      <c r="G3" s="223"/>
      <c r="H3" s="223"/>
      <c r="I3" s="223"/>
      <c r="J3" s="223"/>
      <c r="K3" s="223"/>
      <c r="L3" s="223"/>
      <c r="M3" s="223"/>
    </row>
    <row r="4" spans="2:13" x14ac:dyDescent="0.25">
      <c r="B4" s="223"/>
      <c r="C4" s="223"/>
      <c r="D4" s="223"/>
      <c r="E4" s="223"/>
      <c r="F4" s="223"/>
      <c r="G4" s="223"/>
      <c r="H4" s="223"/>
      <c r="I4" s="223"/>
      <c r="J4" s="223"/>
      <c r="K4" s="223"/>
      <c r="L4" s="223"/>
      <c r="M4" s="223"/>
    </row>
    <row r="5" spans="2:13" x14ac:dyDescent="0.25">
      <c r="B5" s="223"/>
      <c r="C5" s="223"/>
      <c r="D5" s="223"/>
      <c r="E5" s="223"/>
      <c r="F5" s="223"/>
      <c r="G5" s="223"/>
      <c r="H5" s="223"/>
      <c r="I5" s="223"/>
      <c r="J5" s="223"/>
      <c r="K5" s="223"/>
      <c r="L5" s="223"/>
      <c r="M5" s="223"/>
    </row>
    <row r="6" spans="2:13" ht="18" customHeight="1" x14ac:dyDescent="0.25">
      <c r="B6" s="223"/>
      <c r="C6" s="223"/>
      <c r="D6" s="223"/>
      <c r="E6" s="223"/>
      <c r="F6" s="223"/>
      <c r="G6" s="223"/>
      <c r="H6" s="223"/>
      <c r="I6" s="223"/>
      <c r="J6" s="223"/>
      <c r="K6" s="223"/>
      <c r="L6" s="223"/>
      <c r="M6" s="223"/>
    </row>
    <row r="7" spans="2:13" x14ac:dyDescent="0.25">
      <c r="B7" s="223"/>
      <c r="C7" s="223"/>
      <c r="D7" s="223"/>
      <c r="E7" s="223"/>
      <c r="F7" s="223"/>
      <c r="G7" s="223"/>
      <c r="H7" s="223"/>
      <c r="I7" s="223"/>
      <c r="J7" s="223"/>
      <c r="K7" s="223"/>
      <c r="L7" s="223"/>
      <c r="M7" s="223"/>
    </row>
    <row r="8" spans="2:13" x14ac:dyDescent="0.25">
      <c r="B8" s="236" t="s">
        <v>437</v>
      </c>
      <c r="C8" s="223"/>
      <c r="D8" s="223"/>
      <c r="E8" s="223"/>
      <c r="F8" s="223"/>
      <c r="G8" s="223"/>
      <c r="H8" s="235" t="str">
        <f>CertNum</f>
        <v>NI-MC-B-XXX-2020</v>
      </c>
      <c r="I8" s="223"/>
      <c r="J8" s="223"/>
      <c r="K8" s="223"/>
      <c r="L8" s="223"/>
      <c r="M8" s="223"/>
    </row>
    <row r="9" spans="2:13" x14ac:dyDescent="0.25">
      <c r="B9" s="236" t="s">
        <v>471</v>
      </c>
      <c r="C9" s="223"/>
      <c r="D9" s="223"/>
      <c r="E9" s="223"/>
      <c r="F9" s="223"/>
      <c r="G9" s="223"/>
      <c r="H9" s="239" t="str">
        <f>CertCode</f>
        <v>NI-CS-075-17</v>
      </c>
      <c r="I9" s="223"/>
      <c r="J9" s="223"/>
      <c r="K9" s="223"/>
      <c r="L9" s="223"/>
      <c r="M9" s="223"/>
    </row>
    <row r="10" spans="2:13" x14ac:dyDescent="0.25">
      <c r="B10" s="236" t="s">
        <v>470</v>
      </c>
      <c r="C10" s="223"/>
      <c r="D10" s="223"/>
      <c r="E10" s="223"/>
      <c r="F10" s="223"/>
      <c r="G10" s="223"/>
      <c r="H10" s="238" t="str">
        <f>CertDate</f>
        <v>2021-01-01</v>
      </c>
      <c r="I10" s="223"/>
      <c r="J10" s="223"/>
      <c r="K10" s="223"/>
      <c r="L10" s="223"/>
      <c r="M10" s="223"/>
    </row>
    <row r="11" spans="2:13" x14ac:dyDescent="0.25">
      <c r="B11" s="236" t="s">
        <v>469</v>
      </c>
      <c r="C11" s="223"/>
      <c r="D11" s="223"/>
      <c r="E11" s="223"/>
      <c r="F11" s="223"/>
      <c r="G11" s="223"/>
      <c r="H11" s="363">
        <f ca="1">NOW()</f>
        <v>45497.601785300925</v>
      </c>
      <c r="I11" s="363"/>
      <c r="J11" s="223"/>
      <c r="K11" s="223"/>
      <c r="L11" s="223"/>
      <c r="M11" s="223"/>
    </row>
    <row r="12" spans="2:13" x14ac:dyDescent="0.25">
      <c r="B12" s="236" t="s">
        <v>468</v>
      </c>
      <c r="C12" s="223"/>
      <c r="D12" s="223"/>
      <c r="E12" s="223"/>
      <c r="F12" s="223"/>
      <c r="G12" s="223"/>
      <c r="H12" s="232" t="str">
        <f>BalanzaTipo</f>
        <v>Balanza Digital</v>
      </c>
      <c r="I12" s="223"/>
      <c r="J12" s="223"/>
      <c r="K12" s="223"/>
      <c r="L12" s="223"/>
      <c r="M12" s="223"/>
    </row>
    <row r="13" spans="2:13" x14ac:dyDescent="0.25">
      <c r="B13" s="236" t="s">
        <v>467</v>
      </c>
      <c r="C13" s="223"/>
      <c r="D13" s="223"/>
      <c r="E13" s="223"/>
      <c r="F13" s="223"/>
      <c r="G13" s="223"/>
      <c r="H13" s="232" t="str">
        <f>BalanzaMarca</f>
        <v>gtergd</v>
      </c>
      <c r="I13" s="223"/>
      <c r="J13" s="223"/>
      <c r="K13" s="223"/>
      <c r="L13" s="223"/>
      <c r="M13" s="223"/>
    </row>
    <row r="14" spans="2:13" x14ac:dyDescent="0.25">
      <c r="B14" s="236" t="s">
        <v>466</v>
      </c>
      <c r="C14" s="223"/>
      <c r="D14" s="223"/>
      <c r="E14" s="223"/>
      <c r="F14" s="223"/>
      <c r="G14" s="223"/>
      <c r="H14" s="232" t="str">
        <f>BalanzaSerie</f>
        <v>54654asd</v>
      </c>
      <c r="I14" s="223"/>
      <c r="J14" s="223"/>
      <c r="K14" s="223"/>
      <c r="L14" s="223"/>
      <c r="M14" s="223"/>
    </row>
    <row r="15" spans="2:13" x14ac:dyDescent="0.25">
      <c r="B15" s="236" t="s">
        <v>465</v>
      </c>
      <c r="C15" s="223"/>
      <c r="D15" s="223"/>
      <c r="E15" s="223"/>
      <c r="F15" s="223"/>
      <c r="G15" s="223"/>
      <c r="H15" s="232" t="str">
        <f>BalanzaModelo</f>
        <v>346asd</v>
      </c>
      <c r="I15" s="223"/>
      <c r="J15" s="223"/>
      <c r="K15" s="223"/>
      <c r="L15" s="223"/>
      <c r="M15" s="223"/>
    </row>
    <row r="16" spans="2:13" x14ac:dyDescent="0.25">
      <c r="B16" s="236" t="s">
        <v>464</v>
      </c>
      <c r="C16" s="223"/>
      <c r="D16" s="223"/>
      <c r="E16" s="223"/>
      <c r="F16" s="223"/>
      <c r="G16" s="223"/>
      <c r="H16" s="232" t="str">
        <f>BalanzaRango1</f>
        <v>0 g a 100 g</v>
      </c>
      <c r="I16" s="223"/>
      <c r="J16" s="223"/>
      <c r="K16" s="223"/>
      <c r="L16" s="223"/>
      <c r="M16" s="223"/>
    </row>
    <row r="17" spans="2:13" x14ac:dyDescent="0.25">
      <c r="B17" s="236" t="s">
        <v>463</v>
      </c>
      <c r="C17" s="223"/>
      <c r="D17" s="223"/>
      <c r="E17" s="223"/>
      <c r="F17" s="223"/>
      <c r="G17" s="223"/>
      <c r="H17" s="232" t="str">
        <f>BalanzaResol1</f>
        <v>0,01 g</v>
      </c>
      <c r="I17" s="223"/>
      <c r="J17" s="223"/>
      <c r="K17" s="223"/>
      <c r="L17" s="223"/>
      <c r="M17" s="223"/>
    </row>
    <row r="18" spans="2:13" x14ac:dyDescent="0.25">
      <c r="B18" s="236" t="s">
        <v>462</v>
      </c>
      <c r="C18" s="223"/>
      <c r="D18" s="223"/>
      <c r="E18" s="223"/>
      <c r="F18" s="223"/>
      <c r="G18" s="223"/>
      <c r="H18" s="232" t="str">
        <f>BalanzaCode</f>
        <v>002456635</v>
      </c>
      <c r="I18" s="223"/>
      <c r="J18" s="223"/>
      <c r="K18" s="223"/>
      <c r="L18" s="223"/>
      <c r="M18" s="223"/>
    </row>
    <row r="19" spans="2:13" x14ac:dyDescent="0.25">
      <c r="B19" s="236" t="s">
        <v>461</v>
      </c>
      <c r="C19" s="223"/>
      <c r="D19" s="223"/>
      <c r="E19" s="223"/>
      <c r="F19" s="223"/>
      <c r="G19" s="223"/>
      <c r="H19" s="232" t="str">
        <f>ClientName</f>
        <v>San Lotano Cigars S.A.</v>
      </c>
      <c r="I19" s="223"/>
      <c r="J19" s="223"/>
      <c r="K19" s="223"/>
      <c r="L19" s="223"/>
      <c r="M19" s="223"/>
    </row>
    <row r="20" spans="2:13" x14ac:dyDescent="0.25">
      <c r="B20" s="236" t="s">
        <v>460</v>
      </c>
      <c r="C20" s="223"/>
      <c r="D20" s="223"/>
      <c r="E20" s="223"/>
      <c r="F20" s="223"/>
      <c r="G20" s="223"/>
      <c r="H20" s="232" t="str">
        <f>ClientAdr</f>
        <v>km 129 Carretera a Ocotal 300m al Oeste Valle de Verapaz, Totogalpa, Madriz</v>
      </c>
      <c r="I20" s="223"/>
      <c r="J20" s="223"/>
      <c r="K20" s="223"/>
      <c r="L20" s="223"/>
      <c r="M20" s="223"/>
    </row>
    <row r="21" spans="2:13" x14ac:dyDescent="0.25">
      <c r="B21" s="236" t="s">
        <v>459</v>
      </c>
      <c r="C21" s="223"/>
      <c r="D21" s="223"/>
      <c r="E21" s="223"/>
      <c r="F21" s="223"/>
      <c r="G21" s="223"/>
      <c r="H21" s="370" t="str">
        <f>ClientPlace</f>
        <v>Nicaragua, Managua, Bello Horizonte VI Etapa, Casa #135.</v>
      </c>
      <c r="I21" s="370"/>
      <c r="J21" s="370"/>
      <c r="K21" s="370"/>
      <c r="L21" s="370"/>
      <c r="M21" s="370"/>
    </row>
    <row r="22" spans="2:13" x14ac:dyDescent="0.25">
      <c r="B22" s="236"/>
      <c r="C22" s="223"/>
      <c r="D22" s="223"/>
      <c r="E22" s="223"/>
      <c r="F22" s="223"/>
      <c r="G22" s="223"/>
      <c r="H22" s="370"/>
      <c r="I22" s="370"/>
      <c r="J22" s="370"/>
      <c r="K22" s="370"/>
      <c r="L22" s="370"/>
      <c r="M22" s="370"/>
    </row>
    <row r="23" spans="2:13" x14ac:dyDescent="0.25">
      <c r="B23" s="236"/>
      <c r="C23" s="223"/>
      <c r="D23" s="223"/>
      <c r="E23" s="223"/>
      <c r="F23" s="223"/>
      <c r="G23" s="223"/>
      <c r="H23" s="237"/>
      <c r="I23" s="237"/>
      <c r="J23" s="237"/>
      <c r="K23" s="237"/>
      <c r="L23" s="237"/>
      <c r="M23" s="237"/>
    </row>
    <row r="24" spans="2:13" x14ac:dyDescent="0.25">
      <c r="B24" s="236" t="s">
        <v>458</v>
      </c>
      <c r="C24" s="223"/>
      <c r="D24" s="223"/>
      <c r="E24" s="223"/>
      <c r="F24" s="223"/>
      <c r="G24" s="223"/>
      <c r="H24" s="223"/>
      <c r="I24" s="223"/>
      <c r="J24" s="223"/>
      <c r="K24" s="223"/>
      <c r="L24" s="223"/>
      <c r="M24" s="223"/>
    </row>
    <row r="25" spans="2:13" x14ac:dyDescent="0.25">
      <c r="B25" s="236"/>
      <c r="C25" s="223"/>
      <c r="D25" s="223"/>
      <c r="E25" s="223"/>
      <c r="F25" s="223"/>
      <c r="G25" s="223"/>
      <c r="H25" s="223"/>
      <c r="I25" s="223"/>
      <c r="J25" s="223"/>
      <c r="K25" s="223"/>
      <c r="L25" s="223"/>
      <c r="M25" s="223"/>
    </row>
    <row r="26" spans="2:13" x14ac:dyDescent="0.25">
      <c r="B26" s="371" t="s">
        <v>457</v>
      </c>
      <c r="C26" s="371"/>
      <c r="D26" s="371"/>
      <c r="E26" s="371"/>
      <c r="F26" s="371"/>
      <c r="G26" s="371"/>
      <c r="H26" s="371"/>
      <c r="I26" s="371"/>
      <c r="J26" s="371"/>
      <c r="K26" s="371"/>
      <c r="L26" s="371"/>
      <c r="M26" s="371"/>
    </row>
    <row r="27" spans="2:13" x14ac:dyDescent="0.25">
      <c r="B27" s="223"/>
      <c r="C27" s="223"/>
      <c r="D27" s="223"/>
      <c r="E27" s="236"/>
      <c r="F27" s="223"/>
      <c r="G27" s="223"/>
      <c r="H27" s="223"/>
      <c r="I27" s="223"/>
      <c r="J27" s="223"/>
      <c r="K27" s="223"/>
      <c r="L27" s="223"/>
      <c r="M27" s="223"/>
    </row>
    <row r="28" spans="2:13" x14ac:dyDescent="0.25">
      <c r="B28" s="366" t="s">
        <v>456</v>
      </c>
      <c r="C28" s="366"/>
      <c r="D28" s="366" t="s">
        <v>455</v>
      </c>
      <c r="E28" s="366"/>
      <c r="F28" s="366" t="s">
        <v>454</v>
      </c>
      <c r="G28" s="366"/>
      <c r="H28" s="366" t="s">
        <v>346</v>
      </c>
      <c r="I28" s="366"/>
      <c r="J28" s="366" t="s">
        <v>453</v>
      </c>
      <c r="K28" s="366"/>
      <c r="L28" s="366" t="s">
        <v>452</v>
      </c>
      <c r="M28" s="366"/>
    </row>
    <row r="29" spans="2:13" x14ac:dyDescent="0.25">
      <c r="B29" s="366"/>
      <c r="C29" s="366"/>
      <c r="D29" s="366"/>
      <c r="E29" s="366"/>
      <c r="F29" s="366"/>
      <c r="G29" s="366"/>
      <c r="H29" s="366"/>
      <c r="I29" s="366"/>
      <c r="J29" s="366"/>
      <c r="K29" s="366"/>
      <c r="L29" s="366"/>
      <c r="M29" s="366"/>
    </row>
    <row r="30" spans="2:13" x14ac:dyDescent="0.25">
      <c r="B30" s="367" t="str">
        <f>UnidadEscala</f>
        <v>g</v>
      </c>
      <c r="C30" s="367"/>
      <c r="D30" s="367" t="str">
        <f>UnidadEscala</f>
        <v>g</v>
      </c>
      <c r="E30" s="367"/>
      <c r="F30" s="367" t="str">
        <f>UnidadEscala</f>
        <v>g</v>
      </c>
      <c r="G30" s="367"/>
      <c r="H30" s="367" t="str">
        <f>UnidadEscala</f>
        <v>g</v>
      </c>
      <c r="I30" s="367"/>
      <c r="J30" s="367" t="str">
        <f>UnidadEscala</f>
        <v>g</v>
      </c>
      <c r="K30" s="367"/>
      <c r="L30" s="367" t="str">
        <f>UnidadEscala</f>
        <v>g</v>
      </c>
      <c r="M30" s="367"/>
    </row>
    <row r="31" spans="2:13" x14ac:dyDescent="0.25">
      <c r="B31" s="367" t="str">
        <f>FIXED('kU(E)'!T21,decim)</f>
        <v>0.0</v>
      </c>
      <c r="C31" s="367"/>
      <c r="D31" s="367" t="str">
        <f>IFERROR(FIXED('kU(E)'!U21,decim),"")</f>
        <v>0.0</v>
      </c>
      <c r="E31" s="367"/>
      <c r="F31" s="367" t="str">
        <f>IFERROR(FIXED('kU(E)'!V21,decim),"")</f>
        <v>0.0</v>
      </c>
      <c r="G31" s="367"/>
      <c r="H31" s="367" t="str">
        <f>IFERROR(IF(Calibración!$E$40=0,"No aplica (N/A)",FIXED(u_rep,decim)),"")</f>
        <v>No aplica (N/A)</v>
      </c>
      <c r="I31" s="367"/>
      <c r="J31" s="367" t="str">
        <f>IFERROR(IF(Calibración!$E$51=0,"No aplica (N/A)",FIXED(ecc_error_max,decim)),"")</f>
        <v>No aplica (N/A)</v>
      </c>
      <c r="K31" s="367"/>
      <c r="L31" s="367" t="str">
        <f>IFERROR(FIXED('kU(E)'!X22,decim+1),"")</f>
        <v>0.00</v>
      </c>
      <c r="M31" s="367"/>
    </row>
    <row r="32" spans="2:13" x14ac:dyDescent="0.25">
      <c r="B32" s="367" t="str">
        <f>FIXED('kU(E)'!T22,decim)</f>
        <v>0.0</v>
      </c>
      <c r="C32" s="367"/>
      <c r="D32" s="367" t="str">
        <f>IFERROR(FIXED('kU(E)'!U22,decim),"")</f>
        <v/>
      </c>
      <c r="E32" s="367"/>
      <c r="F32" s="367" t="str">
        <f>IFERROR(FIXED('kU(E)'!V22,decim),"")</f>
        <v/>
      </c>
      <c r="G32" s="367"/>
      <c r="H32" s="367"/>
      <c r="I32" s="367"/>
      <c r="J32" s="367"/>
      <c r="K32" s="367"/>
      <c r="L32" s="367" t="str">
        <f>IFERROR(FIXED('kU(E)'!X22,decim+1),"")</f>
        <v>0.00</v>
      </c>
      <c r="M32" s="367"/>
    </row>
    <row r="33" spans="2:27" x14ac:dyDescent="0.25">
      <c r="B33" s="367" t="str">
        <f>FIXED('kU(E)'!T23,decim)</f>
        <v>0.0</v>
      </c>
      <c r="C33" s="367"/>
      <c r="D33" s="367" t="str">
        <f>IFERROR(FIXED('kU(E)'!U23,decim),"")</f>
        <v/>
      </c>
      <c r="E33" s="367"/>
      <c r="F33" s="367" t="str">
        <f>IFERROR(FIXED('kU(E)'!V23,decim),"")</f>
        <v/>
      </c>
      <c r="G33" s="367"/>
      <c r="H33" s="367"/>
      <c r="I33" s="367"/>
      <c r="J33" s="367"/>
      <c r="K33" s="367"/>
      <c r="L33" s="367" t="str">
        <f>IFERROR(FIXED('kU(E)'!X23,decim+1),"")</f>
        <v/>
      </c>
      <c r="M33" s="367"/>
    </row>
    <row r="34" spans="2:27" x14ac:dyDescent="0.25">
      <c r="B34" s="367" t="str">
        <f>FIXED('kU(E)'!T24,decim)</f>
        <v>0.0</v>
      </c>
      <c r="C34" s="367"/>
      <c r="D34" s="367" t="str">
        <f>IFERROR(FIXED('kU(E)'!U24,decim),"")</f>
        <v/>
      </c>
      <c r="E34" s="367"/>
      <c r="F34" s="367" t="str">
        <f>IFERROR(FIXED('kU(E)'!V24,decim),"")</f>
        <v/>
      </c>
      <c r="G34" s="367"/>
      <c r="H34" s="367"/>
      <c r="I34" s="367"/>
      <c r="J34" s="367"/>
      <c r="K34" s="367"/>
      <c r="L34" s="367" t="str">
        <f>IFERROR(FIXED('kU(E)'!X24,decim+1),"")</f>
        <v/>
      </c>
      <c r="M34" s="367"/>
    </row>
    <row r="35" spans="2:27" x14ac:dyDescent="0.25">
      <c r="B35" s="367" t="str">
        <f>FIXED('kU(E)'!T25,decim)</f>
        <v>0.0</v>
      </c>
      <c r="C35" s="367"/>
      <c r="D35" s="367" t="str">
        <f>IFERROR(FIXED('kU(E)'!U25,decim),"")</f>
        <v/>
      </c>
      <c r="E35" s="367"/>
      <c r="F35" s="367" t="str">
        <f>IFERROR(FIXED('kU(E)'!V25,decim),"")</f>
        <v/>
      </c>
      <c r="G35" s="367"/>
      <c r="H35" s="367"/>
      <c r="I35" s="367"/>
      <c r="J35" s="367"/>
      <c r="K35" s="367"/>
      <c r="L35" s="367" t="str">
        <f>IFERROR(FIXED('kU(E)'!X25,decim+1),"")</f>
        <v/>
      </c>
      <c r="M35" s="367"/>
    </row>
    <row r="36" spans="2:27" x14ac:dyDescent="0.25">
      <c r="B36" s="367" t="str">
        <f>FIXED('kU(E)'!T26,decim)</f>
        <v>0.0</v>
      </c>
      <c r="C36" s="367"/>
      <c r="D36" s="367" t="str">
        <f>IFERROR(FIXED('kU(E)'!U26,decim),"")</f>
        <v/>
      </c>
      <c r="E36" s="367"/>
      <c r="F36" s="367" t="str">
        <f>IFERROR(FIXED('kU(E)'!V26,decim),"")</f>
        <v/>
      </c>
      <c r="G36" s="367"/>
      <c r="H36" s="367"/>
      <c r="I36" s="367"/>
      <c r="J36" s="367"/>
      <c r="K36" s="367"/>
      <c r="L36" s="367" t="str">
        <f>IFERROR(FIXED('kU(E)'!X26,decim+1),"")</f>
        <v/>
      </c>
      <c r="M36" s="367"/>
    </row>
    <row r="37" spans="2:27" x14ac:dyDescent="0.25">
      <c r="B37" s="367" t="str">
        <f>FIXED('kU(E)'!T27,decim)</f>
        <v>0.0</v>
      </c>
      <c r="C37" s="367"/>
      <c r="D37" s="367" t="str">
        <f>IFERROR(FIXED('kU(E)'!U27,decim),"")</f>
        <v/>
      </c>
      <c r="E37" s="367"/>
      <c r="F37" s="367" t="str">
        <f>IFERROR(FIXED('kU(E)'!V27,decim),"")</f>
        <v/>
      </c>
      <c r="G37" s="367"/>
      <c r="H37" s="367"/>
      <c r="I37" s="367"/>
      <c r="J37" s="367"/>
      <c r="K37" s="367"/>
      <c r="L37" s="367" t="str">
        <f>IFERROR(FIXED('kU(E)'!X27,decim+1),"")</f>
        <v/>
      </c>
      <c r="M37" s="367"/>
    </row>
    <row r="38" spans="2:27" x14ac:dyDescent="0.25">
      <c r="B38" s="223"/>
      <c r="C38" s="223"/>
      <c r="D38" s="223"/>
      <c r="E38" s="223"/>
      <c r="F38" s="223"/>
      <c r="G38" s="223"/>
      <c r="H38" s="223"/>
      <c r="I38" s="223"/>
      <c r="J38" s="223"/>
      <c r="K38" s="223"/>
      <c r="L38" s="223"/>
      <c r="M38" s="223"/>
    </row>
    <row r="39" spans="2:27" x14ac:dyDescent="0.25">
      <c r="B39" s="236" t="s">
        <v>451</v>
      </c>
      <c r="C39" s="223"/>
      <c r="D39" s="223"/>
      <c r="E39" s="223"/>
      <c r="F39" s="223"/>
      <c r="G39" s="223"/>
      <c r="H39" s="235" t="s">
        <v>450</v>
      </c>
      <c r="I39" s="223"/>
      <c r="J39" s="223"/>
      <c r="K39" s="223"/>
      <c r="L39" s="223"/>
      <c r="M39" s="223"/>
    </row>
    <row r="40" spans="2:27" x14ac:dyDescent="0.25">
      <c r="B40" s="232" t="s">
        <v>449</v>
      </c>
      <c r="C40" s="223"/>
      <c r="D40" s="231" t="str">
        <f>FIXED(CertTempC,1)</f>
        <v>21.3</v>
      </c>
      <c r="E40" s="224" t="s">
        <v>443</v>
      </c>
      <c r="F40" s="231" t="str">
        <f>FIXED(CertTempIncerti,1)</f>
        <v>0.4</v>
      </c>
      <c r="G40" s="223" t="s">
        <v>448</v>
      </c>
      <c r="H40" s="232" t="s">
        <v>447</v>
      </c>
      <c r="I40" s="234" t="s">
        <v>444</v>
      </c>
      <c r="J40" s="233">
        <f>CertPres</f>
        <v>1001</v>
      </c>
      <c r="K40" s="224" t="s">
        <v>443</v>
      </c>
      <c r="L40" s="233">
        <f>CertPresIncert</f>
        <v>10</v>
      </c>
      <c r="M40" s="223" t="s">
        <v>446</v>
      </c>
    </row>
    <row r="41" spans="2:27" x14ac:dyDescent="0.25">
      <c r="B41" s="232" t="s">
        <v>445</v>
      </c>
      <c r="C41" s="224" t="s">
        <v>444</v>
      </c>
      <c r="D41" s="231" t="str">
        <f>FIXED(CertHR,1)</f>
        <v>49.4</v>
      </c>
      <c r="E41" s="224" t="s">
        <v>443</v>
      </c>
      <c r="F41" s="231" t="str">
        <f>FIXED(CertHRIncerti,1)</f>
        <v>1.3</v>
      </c>
      <c r="G41" s="223" t="s">
        <v>442</v>
      </c>
    </row>
    <row r="42" spans="2:27" x14ac:dyDescent="0.25">
      <c r="B42" s="232"/>
      <c r="C42" s="224"/>
      <c r="D42" s="231"/>
      <c r="E42" s="224"/>
      <c r="F42" s="231"/>
      <c r="G42" s="223"/>
    </row>
    <row r="43" spans="2:27" x14ac:dyDescent="0.25">
      <c r="B43" s="223"/>
      <c r="C43" s="223"/>
      <c r="D43" s="223"/>
      <c r="E43" s="223"/>
      <c r="F43" s="223"/>
      <c r="G43" s="223"/>
      <c r="H43" s="223"/>
      <c r="I43" s="223"/>
      <c r="J43" s="223"/>
      <c r="K43" s="223"/>
      <c r="L43" s="223"/>
      <c r="M43" s="223"/>
    </row>
    <row r="44" spans="2:27" x14ac:dyDescent="0.25">
      <c r="B44" s="226" t="s">
        <v>441</v>
      </c>
    </row>
    <row r="45" spans="2:27" ht="14.4" customHeight="1" x14ac:dyDescent="0.25">
      <c r="B45" s="372" t="s">
        <v>440</v>
      </c>
      <c r="C45" s="372"/>
      <c r="D45" s="372"/>
      <c r="E45" s="372"/>
      <c r="F45" s="372"/>
      <c r="G45" s="372"/>
      <c r="H45" s="372"/>
      <c r="I45" s="372"/>
      <c r="J45" s="372"/>
      <c r="K45" s="372"/>
      <c r="L45" s="372"/>
      <c r="M45" s="372"/>
      <c r="N45" s="225"/>
      <c r="O45" s="225"/>
      <c r="P45" s="225"/>
      <c r="Q45" s="225"/>
      <c r="R45" s="225"/>
      <c r="S45" s="225"/>
      <c r="T45" s="225"/>
      <c r="U45" s="225"/>
      <c r="V45" s="225"/>
      <c r="W45" s="225"/>
      <c r="X45" s="225"/>
      <c r="Y45" s="225"/>
      <c r="Z45" s="225"/>
      <c r="AA45" s="225"/>
    </row>
    <row r="46" spans="2:27" x14ac:dyDescent="0.25">
      <c r="B46" s="372"/>
      <c r="C46" s="372"/>
      <c r="D46" s="372"/>
      <c r="E46" s="372"/>
      <c r="F46" s="372"/>
      <c r="G46" s="372"/>
      <c r="H46" s="372"/>
      <c r="I46" s="372"/>
      <c r="J46" s="372"/>
      <c r="K46" s="372"/>
      <c r="L46" s="372"/>
      <c r="M46" s="372"/>
      <c r="N46" s="225"/>
      <c r="O46" s="225"/>
      <c r="P46" s="225"/>
      <c r="Q46" s="225"/>
      <c r="R46" s="225"/>
      <c r="S46" s="225"/>
      <c r="T46" s="225"/>
      <c r="U46" s="225"/>
      <c r="V46" s="225"/>
      <c r="W46" s="225"/>
      <c r="X46" s="225"/>
      <c r="Y46" s="225"/>
      <c r="Z46" s="225"/>
      <c r="AA46" s="225"/>
    </row>
    <row r="47" spans="2:27" x14ac:dyDescent="0.25">
      <c r="B47" s="372"/>
      <c r="C47" s="372"/>
      <c r="D47" s="372"/>
      <c r="E47" s="372"/>
      <c r="F47" s="372"/>
      <c r="G47" s="372"/>
      <c r="H47" s="372"/>
      <c r="I47" s="372"/>
      <c r="J47" s="372"/>
      <c r="K47" s="372"/>
      <c r="L47" s="372"/>
      <c r="M47" s="372"/>
      <c r="N47" s="225"/>
      <c r="O47" s="225"/>
      <c r="P47" s="225"/>
      <c r="Q47" s="225"/>
      <c r="R47" s="225"/>
      <c r="S47" s="225"/>
      <c r="T47" s="225"/>
      <c r="U47" s="225"/>
      <c r="V47" s="225"/>
      <c r="W47" s="225"/>
      <c r="X47" s="225"/>
      <c r="Y47" s="225"/>
      <c r="Z47" s="225"/>
      <c r="AA47" s="225"/>
    </row>
    <row r="48" spans="2:27" x14ac:dyDescent="0.25">
      <c r="B48" s="230"/>
      <c r="C48" s="230"/>
      <c r="D48" s="230"/>
      <c r="E48" s="230"/>
      <c r="F48" s="230"/>
      <c r="G48" s="230"/>
      <c r="H48" s="230"/>
      <c r="I48" s="230"/>
      <c r="J48" s="230"/>
      <c r="K48" s="230"/>
      <c r="L48" s="230"/>
      <c r="M48" s="230"/>
      <c r="N48" s="225"/>
      <c r="O48" s="225"/>
      <c r="P48" s="225"/>
      <c r="Q48" s="225"/>
      <c r="R48" s="225"/>
      <c r="S48" s="225"/>
      <c r="T48" s="225"/>
      <c r="U48" s="225"/>
      <c r="V48" s="225"/>
      <c r="W48" s="225"/>
    </row>
    <row r="49" spans="2:27" x14ac:dyDescent="0.25">
      <c r="B49" s="226" t="s">
        <v>439</v>
      </c>
      <c r="C49" s="225"/>
      <c r="D49" s="225"/>
      <c r="E49" s="225"/>
      <c r="F49" s="225"/>
      <c r="G49" s="225"/>
      <c r="H49" s="225"/>
      <c r="I49" s="225"/>
      <c r="J49" s="225"/>
      <c r="K49" s="225"/>
      <c r="L49" s="225"/>
      <c r="M49" s="225"/>
      <c r="N49" s="225"/>
      <c r="O49" s="225"/>
      <c r="P49" s="225"/>
      <c r="Q49" s="225"/>
      <c r="R49" s="225"/>
      <c r="S49" s="225"/>
      <c r="T49" s="225"/>
      <c r="U49" s="225"/>
      <c r="V49" s="225"/>
      <c r="W49" s="225"/>
      <c r="X49" s="225"/>
    </row>
    <row r="50" spans="2:27" ht="14.4" customHeight="1" x14ac:dyDescent="0.25">
      <c r="B50" s="372" t="s">
        <v>438</v>
      </c>
      <c r="C50" s="372"/>
      <c r="D50" s="372"/>
      <c r="E50" s="372"/>
      <c r="F50" s="372"/>
      <c r="G50" s="372"/>
      <c r="H50" s="372"/>
      <c r="I50" s="372"/>
      <c r="J50" s="372"/>
      <c r="K50" s="372"/>
      <c r="L50" s="372"/>
      <c r="M50" s="372"/>
      <c r="N50" s="225"/>
      <c r="O50" s="225"/>
      <c r="P50" s="225"/>
      <c r="Q50" s="225"/>
      <c r="R50" s="225"/>
      <c r="S50" s="225"/>
      <c r="T50" s="225"/>
      <c r="U50" s="225"/>
      <c r="V50" s="225"/>
      <c r="W50" s="225"/>
      <c r="X50" s="225"/>
      <c r="Y50" s="225"/>
      <c r="Z50" s="225"/>
      <c r="AA50" s="225"/>
    </row>
    <row r="51" spans="2:27" x14ac:dyDescent="0.25">
      <c r="B51" s="372"/>
      <c r="C51" s="372"/>
      <c r="D51" s="372"/>
      <c r="E51" s="372"/>
      <c r="F51" s="372"/>
      <c r="G51" s="372"/>
      <c r="H51" s="372"/>
      <c r="I51" s="372"/>
      <c r="J51" s="372"/>
      <c r="K51" s="372"/>
      <c r="L51" s="372"/>
      <c r="M51" s="372"/>
      <c r="N51" s="225"/>
      <c r="O51" s="225"/>
      <c r="P51" s="225"/>
      <c r="Q51" s="225"/>
      <c r="R51" s="225"/>
      <c r="S51" s="225"/>
      <c r="T51" s="225"/>
      <c r="U51" s="225"/>
      <c r="V51" s="225"/>
      <c r="W51" s="225"/>
      <c r="X51" s="225"/>
      <c r="Y51" s="225"/>
      <c r="Z51" s="225"/>
      <c r="AA51" s="225"/>
    </row>
    <row r="52" spans="2:27" x14ac:dyDescent="0.25">
      <c r="B52" s="372"/>
      <c r="C52" s="372"/>
      <c r="D52" s="372"/>
      <c r="E52" s="372"/>
      <c r="F52" s="372"/>
      <c r="G52" s="372"/>
      <c r="H52" s="372"/>
      <c r="I52" s="372"/>
      <c r="J52" s="372"/>
      <c r="K52" s="372"/>
      <c r="L52" s="372"/>
      <c r="M52" s="372"/>
      <c r="N52" s="225"/>
      <c r="O52" s="225"/>
      <c r="P52" s="225"/>
      <c r="Q52" s="225"/>
      <c r="R52" s="225"/>
      <c r="S52" s="225"/>
      <c r="T52" s="225"/>
      <c r="U52" s="225"/>
      <c r="V52" s="225"/>
      <c r="W52" s="225"/>
      <c r="X52" s="225"/>
      <c r="Y52" s="225"/>
      <c r="Z52" s="225"/>
      <c r="AA52" s="225"/>
    </row>
    <row r="53" spans="2:27" x14ac:dyDescent="0.25">
      <c r="B53" s="372"/>
      <c r="C53" s="372"/>
      <c r="D53" s="372"/>
      <c r="E53" s="372"/>
      <c r="F53" s="372"/>
      <c r="G53" s="372"/>
      <c r="H53" s="372"/>
      <c r="I53" s="372"/>
      <c r="J53" s="372"/>
      <c r="K53" s="372"/>
      <c r="L53" s="372"/>
      <c r="M53" s="372"/>
      <c r="N53" s="225"/>
      <c r="O53" s="225"/>
      <c r="P53" s="225"/>
      <c r="Q53" s="225"/>
      <c r="R53" s="225"/>
      <c r="S53" s="225"/>
      <c r="T53" s="225"/>
      <c r="U53" s="225"/>
      <c r="V53" s="225"/>
      <c r="W53" s="225"/>
      <c r="X53" s="225"/>
      <c r="Y53" s="225"/>
      <c r="Z53" s="225"/>
      <c r="AA53" s="225"/>
    </row>
    <row r="54" spans="2:27" x14ac:dyDescent="0.25">
      <c r="B54" s="372"/>
      <c r="C54" s="372"/>
      <c r="D54" s="372"/>
      <c r="E54" s="372"/>
      <c r="F54" s="372"/>
      <c r="G54" s="372"/>
      <c r="H54" s="372"/>
      <c r="I54" s="372"/>
      <c r="J54" s="372"/>
      <c r="K54" s="372"/>
      <c r="L54" s="372"/>
      <c r="M54" s="372"/>
      <c r="N54" s="225"/>
      <c r="O54" s="225"/>
      <c r="P54" s="225"/>
      <c r="Q54" s="225"/>
      <c r="R54" s="225"/>
      <c r="S54" s="225"/>
      <c r="T54" s="225"/>
      <c r="U54" s="225"/>
      <c r="V54" s="225"/>
      <c r="W54" s="225"/>
      <c r="X54" s="225"/>
      <c r="Y54" s="225"/>
      <c r="Z54" s="225"/>
      <c r="AA54" s="225"/>
    </row>
    <row r="55" spans="2:27" x14ac:dyDescent="0.25">
      <c r="B55" s="223"/>
      <c r="C55" s="223"/>
      <c r="D55" s="223"/>
      <c r="E55" s="223"/>
      <c r="F55" s="223"/>
      <c r="G55" s="223"/>
      <c r="H55" s="223"/>
      <c r="I55" s="223"/>
      <c r="J55" s="223"/>
      <c r="K55" s="223"/>
      <c r="L55" s="223"/>
      <c r="M55" s="223"/>
    </row>
    <row r="56" spans="2:27" x14ac:dyDescent="0.25">
      <c r="B56" s="223"/>
      <c r="C56" s="223"/>
      <c r="D56" s="223"/>
      <c r="E56" s="223"/>
      <c r="F56" s="223"/>
      <c r="G56" s="223"/>
      <c r="H56" s="223"/>
      <c r="I56" s="223"/>
      <c r="J56" s="223"/>
      <c r="K56" s="223"/>
      <c r="L56" s="223"/>
      <c r="M56" s="223"/>
    </row>
    <row r="57" spans="2:27" x14ac:dyDescent="0.25">
      <c r="B57" s="223"/>
      <c r="C57" s="223"/>
      <c r="D57" s="223"/>
      <c r="E57" s="223"/>
      <c r="F57" s="223"/>
      <c r="G57" s="223"/>
      <c r="H57" s="223"/>
      <c r="I57" s="223"/>
      <c r="J57" s="223"/>
      <c r="K57" s="223"/>
      <c r="L57" s="223"/>
      <c r="M57" s="223"/>
    </row>
    <row r="58" spans="2:27" x14ac:dyDescent="0.25">
      <c r="B58" s="223"/>
      <c r="C58" s="223"/>
      <c r="D58" s="223"/>
      <c r="E58" s="223"/>
      <c r="F58" s="223"/>
      <c r="G58" s="223"/>
      <c r="H58" s="223"/>
      <c r="I58" s="223"/>
      <c r="J58" s="223"/>
      <c r="K58" s="223"/>
      <c r="L58" s="223"/>
      <c r="M58" s="223"/>
    </row>
    <row r="59" spans="2:27" x14ac:dyDescent="0.25">
      <c r="B59" s="223"/>
      <c r="C59" s="223"/>
      <c r="D59" s="223"/>
      <c r="E59" s="223"/>
      <c r="F59" s="223"/>
      <c r="G59" s="223"/>
      <c r="H59" s="223"/>
      <c r="I59" s="223"/>
      <c r="J59" s="223"/>
      <c r="K59" s="223"/>
      <c r="L59" s="223"/>
      <c r="M59" s="223"/>
    </row>
    <row r="60" spans="2:27" x14ac:dyDescent="0.25">
      <c r="B60" s="223"/>
      <c r="C60" s="223"/>
      <c r="D60" s="223"/>
      <c r="E60" s="223"/>
      <c r="F60" s="223"/>
      <c r="G60" s="223"/>
      <c r="H60" s="223"/>
      <c r="I60" s="223"/>
      <c r="J60" s="223"/>
      <c r="K60" s="223"/>
      <c r="L60" s="223"/>
      <c r="M60" s="223"/>
    </row>
    <row r="61" spans="2:27" x14ac:dyDescent="0.25">
      <c r="B61" s="223"/>
      <c r="C61" s="223"/>
      <c r="D61" s="223"/>
      <c r="E61" s="223"/>
      <c r="F61" s="223"/>
      <c r="G61" s="223"/>
      <c r="H61" s="223"/>
      <c r="I61" s="223"/>
      <c r="J61" s="223"/>
      <c r="K61" s="223"/>
      <c r="L61" s="223"/>
      <c r="M61" s="223"/>
    </row>
    <row r="62" spans="2:27" x14ac:dyDescent="0.25">
      <c r="B62" s="223"/>
      <c r="C62" s="223"/>
      <c r="D62" s="223"/>
      <c r="E62" s="223"/>
      <c r="F62" s="223"/>
      <c r="G62" s="223"/>
      <c r="H62" s="223"/>
      <c r="I62" s="223"/>
      <c r="J62" s="223"/>
      <c r="K62" s="223"/>
      <c r="L62" s="223"/>
      <c r="M62" s="223"/>
    </row>
    <row r="63" spans="2:27" x14ac:dyDescent="0.25">
      <c r="B63" s="223"/>
      <c r="C63" s="223"/>
      <c r="D63" s="223"/>
      <c r="E63" s="223"/>
      <c r="F63" s="223"/>
      <c r="G63" s="223"/>
      <c r="H63" s="223"/>
      <c r="I63" s="223"/>
      <c r="J63" s="223"/>
      <c r="K63" s="223"/>
      <c r="L63" s="223"/>
      <c r="M63" s="223"/>
    </row>
    <row r="64" spans="2:27" x14ac:dyDescent="0.25">
      <c r="B64" s="223"/>
      <c r="C64" s="223"/>
      <c r="D64" s="223"/>
      <c r="E64" s="223"/>
      <c r="F64" s="223"/>
      <c r="G64" s="223"/>
      <c r="H64" s="223"/>
      <c r="I64" s="223"/>
      <c r="J64" s="223"/>
      <c r="K64" s="223"/>
      <c r="L64" s="223"/>
      <c r="M64" s="223"/>
    </row>
    <row r="65" spans="2:13" x14ac:dyDescent="0.25">
      <c r="B65" s="223"/>
      <c r="C65" s="223"/>
      <c r="D65" s="223"/>
      <c r="E65" s="223"/>
      <c r="F65" s="223"/>
      <c r="G65" s="223"/>
      <c r="H65" s="223"/>
      <c r="I65" s="223"/>
      <c r="J65" s="223"/>
      <c r="K65" s="223"/>
      <c r="L65" s="223"/>
      <c r="M65" s="223"/>
    </row>
    <row r="66" spans="2:13" x14ac:dyDescent="0.25">
      <c r="B66" s="223"/>
      <c r="C66" s="223"/>
      <c r="D66" s="223"/>
      <c r="E66" s="223"/>
      <c r="F66" s="223"/>
      <c r="G66" s="223"/>
      <c r="H66" s="223"/>
      <c r="I66" s="223"/>
      <c r="J66" s="223"/>
      <c r="K66" s="223"/>
      <c r="L66" s="223"/>
      <c r="M66" s="223"/>
    </row>
    <row r="67" spans="2:13" x14ac:dyDescent="0.25">
      <c r="B67" s="226" t="s">
        <v>437</v>
      </c>
      <c r="C67" s="223"/>
      <c r="D67" s="223"/>
      <c r="E67" s="223"/>
      <c r="F67" s="223"/>
      <c r="G67" s="223"/>
      <c r="H67" s="226" t="str">
        <f>CertNum</f>
        <v>NI-MC-B-XXX-2020</v>
      </c>
      <c r="I67" s="223"/>
      <c r="J67" s="223"/>
      <c r="K67" s="223"/>
      <c r="L67" s="223"/>
      <c r="M67" s="223"/>
    </row>
    <row r="68" spans="2:13" x14ac:dyDescent="0.25">
      <c r="B68" s="226"/>
      <c r="C68" s="223"/>
      <c r="D68" s="223"/>
      <c r="E68" s="223"/>
      <c r="F68" s="223"/>
      <c r="G68" s="223"/>
      <c r="H68" s="226"/>
      <c r="I68" s="223"/>
      <c r="J68" s="223"/>
      <c r="K68" s="223"/>
      <c r="L68" s="223"/>
      <c r="M68" s="223"/>
    </row>
    <row r="69" spans="2:13" x14ac:dyDescent="0.25">
      <c r="B69" s="226"/>
      <c r="C69" s="223"/>
      <c r="D69" s="223"/>
      <c r="E69" s="223"/>
      <c r="F69" s="223"/>
      <c r="G69" s="223"/>
      <c r="H69" s="226"/>
      <c r="I69" s="223"/>
      <c r="J69" s="223"/>
      <c r="K69" s="223"/>
      <c r="L69" s="223"/>
      <c r="M69" s="223"/>
    </row>
    <row r="70" spans="2:13" x14ac:dyDescent="0.25">
      <c r="B70" s="226" t="s">
        <v>436</v>
      </c>
      <c r="C70" s="223"/>
      <c r="D70" s="223"/>
      <c r="E70" s="223"/>
      <c r="F70" s="223"/>
      <c r="G70" s="223"/>
      <c r="H70" s="223"/>
      <c r="I70" s="223"/>
      <c r="J70" s="223"/>
      <c r="K70" s="223"/>
      <c r="L70" s="223"/>
      <c r="M70" s="223"/>
    </row>
    <row r="71" spans="2:13" x14ac:dyDescent="0.25">
      <c r="B71" s="223"/>
      <c r="C71" s="223"/>
      <c r="D71" s="223"/>
      <c r="E71" s="223"/>
      <c r="F71" s="223"/>
      <c r="G71" s="223"/>
      <c r="H71" s="223"/>
      <c r="I71" s="223"/>
      <c r="J71" s="223"/>
      <c r="K71" s="223"/>
      <c r="L71" s="223"/>
      <c r="M71" s="223"/>
    </row>
    <row r="72" spans="2:13" x14ac:dyDescent="0.25">
      <c r="B72" s="361" t="str">
        <f>Calibración!CP4</f>
        <v>Descripción</v>
      </c>
      <c r="C72" s="361"/>
      <c r="D72" s="229" t="str">
        <f>Calibración!CR4</f>
        <v>Marca</v>
      </c>
      <c r="E72" s="361" t="str">
        <f>Calibración!CS4</f>
        <v>Código</v>
      </c>
      <c r="F72" s="361"/>
      <c r="G72" s="361"/>
      <c r="H72" s="361" t="str">
        <f>Calibración!CT4</f>
        <v>Trazabilidad</v>
      </c>
      <c r="I72" s="361"/>
      <c r="J72" s="361"/>
      <c r="K72" s="361"/>
      <c r="L72" s="365" t="str">
        <f>Calibración!CU4</f>
        <v>Próx. Calibr.</v>
      </c>
      <c r="M72" s="365"/>
    </row>
    <row r="73" spans="2:13" x14ac:dyDescent="0.25">
      <c r="B73" s="374" t="s">
        <v>435</v>
      </c>
      <c r="C73" s="374"/>
      <c r="D73" s="228" t="str">
        <f>VLOOKUP(E73,'BD Patron'!C6:O10,2,FALSE)</f>
        <v>Extech</v>
      </c>
      <c r="E73" s="362" t="str">
        <f>General!I4</f>
        <v>NI-MCPPT-06</v>
      </c>
      <c r="F73" s="362"/>
      <c r="G73" s="362"/>
      <c r="H73" s="362" t="str">
        <f>VLOOKUP(E73,'BD Patron'!C6:O10,11,FALSE)</f>
        <v>SCM Metrología y Laboratorios SCM-00039471</v>
      </c>
      <c r="I73" s="362"/>
      <c r="J73" s="362"/>
      <c r="K73" s="362"/>
      <c r="L73" s="373">
        <f>VLOOKUP(E73,'BD Patron'!C6:O10,10,FALSE)+731</f>
        <v>45570</v>
      </c>
      <c r="M73" s="373"/>
    </row>
    <row r="74" spans="2:13" x14ac:dyDescent="0.25">
      <c r="B74" s="355" t="str">
        <f>Calibración!CP6</f>
        <v/>
      </c>
      <c r="C74" s="355"/>
      <c r="D74" s="227" t="str">
        <f>Calibración!CR6</f>
        <v/>
      </c>
      <c r="E74" s="356" t="str">
        <f>Calibración!CS6</f>
        <v/>
      </c>
      <c r="F74" s="356"/>
      <c r="G74" s="356"/>
      <c r="H74" s="356" t="str">
        <f>Calibración!CT6</f>
        <v/>
      </c>
      <c r="I74" s="356"/>
      <c r="J74" s="356"/>
      <c r="K74" s="356"/>
      <c r="L74" s="357" t="str">
        <f>Calibración!CU6</f>
        <v/>
      </c>
      <c r="M74" s="357"/>
    </row>
    <row r="75" spans="2:13" x14ac:dyDescent="0.25">
      <c r="B75" s="355" t="str">
        <f>Calibración!CP7</f>
        <v/>
      </c>
      <c r="C75" s="355"/>
      <c r="D75" s="227" t="str">
        <f>Calibración!CR7</f>
        <v/>
      </c>
      <c r="E75" s="356" t="str">
        <f>Calibración!CS7</f>
        <v/>
      </c>
      <c r="F75" s="356"/>
      <c r="G75" s="356"/>
      <c r="H75" s="356" t="str">
        <f>Calibración!CT7</f>
        <v/>
      </c>
      <c r="I75" s="356"/>
      <c r="J75" s="356"/>
      <c r="K75" s="356"/>
      <c r="L75" s="357" t="str">
        <f>Calibración!CU7</f>
        <v/>
      </c>
      <c r="M75" s="357"/>
    </row>
    <row r="76" spans="2:13" x14ac:dyDescent="0.25">
      <c r="B76" s="355" t="str">
        <f>Calibración!CP8</f>
        <v/>
      </c>
      <c r="C76" s="355"/>
      <c r="D76" s="227" t="str">
        <f>Calibración!CR8</f>
        <v/>
      </c>
      <c r="E76" s="356" t="str">
        <f>Calibración!CS8</f>
        <v/>
      </c>
      <c r="F76" s="356"/>
      <c r="G76" s="356"/>
      <c r="H76" s="356" t="str">
        <f>Calibración!CT8</f>
        <v/>
      </c>
      <c r="I76" s="356"/>
      <c r="J76" s="356"/>
      <c r="K76" s="356"/>
      <c r="L76" s="357" t="str">
        <f>Calibración!CU8</f>
        <v/>
      </c>
      <c r="M76" s="357"/>
    </row>
    <row r="77" spans="2:13" x14ac:dyDescent="0.25">
      <c r="B77" s="355" t="str">
        <f>Calibración!CP9</f>
        <v/>
      </c>
      <c r="C77" s="355"/>
      <c r="D77" s="227" t="str">
        <f>Calibración!CR9</f>
        <v/>
      </c>
      <c r="E77" s="356" t="str">
        <f>Calibración!CS9</f>
        <v/>
      </c>
      <c r="F77" s="356"/>
      <c r="G77" s="356"/>
      <c r="H77" s="356" t="str">
        <f>Calibración!CT9</f>
        <v/>
      </c>
      <c r="I77" s="356"/>
      <c r="J77" s="356"/>
      <c r="K77" s="356"/>
      <c r="L77" s="357" t="str">
        <f>Calibración!CU9</f>
        <v/>
      </c>
      <c r="M77" s="357"/>
    </row>
    <row r="78" spans="2:13" x14ac:dyDescent="0.25">
      <c r="B78" s="355" t="str">
        <f>Calibración!CP10</f>
        <v/>
      </c>
      <c r="C78" s="355"/>
      <c r="D78" s="227" t="str">
        <f>Calibración!CR10</f>
        <v/>
      </c>
      <c r="E78" s="356" t="str">
        <f>Calibración!CS10</f>
        <v/>
      </c>
      <c r="F78" s="356"/>
      <c r="G78" s="356"/>
      <c r="H78" s="356" t="str">
        <f>Calibración!CT10</f>
        <v/>
      </c>
      <c r="I78" s="356"/>
      <c r="J78" s="356"/>
      <c r="K78" s="356"/>
      <c r="L78" s="357" t="str">
        <f>Calibración!CU10</f>
        <v/>
      </c>
      <c r="M78" s="357"/>
    </row>
    <row r="79" spans="2:13" hidden="1" x14ac:dyDescent="0.25">
      <c r="B79" s="355" t="str">
        <f>Calibración!CP11</f>
        <v/>
      </c>
      <c r="C79" s="355"/>
      <c r="D79" s="227" t="str">
        <f>Calibración!CR11</f>
        <v/>
      </c>
      <c r="E79" s="356" t="str">
        <f>Calibración!CS11</f>
        <v/>
      </c>
      <c r="F79" s="356"/>
      <c r="G79" s="356"/>
      <c r="H79" s="356" t="str">
        <f>Calibración!CT11</f>
        <v/>
      </c>
      <c r="I79" s="356"/>
      <c r="J79" s="356"/>
      <c r="K79" s="356"/>
      <c r="L79" s="357" t="str">
        <f>Calibración!CU11</f>
        <v/>
      </c>
      <c r="M79" s="357"/>
    </row>
    <row r="80" spans="2:13" hidden="1" x14ac:dyDescent="0.25">
      <c r="B80" s="355" t="str">
        <f>Calibración!CP12</f>
        <v/>
      </c>
      <c r="C80" s="355"/>
      <c r="D80" s="227" t="str">
        <f>Calibración!CR12</f>
        <v/>
      </c>
      <c r="E80" s="356" t="str">
        <f>Calibración!CS12</f>
        <v/>
      </c>
      <c r="F80" s="356"/>
      <c r="G80" s="356"/>
      <c r="H80" s="356" t="str">
        <f>Calibración!CT12</f>
        <v/>
      </c>
      <c r="I80" s="356"/>
      <c r="J80" s="356"/>
      <c r="K80" s="356"/>
      <c r="L80" s="357" t="str">
        <f>Calibración!CU12</f>
        <v/>
      </c>
      <c r="M80" s="357"/>
    </row>
    <row r="81" spans="2:13" hidden="1" x14ac:dyDescent="0.25">
      <c r="B81" s="355" t="str">
        <f>Calibración!CP13</f>
        <v/>
      </c>
      <c r="C81" s="355"/>
      <c r="D81" s="227" t="str">
        <f>Calibración!CR13</f>
        <v/>
      </c>
      <c r="E81" s="356" t="str">
        <f>Calibración!CS13</f>
        <v/>
      </c>
      <c r="F81" s="356"/>
      <c r="G81" s="356"/>
      <c r="H81" s="356" t="str">
        <f>Calibración!CT13</f>
        <v/>
      </c>
      <c r="I81" s="356"/>
      <c r="J81" s="356"/>
      <c r="K81" s="356"/>
      <c r="L81" s="357" t="str">
        <f>Calibración!CU13</f>
        <v/>
      </c>
      <c r="M81" s="357"/>
    </row>
    <row r="82" spans="2:13" hidden="1" x14ac:dyDescent="0.25">
      <c r="B82" s="355" t="str">
        <f>Calibración!CP14</f>
        <v/>
      </c>
      <c r="C82" s="355"/>
      <c r="D82" s="227" t="str">
        <f>Calibración!CR14</f>
        <v/>
      </c>
      <c r="E82" s="356" t="str">
        <f>Calibración!CS14</f>
        <v/>
      </c>
      <c r="F82" s="356"/>
      <c r="G82" s="356"/>
      <c r="H82" s="356" t="str">
        <f>Calibración!CT14</f>
        <v/>
      </c>
      <c r="I82" s="356"/>
      <c r="J82" s="356"/>
      <c r="K82" s="356"/>
      <c r="L82" s="357" t="str">
        <f>Calibración!CU14</f>
        <v/>
      </c>
      <c r="M82" s="357"/>
    </row>
    <row r="83" spans="2:13" hidden="1" x14ac:dyDescent="0.25">
      <c r="B83" s="355" t="str">
        <f>Calibración!CP15</f>
        <v/>
      </c>
      <c r="C83" s="355"/>
      <c r="D83" s="227" t="str">
        <f>Calibración!CR15</f>
        <v/>
      </c>
      <c r="E83" s="356" t="str">
        <f>Calibración!CS15</f>
        <v/>
      </c>
      <c r="F83" s="356"/>
      <c r="G83" s="356"/>
      <c r="H83" s="356" t="str">
        <f>Calibración!CT15</f>
        <v/>
      </c>
      <c r="I83" s="356"/>
      <c r="J83" s="356"/>
      <c r="K83" s="356"/>
      <c r="L83" s="357" t="str">
        <f>Calibración!CU15</f>
        <v/>
      </c>
      <c r="M83" s="357"/>
    </row>
    <row r="84" spans="2:13" hidden="1" x14ac:dyDescent="0.25">
      <c r="B84" s="355" t="str">
        <f>Calibración!CP16</f>
        <v/>
      </c>
      <c r="C84" s="355"/>
      <c r="D84" s="227" t="str">
        <f>Calibración!CR16</f>
        <v/>
      </c>
      <c r="E84" s="356" t="str">
        <f>Calibración!CS16</f>
        <v/>
      </c>
      <c r="F84" s="356"/>
      <c r="G84" s="356"/>
      <c r="H84" s="356" t="str">
        <f>Calibración!CT16</f>
        <v/>
      </c>
      <c r="I84" s="356"/>
      <c r="J84" s="356"/>
      <c r="K84" s="356"/>
      <c r="L84" s="357" t="str">
        <f>Calibración!CU16</f>
        <v/>
      </c>
      <c r="M84" s="357"/>
    </row>
    <row r="85" spans="2:13" hidden="1" x14ac:dyDescent="0.25">
      <c r="B85" s="355" t="str">
        <f>Calibración!CP17</f>
        <v/>
      </c>
      <c r="C85" s="355"/>
      <c r="D85" s="227" t="str">
        <f>Calibración!CR17</f>
        <v/>
      </c>
      <c r="E85" s="356" t="str">
        <f>Calibración!CS17</f>
        <v/>
      </c>
      <c r="F85" s="356"/>
      <c r="G85" s="356"/>
      <c r="H85" s="356" t="str">
        <f>Calibración!CT17</f>
        <v/>
      </c>
      <c r="I85" s="356"/>
      <c r="J85" s="356"/>
      <c r="K85" s="356"/>
      <c r="L85" s="357" t="str">
        <f>Calibración!CU17</f>
        <v/>
      </c>
      <c r="M85" s="357"/>
    </row>
    <row r="86" spans="2:13" hidden="1" x14ac:dyDescent="0.25">
      <c r="B86" s="355" t="str">
        <f>Calibración!CP18</f>
        <v/>
      </c>
      <c r="C86" s="355"/>
      <c r="D86" s="227" t="str">
        <f>Calibración!CR18</f>
        <v/>
      </c>
      <c r="E86" s="356" t="str">
        <f>Calibración!CS18</f>
        <v/>
      </c>
      <c r="F86" s="356"/>
      <c r="G86" s="356"/>
      <c r="H86" s="356" t="str">
        <f>Calibración!CT18</f>
        <v/>
      </c>
      <c r="I86" s="356"/>
      <c r="J86" s="356"/>
      <c r="K86" s="356"/>
      <c r="L86" s="357" t="str">
        <f>Calibración!CU18</f>
        <v/>
      </c>
      <c r="M86" s="357"/>
    </row>
    <row r="87" spans="2:13" hidden="1" x14ac:dyDescent="0.25">
      <c r="B87" s="355" t="str">
        <f>Calibración!CP19</f>
        <v/>
      </c>
      <c r="C87" s="355"/>
      <c r="D87" s="227" t="str">
        <f>Calibración!CR19</f>
        <v/>
      </c>
      <c r="E87" s="356" t="str">
        <f>Calibración!CS19</f>
        <v/>
      </c>
      <c r="F87" s="356"/>
      <c r="G87" s="356"/>
      <c r="H87" s="356" t="str">
        <f>Calibración!CT19</f>
        <v/>
      </c>
      <c r="I87" s="356"/>
      <c r="J87" s="356"/>
      <c r="K87" s="356"/>
      <c r="L87" s="357" t="str">
        <f>Calibración!CU19</f>
        <v/>
      </c>
      <c r="M87" s="357"/>
    </row>
    <row r="88" spans="2:13" hidden="1" x14ac:dyDescent="0.25">
      <c r="B88" s="355" t="str">
        <f>Calibración!CP20</f>
        <v/>
      </c>
      <c r="C88" s="355"/>
      <c r="D88" s="227" t="str">
        <f>Calibración!CR20</f>
        <v/>
      </c>
      <c r="E88" s="356" t="str">
        <f>Calibración!CS20</f>
        <v/>
      </c>
      <c r="F88" s="356"/>
      <c r="G88" s="356"/>
      <c r="H88" s="356" t="str">
        <f>Calibración!CT20</f>
        <v/>
      </c>
      <c r="I88" s="356"/>
      <c r="J88" s="356"/>
      <c r="K88" s="356"/>
      <c r="L88" s="357" t="str">
        <f>Calibración!CU20</f>
        <v/>
      </c>
      <c r="M88" s="357"/>
    </row>
    <row r="89" spans="2:13" hidden="1" x14ac:dyDescent="0.25">
      <c r="B89" s="355" t="str">
        <f>Calibración!CP21</f>
        <v/>
      </c>
      <c r="C89" s="355"/>
      <c r="D89" s="227" t="str">
        <f>Calibración!CR21</f>
        <v/>
      </c>
      <c r="E89" s="356" t="str">
        <f>Calibración!CS21</f>
        <v/>
      </c>
      <c r="F89" s="356"/>
      <c r="G89" s="356"/>
      <c r="H89" s="356" t="str">
        <f>Calibración!CT21</f>
        <v/>
      </c>
      <c r="I89" s="356"/>
      <c r="J89" s="356"/>
      <c r="K89" s="356"/>
      <c r="L89" s="357" t="str">
        <f>Calibración!CU21</f>
        <v/>
      </c>
      <c r="M89" s="357"/>
    </row>
    <row r="90" spans="2:13" hidden="1" x14ac:dyDescent="0.25">
      <c r="B90" s="355" t="str">
        <f>Calibración!CP22</f>
        <v/>
      </c>
      <c r="C90" s="355"/>
      <c r="D90" s="227" t="str">
        <f>Calibración!CR22</f>
        <v/>
      </c>
      <c r="E90" s="356" t="str">
        <f>Calibración!CS22</f>
        <v/>
      </c>
      <c r="F90" s="356"/>
      <c r="G90" s="356"/>
      <c r="H90" s="356" t="str">
        <f>Calibración!CT22</f>
        <v/>
      </c>
      <c r="I90" s="356"/>
      <c r="J90" s="356"/>
      <c r="K90" s="356"/>
      <c r="L90" s="357" t="str">
        <f>Calibración!CU22</f>
        <v/>
      </c>
      <c r="M90" s="357"/>
    </row>
    <row r="91" spans="2:13" hidden="1" x14ac:dyDescent="0.25">
      <c r="B91" s="355" t="str">
        <f>Calibración!CP23</f>
        <v/>
      </c>
      <c r="C91" s="355"/>
      <c r="D91" s="227" t="str">
        <f>Calibración!CR23</f>
        <v/>
      </c>
      <c r="E91" s="356" t="str">
        <f>Calibración!CS23</f>
        <v/>
      </c>
      <c r="F91" s="356"/>
      <c r="G91" s="356"/>
      <c r="H91" s="356" t="str">
        <f>Calibración!CT23</f>
        <v/>
      </c>
      <c r="I91" s="356"/>
      <c r="J91" s="356"/>
      <c r="K91" s="356"/>
      <c r="L91" s="357" t="str">
        <f>Calibración!CU23</f>
        <v/>
      </c>
      <c r="M91" s="357"/>
    </row>
    <row r="92" spans="2:13" hidden="1" x14ac:dyDescent="0.25">
      <c r="B92" s="355" t="str">
        <f>Calibración!CP24</f>
        <v/>
      </c>
      <c r="C92" s="355"/>
      <c r="D92" s="227" t="str">
        <f>Calibración!CR24</f>
        <v/>
      </c>
      <c r="E92" s="356" t="str">
        <f>Calibración!CS24</f>
        <v/>
      </c>
      <c r="F92" s="356"/>
      <c r="G92" s="356"/>
      <c r="H92" s="356" t="str">
        <f>Calibración!CT24</f>
        <v/>
      </c>
      <c r="I92" s="356"/>
      <c r="J92" s="356"/>
      <c r="K92" s="356"/>
      <c r="L92" s="357" t="str">
        <f>Calibración!CU24</f>
        <v/>
      </c>
      <c r="M92" s="357"/>
    </row>
    <row r="93" spans="2:13" hidden="1" x14ac:dyDescent="0.25">
      <c r="B93" s="355" t="str">
        <f>Calibración!CP25</f>
        <v/>
      </c>
      <c r="C93" s="355"/>
      <c r="D93" s="227" t="str">
        <f>Calibración!CR25</f>
        <v/>
      </c>
      <c r="E93" s="356" t="str">
        <f>Calibración!CS25</f>
        <v/>
      </c>
      <c r="F93" s="356"/>
      <c r="G93" s="356"/>
      <c r="H93" s="356" t="str">
        <f>Calibración!CT25</f>
        <v/>
      </c>
      <c r="I93" s="356"/>
      <c r="J93" s="356"/>
      <c r="K93" s="356"/>
      <c r="L93" s="357" t="str">
        <f>Calibración!CU25</f>
        <v/>
      </c>
      <c r="M93" s="357"/>
    </row>
    <row r="94" spans="2:13" x14ac:dyDescent="0.25">
      <c r="B94" s="223"/>
      <c r="C94" s="223"/>
      <c r="D94" s="223"/>
      <c r="E94" s="223"/>
      <c r="F94" s="223"/>
      <c r="G94" s="223"/>
      <c r="H94" s="223"/>
      <c r="I94" s="223"/>
      <c r="J94" s="223"/>
      <c r="K94" s="223"/>
      <c r="L94" s="223"/>
      <c r="M94" s="223"/>
    </row>
    <row r="95" spans="2:13" x14ac:dyDescent="0.25">
      <c r="B95" s="226" t="s">
        <v>434</v>
      </c>
    </row>
    <row r="96" spans="2:13" x14ac:dyDescent="0.25">
      <c r="B96" s="221" t="s">
        <v>433</v>
      </c>
    </row>
    <row r="97" spans="2:20" x14ac:dyDescent="0.25">
      <c r="B97" s="221" t="s">
        <v>432</v>
      </c>
    </row>
    <row r="98" spans="2:20" x14ac:dyDescent="0.25">
      <c r="B98" s="221" t="s">
        <v>431</v>
      </c>
    </row>
    <row r="99" spans="2:20" x14ac:dyDescent="0.25">
      <c r="B99" s="221" t="s">
        <v>430</v>
      </c>
      <c r="S99" s="225"/>
      <c r="T99" s="225"/>
    </row>
    <row r="100" spans="2:20" x14ac:dyDescent="0.25">
      <c r="B100" s="221" t="s">
        <v>479</v>
      </c>
      <c r="S100" s="225"/>
      <c r="T100" s="225"/>
    </row>
    <row r="101" spans="2:20" x14ac:dyDescent="0.25">
      <c r="B101" s="221" t="s">
        <v>478</v>
      </c>
    </row>
    <row r="106" spans="2:20" x14ac:dyDescent="0.25">
      <c r="B106" s="223"/>
      <c r="C106" s="223"/>
      <c r="D106" s="223"/>
      <c r="F106" s="364"/>
      <c r="G106" s="364"/>
      <c r="H106" s="364"/>
      <c r="I106" s="364"/>
      <c r="K106" s="223"/>
      <c r="L106" s="223"/>
      <c r="M106" s="223"/>
    </row>
    <row r="107" spans="2:20" x14ac:dyDescent="0.25">
      <c r="F107" s="368" t="s">
        <v>67</v>
      </c>
      <c r="G107" s="368"/>
      <c r="H107" s="368"/>
      <c r="I107" s="368"/>
    </row>
    <row r="108" spans="2:20" x14ac:dyDescent="0.25">
      <c r="F108" s="368" t="s">
        <v>427</v>
      </c>
      <c r="G108" s="368"/>
      <c r="H108" s="368"/>
      <c r="I108" s="368"/>
    </row>
    <row r="109" spans="2:20" x14ac:dyDescent="0.25">
      <c r="F109" s="369" t="s">
        <v>426</v>
      </c>
      <c r="G109" s="369"/>
      <c r="H109" s="369"/>
      <c r="I109" s="369"/>
    </row>
    <row r="112" spans="2:20" x14ac:dyDescent="0.25">
      <c r="E112" s="369" t="s">
        <v>425</v>
      </c>
      <c r="F112" s="369"/>
      <c r="G112" s="369"/>
      <c r="H112" s="369"/>
      <c r="I112" s="369"/>
      <c r="J112" s="369"/>
    </row>
  </sheetData>
  <mergeCells count="140">
    <mergeCell ref="H11:I11"/>
    <mergeCell ref="B37:C37"/>
    <mergeCell ref="D37:E37"/>
    <mergeCell ref="F37:G37"/>
    <mergeCell ref="L37:M37"/>
    <mergeCell ref="H31:I37"/>
    <mergeCell ref="J31:K37"/>
    <mergeCell ref="D33:E33"/>
    <mergeCell ref="F33:G33"/>
    <mergeCell ref="L33:M33"/>
    <mergeCell ref="B26:M26"/>
    <mergeCell ref="B28:C29"/>
    <mergeCell ref="D28:E29"/>
    <mergeCell ref="F28:G29"/>
    <mergeCell ref="H28:I29"/>
    <mergeCell ref="J28:K29"/>
    <mergeCell ref="L28:M29"/>
    <mergeCell ref="B30:C30"/>
    <mergeCell ref="D30:E30"/>
    <mergeCell ref="F30:G30"/>
    <mergeCell ref="H30:I30"/>
    <mergeCell ref="J30:K30"/>
    <mergeCell ref="L30:M30"/>
    <mergeCell ref="E85:G85"/>
    <mergeCell ref="H85:K85"/>
    <mergeCell ref="L85:M85"/>
    <mergeCell ref="B86:C86"/>
    <mergeCell ref="E86:G86"/>
    <mergeCell ref="H86:K86"/>
    <mergeCell ref="L86:M86"/>
    <mergeCell ref="B81:C81"/>
    <mergeCell ref="E81:G81"/>
    <mergeCell ref="H81:K81"/>
    <mergeCell ref="L81:M81"/>
    <mergeCell ref="B82:C82"/>
    <mergeCell ref="B83:C83"/>
    <mergeCell ref="E83:G83"/>
    <mergeCell ref="H83:K83"/>
    <mergeCell ref="L83:M83"/>
    <mergeCell ref="B84:C84"/>
    <mergeCell ref="E84:G84"/>
    <mergeCell ref="H84:K84"/>
    <mergeCell ref="L84:M84"/>
    <mergeCell ref="B85:C85"/>
    <mergeCell ref="F108:I108"/>
    <mergeCell ref="E90:G90"/>
    <mergeCell ref="H90:K90"/>
    <mergeCell ref="L90:M90"/>
    <mergeCell ref="B87:C87"/>
    <mergeCell ref="E87:G87"/>
    <mergeCell ref="H87:K87"/>
    <mergeCell ref="L87:M87"/>
    <mergeCell ref="B88:C88"/>
    <mergeCell ref="H91:K91"/>
    <mergeCell ref="L91:M91"/>
    <mergeCell ref="F106:I106"/>
    <mergeCell ref="B91:C91"/>
    <mergeCell ref="E91:G91"/>
    <mergeCell ref="B92:C92"/>
    <mergeCell ref="E92:G92"/>
    <mergeCell ref="H92:K92"/>
    <mergeCell ref="L92:M92"/>
    <mergeCell ref="F109:I109"/>
    <mergeCell ref="E112:J112"/>
    <mergeCell ref="H21:M22"/>
    <mergeCell ref="B31:C31"/>
    <mergeCell ref="D31:E31"/>
    <mergeCell ref="F31:G31"/>
    <mergeCell ref="L31:M31"/>
    <mergeCell ref="B93:C93"/>
    <mergeCell ref="E93:G93"/>
    <mergeCell ref="H93:K93"/>
    <mergeCell ref="E88:G88"/>
    <mergeCell ref="H88:K88"/>
    <mergeCell ref="L88:M88"/>
    <mergeCell ref="F107:I107"/>
    <mergeCell ref="L82:M82"/>
    <mergeCell ref="B79:C79"/>
    <mergeCell ref="E79:G79"/>
    <mergeCell ref="L93:M93"/>
    <mergeCell ref="B89:C89"/>
    <mergeCell ref="E89:G89"/>
    <mergeCell ref="H89:K89"/>
    <mergeCell ref="L89:M89"/>
    <mergeCell ref="B90:C90"/>
    <mergeCell ref="H79:K79"/>
    <mergeCell ref="L79:M79"/>
    <mergeCell ref="B80:C80"/>
    <mergeCell ref="E80:G80"/>
    <mergeCell ref="H80:K80"/>
    <mergeCell ref="E82:G82"/>
    <mergeCell ref="H82:K82"/>
    <mergeCell ref="B76:C76"/>
    <mergeCell ref="E76:G76"/>
    <mergeCell ref="H76:K76"/>
    <mergeCell ref="L76:M76"/>
    <mergeCell ref="L80:M80"/>
    <mergeCell ref="B77:C77"/>
    <mergeCell ref="E77:G77"/>
    <mergeCell ref="H77:K77"/>
    <mergeCell ref="L77:M77"/>
    <mergeCell ref="B78:C78"/>
    <mergeCell ref="E78:G78"/>
    <mergeCell ref="H78:K78"/>
    <mergeCell ref="L78:M78"/>
    <mergeCell ref="B73:C73"/>
    <mergeCell ref="E73:G73"/>
    <mergeCell ref="H73:K73"/>
    <mergeCell ref="L73:M73"/>
    <mergeCell ref="B74:C74"/>
    <mergeCell ref="E74:G74"/>
    <mergeCell ref="H74:K74"/>
    <mergeCell ref="L74:M74"/>
    <mergeCell ref="B75:C75"/>
    <mergeCell ref="E75:G75"/>
    <mergeCell ref="H75:K75"/>
    <mergeCell ref="L75:M75"/>
    <mergeCell ref="B50:M54"/>
    <mergeCell ref="B72:C72"/>
    <mergeCell ref="E72:G72"/>
    <mergeCell ref="H72:K72"/>
    <mergeCell ref="L72:M72"/>
    <mergeCell ref="B32:C32"/>
    <mergeCell ref="D32:E32"/>
    <mergeCell ref="F32:G32"/>
    <mergeCell ref="L32:M32"/>
    <mergeCell ref="B33:C33"/>
    <mergeCell ref="B36:C36"/>
    <mergeCell ref="D36:E36"/>
    <mergeCell ref="F36:G36"/>
    <mergeCell ref="L36:M36"/>
    <mergeCell ref="B34:C34"/>
    <mergeCell ref="D34:E34"/>
    <mergeCell ref="F34:G34"/>
    <mergeCell ref="L34:M34"/>
    <mergeCell ref="B35:C35"/>
    <mergeCell ref="D35:E35"/>
    <mergeCell ref="F35:G35"/>
    <mergeCell ref="L35:M35"/>
    <mergeCell ref="B45:M47"/>
  </mergeCells>
  <pageMargins left="0.51181102362204722" right="0.51181102362204722" top="0.51181102362204722" bottom="0.51181102362204722" header="0" footer="0.19685039370078741"/>
  <pageSetup orientation="portrait" horizontalDpi="1200" verticalDpi="1200" r:id="rId1"/>
  <headerFooter>
    <oddHeader>&amp;C
&amp;G</oddHeader>
    <oddFooter xml:space="preserve">&amp;C&amp;G&amp;R&amp;"Arial,Normal"&amp;8Página &amp;Pde&amp;N&amp;"-,Normal"&amp;11
</oddFooter>
  </headerFooter>
  <legacyDrawingHF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798198-3501-4BA9-996D-3777A4F91C79}">
  <dimension ref="B2:CE110"/>
  <sheetViews>
    <sheetView topLeftCell="D74" zoomScale="70" zoomScaleNormal="70" workbookViewId="0">
      <selection activeCell="R15" sqref="R15:R110"/>
    </sheetView>
  </sheetViews>
  <sheetFormatPr baseColWidth="10" defaultColWidth="8.88671875" defaultRowHeight="14.4" x14ac:dyDescent="0.3"/>
  <cols>
    <col min="1" max="1" width="4.109375" customWidth="1"/>
    <col min="2" max="2" width="4.88671875" customWidth="1"/>
    <col min="3" max="3" width="31.33203125" customWidth="1"/>
    <col min="4" max="4" width="12.33203125" bestFit="1" customWidth="1"/>
    <col min="5" max="5" width="6.88671875" bestFit="1" customWidth="1"/>
    <col min="6" max="6" width="10.88671875" customWidth="1"/>
    <col min="7" max="7" width="11.88671875" customWidth="1"/>
    <col min="8" max="8" width="15.109375" customWidth="1"/>
    <col min="9" max="9" width="14.33203125" customWidth="1"/>
    <col min="10" max="10" width="12.44140625" customWidth="1"/>
    <col min="11" max="11" width="13.88671875" customWidth="1"/>
    <col min="12" max="12" width="15.109375" customWidth="1"/>
    <col min="13" max="13" width="10.6640625" bestFit="1" customWidth="1"/>
    <col min="14" max="14" width="12.33203125" bestFit="1" customWidth="1"/>
    <col min="15" max="15" width="43" bestFit="1" customWidth="1"/>
    <col min="16" max="16" width="16.44140625" bestFit="1" customWidth="1"/>
    <col min="17" max="17" width="13.6640625" customWidth="1"/>
    <col min="18" max="18" width="14.6640625" customWidth="1"/>
    <col min="19" max="19" width="10.109375" customWidth="1"/>
    <col min="20" max="20" width="10.6640625" bestFit="1" customWidth="1"/>
    <col min="21" max="21" width="4.6640625" customWidth="1"/>
    <col min="22" max="22" width="4.109375" customWidth="1"/>
    <col min="23" max="23" width="10.88671875" customWidth="1"/>
    <col min="24" max="24" width="9.109375" bestFit="1" customWidth="1"/>
    <col min="25" max="25" width="11.33203125" bestFit="1" customWidth="1"/>
    <col min="26" max="27" width="9.109375" bestFit="1" customWidth="1"/>
    <col min="28" max="29" width="9.33203125" bestFit="1" customWidth="1"/>
    <col min="30" max="30" width="10.33203125" bestFit="1" customWidth="1"/>
    <col min="31" max="31" width="4" customWidth="1"/>
    <col min="32" max="32" width="4.109375" customWidth="1"/>
    <col min="33" max="33" width="21.33203125" customWidth="1"/>
    <col min="34" max="34" width="10.6640625" customWidth="1"/>
    <col min="35" max="35" width="12.5546875" customWidth="1"/>
    <col min="36" max="36" width="3.6640625" customWidth="1"/>
    <col min="37" max="37" width="5" customWidth="1"/>
    <col min="61" max="61" width="10.33203125" customWidth="1"/>
    <col min="67" max="67" width="5.5546875" customWidth="1"/>
    <col min="68" max="68" width="4.88671875" customWidth="1"/>
    <col min="70" max="70" width="12.44140625" bestFit="1" customWidth="1"/>
    <col min="71" max="71" width="10.6640625" bestFit="1" customWidth="1"/>
    <col min="72" max="73" width="8.6640625" bestFit="1" customWidth="1"/>
    <col min="74" max="74" width="9.33203125" bestFit="1" customWidth="1"/>
    <col min="82" max="82" width="14.33203125" style="1" bestFit="1" customWidth="1"/>
  </cols>
  <sheetData>
    <row r="2" spans="2:48" x14ac:dyDescent="0.3">
      <c r="C2" s="4" t="s">
        <v>435</v>
      </c>
    </row>
    <row r="4" spans="2:48" ht="14.4" customHeight="1" x14ac:dyDescent="0.3">
      <c r="H4" s="384" t="s">
        <v>675</v>
      </c>
      <c r="I4" s="385"/>
      <c r="J4" s="384" t="s">
        <v>674</v>
      </c>
      <c r="K4" s="385"/>
      <c r="L4" s="387" t="s">
        <v>673</v>
      </c>
      <c r="M4" s="389" t="s">
        <v>633</v>
      </c>
      <c r="N4" s="389"/>
      <c r="O4" s="389"/>
    </row>
    <row r="5" spans="2:48" ht="30.6" x14ac:dyDescent="0.3">
      <c r="B5" s="319" t="s">
        <v>185</v>
      </c>
      <c r="C5" s="319" t="s">
        <v>102</v>
      </c>
      <c r="D5" s="319" t="s">
        <v>188</v>
      </c>
      <c r="E5" s="319" t="s">
        <v>672</v>
      </c>
      <c r="F5" s="319" t="s">
        <v>671</v>
      </c>
      <c r="G5" s="319" t="s">
        <v>670</v>
      </c>
      <c r="H5" s="319" t="s">
        <v>669</v>
      </c>
      <c r="I5" s="319" t="s">
        <v>668</v>
      </c>
      <c r="J5" s="319" t="s">
        <v>667</v>
      </c>
      <c r="K5" s="319" t="s">
        <v>666</v>
      </c>
      <c r="L5" s="388"/>
      <c r="M5" s="387"/>
      <c r="N5" s="387"/>
      <c r="O5" s="387"/>
    </row>
    <row r="6" spans="2:48" x14ac:dyDescent="0.3">
      <c r="B6" s="84">
        <v>1</v>
      </c>
      <c r="C6" s="84" t="s">
        <v>665</v>
      </c>
      <c r="D6" s="84" t="s">
        <v>657</v>
      </c>
      <c r="E6" s="84">
        <v>60</v>
      </c>
      <c r="F6" s="84">
        <v>0.1</v>
      </c>
      <c r="G6" s="84">
        <v>0.1</v>
      </c>
      <c r="H6" s="84">
        <v>0.5</v>
      </c>
      <c r="I6" s="84">
        <v>2.5</v>
      </c>
      <c r="J6" s="312">
        <v>0.3</v>
      </c>
      <c r="K6" s="312">
        <v>1.3</v>
      </c>
      <c r="L6" s="318">
        <v>43427</v>
      </c>
      <c r="M6" s="317" t="s">
        <v>664</v>
      </c>
      <c r="N6" s="314"/>
      <c r="O6" s="313"/>
    </row>
    <row r="7" spans="2:48" x14ac:dyDescent="0.3">
      <c r="B7" s="84">
        <v>2</v>
      </c>
      <c r="C7" s="84" t="s">
        <v>663</v>
      </c>
      <c r="D7" s="84" t="s">
        <v>662</v>
      </c>
      <c r="E7" s="84">
        <v>50</v>
      </c>
      <c r="F7" s="84">
        <v>0.1</v>
      </c>
      <c r="G7" s="84">
        <v>0.1</v>
      </c>
      <c r="H7" s="84">
        <v>0.5</v>
      </c>
      <c r="I7" s="84">
        <v>3</v>
      </c>
      <c r="J7" s="312">
        <v>0.4</v>
      </c>
      <c r="K7" s="312">
        <v>1.3</v>
      </c>
      <c r="L7" s="248">
        <v>44839</v>
      </c>
      <c r="M7" s="247" t="s">
        <v>661</v>
      </c>
      <c r="N7" s="247"/>
      <c r="O7" s="247"/>
    </row>
    <row r="8" spans="2:48" x14ac:dyDescent="0.3">
      <c r="B8" s="84">
        <v>3</v>
      </c>
      <c r="C8" s="84" t="s">
        <v>660</v>
      </c>
      <c r="D8" s="84" t="s">
        <v>657</v>
      </c>
      <c r="E8" s="84">
        <v>60</v>
      </c>
      <c r="F8" s="84">
        <v>0.1</v>
      </c>
      <c r="G8" s="84">
        <v>0.1</v>
      </c>
      <c r="H8" s="84">
        <v>0.5</v>
      </c>
      <c r="I8" s="84">
        <v>2.5</v>
      </c>
      <c r="J8" s="312">
        <v>0.27</v>
      </c>
      <c r="K8" s="312">
        <v>1.3</v>
      </c>
      <c r="L8" s="248">
        <v>43600</v>
      </c>
      <c r="M8" s="247" t="s">
        <v>659</v>
      </c>
      <c r="N8" s="316"/>
      <c r="O8" s="315"/>
    </row>
    <row r="9" spans="2:48" x14ac:dyDescent="0.3">
      <c r="B9" s="84">
        <v>4</v>
      </c>
      <c r="C9" s="84" t="s">
        <v>658</v>
      </c>
      <c r="D9" s="84" t="s">
        <v>657</v>
      </c>
      <c r="E9" s="84">
        <v>60</v>
      </c>
      <c r="F9" s="84">
        <v>0.1</v>
      </c>
      <c r="G9" s="84">
        <v>0.1</v>
      </c>
      <c r="H9" s="84">
        <v>0.5</v>
      </c>
      <c r="I9" s="84">
        <v>2.5</v>
      </c>
      <c r="J9" s="312">
        <v>0.28999999999999998</v>
      </c>
      <c r="K9" s="312">
        <v>1.3</v>
      </c>
      <c r="L9" s="248">
        <v>44839</v>
      </c>
      <c r="M9" s="247" t="s">
        <v>656</v>
      </c>
      <c r="N9" s="314"/>
      <c r="O9" s="313"/>
    </row>
    <row r="10" spans="2:48" x14ac:dyDescent="0.3">
      <c r="B10" s="84">
        <v>5</v>
      </c>
      <c r="C10" s="84" t="s">
        <v>92</v>
      </c>
      <c r="D10" s="84" t="s">
        <v>655</v>
      </c>
      <c r="E10" s="84">
        <v>60</v>
      </c>
      <c r="F10" s="84">
        <v>0.1</v>
      </c>
      <c r="G10" s="84">
        <v>0.1</v>
      </c>
      <c r="H10" s="84">
        <v>0.8</v>
      </c>
      <c r="I10" s="84">
        <v>4.2</v>
      </c>
      <c r="J10" s="312">
        <v>0.42</v>
      </c>
      <c r="K10" s="312">
        <v>1.3</v>
      </c>
      <c r="L10" s="248">
        <v>44839</v>
      </c>
      <c r="M10" s="247" t="s">
        <v>654</v>
      </c>
      <c r="N10" s="311"/>
      <c r="O10" s="311"/>
    </row>
    <row r="11" spans="2:48" ht="15.6" x14ac:dyDescent="0.3">
      <c r="G11" s="310" t="s">
        <v>321</v>
      </c>
      <c r="H11" s="31" t="s">
        <v>653</v>
      </c>
      <c r="K11" s="309" t="s">
        <v>652</v>
      </c>
    </row>
    <row r="12" spans="2:48" ht="15.6" x14ac:dyDescent="0.3">
      <c r="C12" s="308" t="s">
        <v>651</v>
      </c>
      <c r="D12" s="307" t="s">
        <v>650</v>
      </c>
      <c r="G12" s="306" t="s">
        <v>321</v>
      </c>
      <c r="H12" s="31" t="s">
        <v>649</v>
      </c>
      <c r="I12" s="305"/>
      <c r="K12" s="304" t="s">
        <v>648</v>
      </c>
      <c r="L12" s="304"/>
      <c r="M12" s="304"/>
      <c r="N12" s="304"/>
      <c r="O12" s="304"/>
      <c r="P12" s="304"/>
      <c r="Q12" s="304"/>
      <c r="AG12" s="221" t="s">
        <v>647</v>
      </c>
      <c r="AL12" t="s">
        <v>646</v>
      </c>
      <c r="AV12" t="s">
        <v>645</v>
      </c>
    </row>
    <row r="13" spans="2:48" x14ac:dyDescent="0.3">
      <c r="K13" s="304" t="s">
        <v>644</v>
      </c>
      <c r="L13" s="304"/>
      <c r="M13" s="304"/>
      <c r="N13" s="304"/>
      <c r="O13" s="304"/>
      <c r="P13" s="304"/>
      <c r="Q13" s="304"/>
    </row>
    <row r="14" spans="2:48" ht="61.2" x14ac:dyDescent="0.3">
      <c r="B14" s="303" t="s">
        <v>185</v>
      </c>
      <c r="C14" s="302" t="s">
        <v>643</v>
      </c>
      <c r="D14" s="302" t="s">
        <v>188</v>
      </c>
      <c r="E14" s="302" t="s">
        <v>35</v>
      </c>
      <c r="F14" s="302" t="s">
        <v>642</v>
      </c>
      <c r="G14" s="302" t="s">
        <v>641</v>
      </c>
      <c r="H14" s="302" t="s">
        <v>640</v>
      </c>
      <c r="I14" s="302" t="s">
        <v>639</v>
      </c>
      <c r="J14" s="302" t="s">
        <v>638</v>
      </c>
      <c r="K14" s="302" t="s">
        <v>637</v>
      </c>
      <c r="L14" s="302" t="s">
        <v>636</v>
      </c>
      <c r="M14" s="302" t="s">
        <v>635</v>
      </c>
      <c r="N14" s="302" t="s">
        <v>634</v>
      </c>
      <c r="O14" s="302" t="s">
        <v>633</v>
      </c>
      <c r="P14" s="302" t="s">
        <v>632</v>
      </c>
      <c r="Q14" s="302" t="s">
        <v>631</v>
      </c>
      <c r="R14" s="302" t="s">
        <v>630</v>
      </c>
      <c r="S14" s="301" t="s">
        <v>629</v>
      </c>
      <c r="T14" s="301" t="s">
        <v>628</v>
      </c>
      <c r="W14" s="393" t="s">
        <v>627</v>
      </c>
      <c r="X14" s="393"/>
      <c r="Y14" s="393"/>
      <c r="Z14" s="393"/>
      <c r="AA14" s="393"/>
      <c r="AB14" s="393"/>
      <c r="AC14" s="393"/>
      <c r="AD14" s="393"/>
      <c r="AG14" s="300" t="s">
        <v>626</v>
      </c>
      <c r="AH14" s="299" t="s">
        <v>625</v>
      </c>
      <c r="AI14" s="298" t="s">
        <v>624</v>
      </c>
      <c r="AL14" s="386" t="s">
        <v>623</v>
      </c>
      <c r="AM14" s="386"/>
      <c r="AN14" s="386"/>
      <c r="AO14" s="386"/>
      <c r="AP14" s="386"/>
      <c r="AQ14" s="386"/>
      <c r="AR14" s="386"/>
      <c r="AS14" s="386"/>
      <c r="AT14" s="386"/>
    </row>
    <row r="15" spans="2:48" x14ac:dyDescent="0.3">
      <c r="B15" s="84">
        <v>1</v>
      </c>
      <c r="C15" s="254" t="s">
        <v>622</v>
      </c>
      <c r="D15" s="84" t="s">
        <v>552</v>
      </c>
      <c r="E15" s="253" t="s">
        <v>29</v>
      </c>
      <c r="F15" s="297">
        <v>0.02</v>
      </c>
      <c r="G15" s="250">
        <v>1.9999999999999999E-6</v>
      </c>
      <c r="H15" s="251">
        <f>tblBD_PatronMasa[[#This Row],[Masa nominal mN]]+tblBD_PatronMasa[[#This Row],[Error certificado calibración δmc]]</f>
        <v>2.0001999999999999E-2</v>
      </c>
      <c r="I15" s="250">
        <v>1.1E-5</v>
      </c>
      <c r="J15" s="250">
        <f>4*tblBD_PatronMasa[[#This Row],[mpe]]/3</f>
        <v>4.0000000000000003E-5</v>
      </c>
      <c r="K15" s="249">
        <f>tblBD_PatronMasa[[#This Row],[Deriva Dmax=4/3*mpe]]/SQRT(3)</f>
        <v>2.3094010767585035E-5</v>
      </c>
      <c r="L15" s="247"/>
      <c r="M15" s="249">
        <f>INDEX(tolerancia,MATCH(tblBD_PatronMasa[[#This Row],[Masa nominal mN]],Vnominal,0),MATCH(tblBD_PatronMasa[[#This Row],[Clase]],Clases_masas,0))*0.001</f>
        <v>3.0000000000000001E-5</v>
      </c>
      <c r="N15" s="248">
        <v>43699</v>
      </c>
      <c r="O15" s="247" t="s">
        <v>605</v>
      </c>
      <c r="P15" s="84" t="s">
        <v>480</v>
      </c>
      <c r="Q15" s="84">
        <f>IFERROR(VLOOKUP(tblBD_PatronMasa[[#This Row],[Material]],tblDensidadPatron[],2,0),0)</f>
        <v>7950</v>
      </c>
      <c r="R15" s="84">
        <f>IFERROR(VLOOKUP(tblBD_PatronMasa[[#This Row],[Material]],tblDensidadPatron[],3,0),0)</f>
        <v>70</v>
      </c>
      <c r="S15" s="84">
        <f>tblBD_PatronMasa[[#This Row],[Masa nominal mN]]+(tblBD_PatronMasa[[#This Row],[mpe]]-tblBD_PatronMasa[[#This Row],[Incertidumbre certificado calibración U95=ku(δmc)]])</f>
        <v>2.0019000000000002E-2</v>
      </c>
      <c r="T15" s="84">
        <f>tblBD_PatronMasa[[#This Row],[Masa nominal mN]]-(tblBD_PatronMasa[[#This Row],[mpe]]-tblBD_PatronMasa[[#This Row],[Incertidumbre certificado calibración U95=ku(δmc)]])</f>
        <v>1.9980999999999999E-2</v>
      </c>
      <c r="U15" s="39"/>
      <c r="W15" s="394" t="s">
        <v>621</v>
      </c>
      <c r="X15" s="394" t="s">
        <v>620</v>
      </c>
      <c r="Y15" s="394"/>
      <c r="Z15" s="394"/>
      <c r="AA15" s="394"/>
      <c r="AB15" s="394"/>
      <c r="AC15" s="394"/>
      <c r="AD15" s="394"/>
      <c r="AG15" s="286" t="s">
        <v>619</v>
      </c>
      <c r="AH15" s="285">
        <v>8600</v>
      </c>
      <c r="AI15" s="284">
        <v>85</v>
      </c>
      <c r="AL15" s="390" t="s">
        <v>618</v>
      </c>
      <c r="AM15" s="392" t="s">
        <v>617</v>
      </c>
      <c r="AN15" s="392"/>
      <c r="AO15" s="392"/>
      <c r="AP15" s="392"/>
      <c r="AQ15" s="392"/>
      <c r="AR15" s="392"/>
      <c r="AS15" s="392"/>
      <c r="AT15" s="392"/>
    </row>
    <row r="16" spans="2:48" x14ac:dyDescent="0.3">
      <c r="B16" s="84">
        <v>2</v>
      </c>
      <c r="C16" s="254" t="s">
        <v>616</v>
      </c>
      <c r="D16" s="84" t="s">
        <v>552</v>
      </c>
      <c r="E16" s="253" t="s">
        <v>29</v>
      </c>
      <c r="F16" s="297">
        <v>0.05</v>
      </c>
      <c r="G16" s="250">
        <v>1.9999999999999999E-6</v>
      </c>
      <c r="H16" s="251">
        <f>tblBD_PatronMasa[[#This Row],[Masa nominal mN]]+tblBD_PatronMasa[[#This Row],[Error certificado calibración δmc]]</f>
        <v>5.0002000000000005E-2</v>
      </c>
      <c r="I16" s="250">
        <v>1.0000000000000001E-5</v>
      </c>
      <c r="J16" s="250">
        <f>4*tblBD_PatronMasa[[#This Row],[mpe]]/3</f>
        <v>5.333333333333334E-5</v>
      </c>
      <c r="K16" s="249">
        <f>tblBD_PatronMasa[[#This Row],[Deriva Dmax=4/3*mpe]]/SQRT(3)</f>
        <v>3.0792014356780046E-5</v>
      </c>
      <c r="L16" s="247"/>
      <c r="M16" s="249">
        <f>INDEX(tolerancia,MATCH(tblBD_PatronMasa[[#This Row],[Masa nominal mN]],Vnominal,0),MATCH(tblBD_PatronMasa[[#This Row],[Clase]],Clases_masas,0))*0.001</f>
        <v>4.0000000000000003E-5</v>
      </c>
      <c r="N16" s="248">
        <v>43699</v>
      </c>
      <c r="O16" s="247" t="s">
        <v>605</v>
      </c>
      <c r="P16" s="84" t="s">
        <v>480</v>
      </c>
      <c r="Q16" s="84">
        <f>IFERROR(VLOOKUP(tblBD_PatronMasa[[#This Row],[Material]],tblDensidadPatron[],2,0),0)</f>
        <v>7950</v>
      </c>
      <c r="R16" s="84">
        <f>IFERROR(VLOOKUP(tblBD_PatronMasa[[#This Row],[Material]],tblDensidadPatron[],3,0),0)</f>
        <v>70</v>
      </c>
      <c r="S16" s="84">
        <f>tblBD_PatronMasa[[#This Row],[Masa nominal mN]]+(tblBD_PatronMasa[[#This Row],[mpe]]-tblBD_PatronMasa[[#This Row],[Incertidumbre certificado calibración U95=ku(δmc)]])</f>
        <v>5.0030000000000005E-2</v>
      </c>
      <c r="T16" s="84">
        <f>tblBD_PatronMasa[[#This Row],[Masa nominal mN]]-(tblBD_PatronMasa[[#This Row],[mpe]]-tblBD_PatronMasa[[#This Row],[Incertidumbre certificado calibración U95=ku(δmc)]])</f>
        <v>4.9970000000000001E-2</v>
      </c>
      <c r="U16" s="39"/>
      <c r="W16" s="394"/>
      <c r="X16" s="296" t="s">
        <v>33</v>
      </c>
      <c r="Y16" s="295" t="s">
        <v>32</v>
      </c>
      <c r="Z16" s="295" t="s">
        <v>29</v>
      </c>
      <c r="AA16" s="295" t="s">
        <v>27</v>
      </c>
      <c r="AB16" s="295" t="s">
        <v>26</v>
      </c>
      <c r="AC16" s="295" t="s">
        <v>615</v>
      </c>
      <c r="AD16" s="295" t="s">
        <v>614</v>
      </c>
      <c r="AG16" s="286" t="s">
        <v>613</v>
      </c>
      <c r="AH16" s="285">
        <v>8400</v>
      </c>
      <c r="AI16" s="284">
        <v>85</v>
      </c>
      <c r="AL16" s="391"/>
      <c r="AM16" s="163">
        <v>20</v>
      </c>
      <c r="AN16" s="163">
        <v>15</v>
      </c>
      <c r="AO16" s="163">
        <v>10</v>
      </c>
      <c r="AP16" s="163">
        <v>7</v>
      </c>
      <c r="AQ16" s="163">
        <v>5</v>
      </c>
      <c r="AR16" s="163">
        <v>3</v>
      </c>
      <c r="AS16" s="163">
        <v>2</v>
      </c>
      <c r="AT16" s="163">
        <v>1</v>
      </c>
    </row>
    <row r="17" spans="2:74" x14ac:dyDescent="0.3">
      <c r="B17" s="84">
        <v>3</v>
      </c>
      <c r="C17" s="254" t="s">
        <v>612</v>
      </c>
      <c r="D17" s="84" t="s">
        <v>552</v>
      </c>
      <c r="E17" s="253" t="s">
        <v>29</v>
      </c>
      <c r="F17" s="294">
        <v>0.1</v>
      </c>
      <c r="G17" s="250">
        <v>0</v>
      </c>
      <c r="H17" s="251">
        <f>tblBD_PatronMasa[[#This Row],[Masa nominal mN]]+tblBD_PatronMasa[[#This Row],[Error certificado calibración δmc]]</f>
        <v>0.1</v>
      </c>
      <c r="I17" s="250">
        <v>1.2999999999999999E-5</v>
      </c>
      <c r="J17" s="250">
        <f>4*tblBD_PatronMasa[[#This Row],[mpe]]/3</f>
        <v>6.666666666666667E-5</v>
      </c>
      <c r="K17" s="249">
        <f>tblBD_PatronMasa[[#This Row],[Deriva Dmax=4/3*mpe]]/SQRT(3)</f>
        <v>3.8490017945975054E-5</v>
      </c>
      <c r="L17" s="247"/>
      <c r="M17" s="249">
        <f>INDEX(tolerancia,MATCH(tblBD_PatronMasa[[#This Row],[Masa nominal mN]],Vnominal,0),MATCH(tblBD_PatronMasa[[#This Row],[Clase]],Clases_masas,0))*0.001</f>
        <v>5.0000000000000002E-5</v>
      </c>
      <c r="N17" s="248">
        <v>43699</v>
      </c>
      <c r="O17" s="247" t="s">
        <v>605</v>
      </c>
      <c r="P17" s="84" t="s">
        <v>480</v>
      </c>
      <c r="Q17" s="84">
        <f>IFERROR(VLOOKUP(tblBD_PatronMasa[[#This Row],[Material]],tblDensidadPatron[],2,0),0)</f>
        <v>7950</v>
      </c>
      <c r="R17" s="84">
        <f>IFERROR(VLOOKUP(tblBD_PatronMasa[[#This Row],[Material]],tblDensidadPatron[],3,0),0)</f>
        <v>70</v>
      </c>
      <c r="S17" s="84">
        <f>tblBD_PatronMasa[[#This Row],[Masa nominal mN]]+(tblBD_PatronMasa[[#This Row],[mpe]]-tblBD_PatronMasa[[#This Row],[Incertidumbre certificado calibración U95=ku(δmc)]])</f>
        <v>0.100037</v>
      </c>
      <c r="T17" s="84">
        <f>tblBD_PatronMasa[[#This Row],[Masa nominal mN]]-(tblBD_PatronMasa[[#This Row],[mpe]]-tblBD_PatronMasa[[#This Row],[Incertidumbre certificado calibración U95=ku(δmc)]])</f>
        <v>9.996300000000001E-2</v>
      </c>
      <c r="U17" s="39"/>
      <c r="W17" s="276">
        <v>50000</v>
      </c>
      <c r="X17" s="270">
        <v>25</v>
      </c>
      <c r="Y17" s="270">
        <v>80</v>
      </c>
      <c r="Z17" s="270">
        <v>250</v>
      </c>
      <c r="AA17" s="270">
        <v>800</v>
      </c>
      <c r="AB17" s="270">
        <v>2500</v>
      </c>
      <c r="AC17" s="270">
        <v>8000</v>
      </c>
      <c r="AD17" s="270">
        <v>25000</v>
      </c>
      <c r="AG17" s="286" t="s">
        <v>480</v>
      </c>
      <c r="AH17" s="285">
        <v>7950</v>
      </c>
      <c r="AI17" s="284">
        <v>70</v>
      </c>
      <c r="AL17" s="279">
        <v>10</v>
      </c>
      <c r="AM17" s="278">
        <v>0.08</v>
      </c>
      <c r="AN17" s="278">
        <v>0.06</v>
      </c>
      <c r="AO17" s="278">
        <v>0.05</v>
      </c>
      <c r="AP17" s="277">
        <v>0.03</v>
      </c>
      <c r="AQ17" s="277">
        <v>0.03</v>
      </c>
      <c r="AR17" s="277">
        <v>0.02</v>
      </c>
      <c r="AS17" s="277">
        <v>0.01</v>
      </c>
      <c r="AT17" s="277">
        <v>0.01</v>
      </c>
      <c r="BI17" s="4" t="s">
        <v>611</v>
      </c>
      <c r="BJ17" s="4"/>
      <c r="BK17" s="4"/>
      <c r="BQ17" s="4" t="s">
        <v>610</v>
      </c>
      <c r="BR17" s="4"/>
      <c r="BS17" s="4"/>
      <c r="BT17" s="4"/>
      <c r="BU17" s="4"/>
      <c r="BV17" s="4"/>
    </row>
    <row r="18" spans="2:74" x14ac:dyDescent="0.3">
      <c r="B18" s="84">
        <v>4</v>
      </c>
      <c r="C18" s="254" t="s">
        <v>609</v>
      </c>
      <c r="D18" s="84" t="s">
        <v>552</v>
      </c>
      <c r="E18" s="253" t="s">
        <v>29</v>
      </c>
      <c r="F18" s="294">
        <v>0.2</v>
      </c>
      <c r="G18" s="250">
        <v>1.5999999999999999E-5</v>
      </c>
      <c r="H18" s="251">
        <f>tblBD_PatronMasa[[#This Row],[Masa nominal mN]]+tblBD_PatronMasa[[#This Row],[Error certificado calibración δmc]]</f>
        <v>0.200016</v>
      </c>
      <c r="I18" s="250">
        <v>1.4E-5</v>
      </c>
      <c r="J18" s="250">
        <f>4*tblBD_PatronMasa[[#This Row],[mpe]]/3</f>
        <v>8.0000000000000007E-5</v>
      </c>
      <c r="K18" s="249">
        <f>tblBD_PatronMasa[[#This Row],[Deriva Dmax=4/3*mpe]]/SQRT(3)</f>
        <v>4.6188021535170069E-5</v>
      </c>
      <c r="L18" s="247"/>
      <c r="M18" s="249">
        <f>INDEX(tolerancia,MATCH(tblBD_PatronMasa[[#This Row],[Masa nominal mN]],Vnominal,0),MATCH(tblBD_PatronMasa[[#This Row],[Clase]],Clases_masas,0))*0.001</f>
        <v>6.0000000000000002E-5</v>
      </c>
      <c r="N18" s="248">
        <v>43699</v>
      </c>
      <c r="O18" s="247" t="s">
        <v>605</v>
      </c>
      <c r="P18" s="84" t="s">
        <v>480</v>
      </c>
      <c r="Q18" s="84">
        <f>IFERROR(VLOOKUP(tblBD_PatronMasa[[#This Row],[Material]],tblDensidadPatron[],2,0),0)</f>
        <v>7950</v>
      </c>
      <c r="R18" s="84">
        <f>IFERROR(VLOOKUP(tblBD_PatronMasa[[#This Row],[Material]],tblDensidadPatron[],3,0),0)</f>
        <v>70</v>
      </c>
      <c r="S18" s="84">
        <f>tblBD_PatronMasa[[#This Row],[Masa nominal mN]]+(tblBD_PatronMasa[[#This Row],[mpe]]-tblBD_PatronMasa[[#This Row],[Incertidumbre certificado calibración U95=ku(δmc)]])</f>
        <v>0.200046</v>
      </c>
      <c r="T18" s="84">
        <f>tblBD_PatronMasa[[#This Row],[Masa nominal mN]]-(tblBD_PatronMasa[[#This Row],[mpe]]-tblBD_PatronMasa[[#This Row],[Incertidumbre certificado calibración U95=ku(δmc)]])</f>
        <v>0.19995400000000002</v>
      </c>
      <c r="U18" s="39"/>
      <c r="W18" s="276">
        <v>20000</v>
      </c>
      <c r="X18" s="270">
        <v>10</v>
      </c>
      <c r="Y18" s="270">
        <v>30</v>
      </c>
      <c r="Z18" s="270">
        <v>100</v>
      </c>
      <c r="AA18" s="270">
        <v>300</v>
      </c>
      <c r="AB18" s="270">
        <v>1000</v>
      </c>
      <c r="AC18" s="270">
        <v>3000</v>
      </c>
      <c r="AD18" s="270">
        <v>10000</v>
      </c>
      <c r="AE18" s="283"/>
      <c r="AG18" s="286" t="s">
        <v>608</v>
      </c>
      <c r="AH18" s="285">
        <v>7700</v>
      </c>
      <c r="AI18" s="284">
        <v>100</v>
      </c>
      <c r="AL18" s="279">
        <v>20</v>
      </c>
      <c r="AM18" s="278">
        <v>0.14000000000000001</v>
      </c>
      <c r="AN18" s="278">
        <v>0.11</v>
      </c>
      <c r="AO18" s="278">
        <v>0.08</v>
      </c>
      <c r="AP18" s="277">
        <v>0.06</v>
      </c>
      <c r="AQ18" s="277">
        <v>0.05</v>
      </c>
      <c r="AR18" s="277">
        <v>0.03</v>
      </c>
      <c r="AS18" s="277">
        <v>0.02</v>
      </c>
      <c r="AT18" s="277">
        <v>0.01</v>
      </c>
      <c r="BI18" s="4" t="s">
        <v>607</v>
      </c>
      <c r="BJ18" s="4"/>
      <c r="BK18" s="4"/>
      <c r="BQ18" s="4" t="s">
        <v>28</v>
      </c>
      <c r="BR18" s="4"/>
      <c r="BS18" s="4"/>
      <c r="BT18" s="4"/>
      <c r="BU18" s="4"/>
      <c r="BV18" s="4"/>
    </row>
    <row r="19" spans="2:74" x14ac:dyDescent="0.3">
      <c r="B19" s="84">
        <v>5</v>
      </c>
      <c r="C19" s="254" t="s">
        <v>606</v>
      </c>
      <c r="D19" s="84" t="s">
        <v>552</v>
      </c>
      <c r="E19" s="253" t="s">
        <v>29</v>
      </c>
      <c r="F19" s="294">
        <v>0.5</v>
      </c>
      <c r="G19" s="250">
        <v>3.8000000000000002E-5</v>
      </c>
      <c r="H19" s="251">
        <f>tblBD_PatronMasa[[#This Row],[Masa nominal mN]]+tblBD_PatronMasa[[#This Row],[Error certificado calibración δmc]]</f>
        <v>0.50003799999999998</v>
      </c>
      <c r="I19" s="250">
        <v>1.7E-5</v>
      </c>
      <c r="J19" s="250">
        <f>4*tblBD_PatronMasa[[#This Row],[mpe]]/3</f>
        <v>1.0666666666666668E-4</v>
      </c>
      <c r="K19" s="249">
        <f>tblBD_PatronMasa[[#This Row],[Deriva Dmax=4/3*mpe]]/SQRT(3)</f>
        <v>6.1584028713560093E-5</v>
      </c>
      <c r="L19" s="247"/>
      <c r="M19" s="249">
        <f>INDEX(tolerancia,MATCH(tblBD_PatronMasa[[#This Row],[Masa nominal mN]],Vnominal,0),MATCH(tblBD_PatronMasa[[#This Row],[Clase]],Clases_masas,0))*0.001</f>
        <v>8.0000000000000007E-5</v>
      </c>
      <c r="N19" s="248">
        <v>43699</v>
      </c>
      <c r="O19" s="247" t="s">
        <v>605</v>
      </c>
      <c r="P19" s="84" t="s">
        <v>480</v>
      </c>
      <c r="Q19" s="84">
        <f>IFERROR(VLOOKUP(tblBD_PatronMasa[[#This Row],[Material]],tblDensidadPatron[],2,0),0)</f>
        <v>7950</v>
      </c>
      <c r="R19" s="84">
        <f>IFERROR(VLOOKUP(tblBD_PatronMasa[[#This Row],[Material]],tblDensidadPatron[],3,0),0)</f>
        <v>70</v>
      </c>
      <c r="S19" s="84">
        <f>tblBD_PatronMasa[[#This Row],[Masa nominal mN]]+(tblBD_PatronMasa[[#This Row],[mpe]]-tblBD_PatronMasa[[#This Row],[Incertidumbre certificado calibración U95=ku(δmc)]])</f>
        <v>0.50006300000000004</v>
      </c>
      <c r="T19" s="84">
        <f>tblBD_PatronMasa[[#This Row],[Masa nominal mN]]-(tblBD_PatronMasa[[#This Row],[mpe]]-tblBD_PatronMasa[[#This Row],[Incertidumbre certificado calibración U95=ku(δmc)]])</f>
        <v>0.49993700000000002</v>
      </c>
      <c r="U19" s="39"/>
      <c r="W19" s="276">
        <v>10000</v>
      </c>
      <c r="X19" s="270">
        <v>5</v>
      </c>
      <c r="Y19" s="270">
        <v>16</v>
      </c>
      <c r="Z19" s="270">
        <v>50</v>
      </c>
      <c r="AA19" s="270">
        <v>160</v>
      </c>
      <c r="AB19" s="270">
        <v>500</v>
      </c>
      <c r="AC19" s="270">
        <v>1600</v>
      </c>
      <c r="AD19" s="270">
        <v>5000</v>
      </c>
      <c r="AE19" s="283"/>
      <c r="AG19" s="286" t="s">
        <v>484</v>
      </c>
      <c r="AH19" s="285">
        <v>7800</v>
      </c>
      <c r="AI19" s="284">
        <v>100</v>
      </c>
      <c r="AL19" s="279">
        <v>50</v>
      </c>
      <c r="AM19" s="278">
        <v>0.28999999999999998</v>
      </c>
      <c r="AN19" s="278">
        <v>0.23</v>
      </c>
      <c r="AO19" s="278">
        <v>0.17</v>
      </c>
      <c r="AP19" s="277">
        <v>0.12</v>
      </c>
      <c r="AQ19" s="277">
        <v>0.09</v>
      </c>
      <c r="AR19" s="277">
        <v>0.06</v>
      </c>
      <c r="AS19" s="277">
        <v>0.05</v>
      </c>
      <c r="AT19" s="277">
        <v>0.03</v>
      </c>
      <c r="BI19" s="293" t="s">
        <v>604</v>
      </c>
      <c r="BJ19" s="292">
        <v>0.95</v>
      </c>
      <c r="BK19" s="292">
        <v>0.98</v>
      </c>
      <c r="BL19" s="189" t="s">
        <v>603</v>
      </c>
      <c r="BM19" s="289"/>
      <c r="BN19" s="288"/>
      <c r="BQ19" s="7" t="s">
        <v>35</v>
      </c>
      <c r="BR19" s="6" t="s">
        <v>39</v>
      </c>
      <c r="BS19" s="6" t="s">
        <v>602</v>
      </c>
      <c r="BT19" s="6" t="s">
        <v>601</v>
      </c>
      <c r="BU19" s="6" t="s">
        <v>600</v>
      </c>
      <c r="BV19" s="6" t="s">
        <v>34</v>
      </c>
    </row>
    <row r="20" spans="2:74" ht="15.6" x14ac:dyDescent="0.3">
      <c r="B20" s="84">
        <v>6</v>
      </c>
      <c r="C20" s="254" t="s">
        <v>599</v>
      </c>
      <c r="D20" s="84" t="s">
        <v>557</v>
      </c>
      <c r="E20" s="253" t="s">
        <v>29</v>
      </c>
      <c r="F20" s="252">
        <v>1</v>
      </c>
      <c r="G20" s="250">
        <v>1.5999999999999999E-5</v>
      </c>
      <c r="H20" s="251">
        <f>tblBD_PatronMasa[[#This Row],[Masa nominal mN]]+tblBD_PatronMasa[[#This Row],[Error certificado calibración δmc]]</f>
        <v>1.000016</v>
      </c>
      <c r="I20" s="250">
        <v>3.3000000000000003E-5</v>
      </c>
      <c r="J20" s="250">
        <f>4*tblBD_PatronMasa[[#This Row],[mpe]]/3</f>
        <v>1.3333333333333334E-4</v>
      </c>
      <c r="K20" s="249">
        <f>tblBD_PatronMasa[[#This Row],[Deriva Dmax=4/3*mpe]]/SQRT(3)</f>
        <v>7.6980035891950109E-5</v>
      </c>
      <c r="L20" s="247"/>
      <c r="M20" s="249">
        <f>INDEX(tolerancia,MATCH(tblBD_PatronMasa[[#This Row],[Masa nominal mN]],Vnominal,0),MATCH(tblBD_PatronMasa[[#This Row],[Clase]],Clases_masas,0))*0.001</f>
        <v>1E-4</v>
      </c>
      <c r="N20" s="248">
        <v>45124</v>
      </c>
      <c r="O20" s="247" t="s">
        <v>556</v>
      </c>
      <c r="P20" s="84" t="s">
        <v>480</v>
      </c>
      <c r="Q20" s="84">
        <f>IFERROR(VLOOKUP(tblBD_PatronMasa[[#This Row],[Material]],tblDensidadPatron[],2,0),0)</f>
        <v>7950</v>
      </c>
      <c r="R20" s="84">
        <f>IFERROR(VLOOKUP(tblBD_PatronMasa[[#This Row],[Material]],tblDensidadPatron[],3,0),0)</f>
        <v>70</v>
      </c>
      <c r="S20" s="84">
        <f>tblBD_PatronMasa[[#This Row],[Masa nominal mN]]+(tblBD_PatronMasa[[#This Row],[mpe]]-tblBD_PatronMasa[[#This Row],[Incertidumbre certificado calibración U95=ku(δmc)]])</f>
        <v>1.000067</v>
      </c>
      <c r="T20" s="84">
        <f>tblBD_PatronMasa[[#This Row],[Masa nominal mN]]-(tblBD_PatronMasa[[#This Row],[mpe]]-tblBD_PatronMasa[[#This Row],[Incertidumbre certificado calibración U95=ku(δmc)]])</f>
        <v>0.99993299999999996</v>
      </c>
      <c r="U20" s="39"/>
      <c r="W20" s="276">
        <v>5000</v>
      </c>
      <c r="X20" s="270">
        <v>2.5</v>
      </c>
      <c r="Y20" s="270">
        <v>8</v>
      </c>
      <c r="Z20" s="270">
        <v>25</v>
      </c>
      <c r="AA20" s="270">
        <v>80</v>
      </c>
      <c r="AB20" s="270">
        <v>250</v>
      </c>
      <c r="AC20" s="270">
        <v>800</v>
      </c>
      <c r="AD20" s="270">
        <v>2500</v>
      </c>
      <c r="AE20" s="283"/>
      <c r="AG20" s="286" t="s">
        <v>598</v>
      </c>
      <c r="AH20" s="285">
        <v>7700</v>
      </c>
      <c r="AI20" s="284">
        <v>200</v>
      </c>
      <c r="AL20" s="279">
        <v>100</v>
      </c>
      <c r="AM20" s="278">
        <v>0.51</v>
      </c>
      <c r="AN20" s="278">
        <v>0.4</v>
      </c>
      <c r="AO20" s="278">
        <v>0.28999999999999998</v>
      </c>
      <c r="AP20" s="277">
        <v>0.22</v>
      </c>
      <c r="AQ20" s="277">
        <v>0.17</v>
      </c>
      <c r="AR20" s="277">
        <v>0.11</v>
      </c>
      <c r="AS20" s="277">
        <v>0.08</v>
      </c>
      <c r="AT20" s="277">
        <v>0.05</v>
      </c>
      <c r="AW20" s="291"/>
      <c r="AX20" s="291"/>
      <c r="AY20" s="291"/>
      <c r="AZ20" s="291"/>
      <c r="BA20" s="291"/>
      <c r="BB20" s="291"/>
      <c r="BC20" s="291"/>
      <c r="BD20" s="291"/>
      <c r="BI20" s="203" t="s">
        <v>597</v>
      </c>
      <c r="BJ20" s="290">
        <v>0.05</v>
      </c>
      <c r="BK20" s="290">
        <v>0.02</v>
      </c>
      <c r="BL20" s="189" t="s">
        <v>596</v>
      </c>
      <c r="BM20" s="289"/>
      <c r="BN20" s="288"/>
      <c r="BQ20" s="3" t="s">
        <v>33</v>
      </c>
      <c r="BR20" s="3">
        <v>0.3</v>
      </c>
      <c r="BS20" s="3">
        <v>0.5</v>
      </c>
      <c r="BT20" s="3">
        <v>40</v>
      </c>
      <c r="BU20" s="3">
        <v>60</v>
      </c>
      <c r="BV20" s="3">
        <v>5</v>
      </c>
    </row>
    <row r="21" spans="2:74" x14ac:dyDescent="0.3">
      <c r="B21" s="84">
        <v>7</v>
      </c>
      <c r="C21" s="254" t="s">
        <v>595</v>
      </c>
      <c r="D21" s="84" t="s">
        <v>552</v>
      </c>
      <c r="E21" s="253" t="s">
        <v>29</v>
      </c>
      <c r="F21" s="252">
        <v>2</v>
      </c>
      <c r="G21" s="250">
        <v>-3.4999999999999997E-5</v>
      </c>
      <c r="H21" s="251">
        <f>tblBD_PatronMasa[[#This Row],[Masa nominal mN]]+tblBD_PatronMasa[[#This Row],[Error certificado calibración δmc]]</f>
        <v>1.999965</v>
      </c>
      <c r="I21" s="287">
        <v>8.2999999999999998E-5</v>
      </c>
      <c r="J21" s="250">
        <f>4*tblBD_PatronMasa[[#This Row],[mpe]]/3</f>
        <v>1.6000000000000001E-4</v>
      </c>
      <c r="K21" s="249">
        <f>tblBD_PatronMasa[[#This Row],[Deriva Dmax=4/3*mpe]]/SQRT(3)</f>
        <v>9.2376043070340139E-5</v>
      </c>
      <c r="L21" s="247"/>
      <c r="M21" s="249">
        <f>INDEX(tolerancia,MATCH(tblBD_PatronMasa[[#This Row],[Masa nominal mN]],Vnominal,0),MATCH(tblBD_PatronMasa[[#This Row],[Clase]],Clases_masas,0))*0.001</f>
        <v>1.2E-4</v>
      </c>
      <c r="N21" s="248">
        <v>43599</v>
      </c>
      <c r="O21" s="247" t="s">
        <v>559</v>
      </c>
      <c r="P21" s="84" t="s">
        <v>480</v>
      </c>
      <c r="Q21" s="84">
        <f>IFERROR(VLOOKUP(tblBD_PatronMasa[[#This Row],[Material]],tblDensidadPatron[],2,0),0)</f>
        <v>7950</v>
      </c>
      <c r="R21" s="84">
        <f>IFERROR(VLOOKUP(tblBD_PatronMasa[[#This Row],[Material]],tblDensidadPatron[],3,0),0)</f>
        <v>70</v>
      </c>
      <c r="S21" s="84">
        <f>tblBD_PatronMasa[[#This Row],[Masa nominal mN]]+(tblBD_PatronMasa[[#This Row],[mpe]]-tblBD_PatronMasa[[#This Row],[Incertidumbre certificado calibración U95=ku(δmc)]])</f>
        <v>2.0000369999999998</v>
      </c>
      <c r="T21" s="84">
        <f>tblBD_PatronMasa[[#This Row],[Masa nominal mN]]-(tblBD_PatronMasa[[#This Row],[mpe]]-tblBD_PatronMasa[[#This Row],[Incertidumbre certificado calibración U95=ku(δmc)]])</f>
        <v>1.9999629999999999</v>
      </c>
      <c r="U21" s="39"/>
      <c r="W21" s="276">
        <v>2000</v>
      </c>
      <c r="X21" s="270">
        <v>1</v>
      </c>
      <c r="Y21" s="270">
        <v>3</v>
      </c>
      <c r="Z21" s="270">
        <v>10</v>
      </c>
      <c r="AA21" s="270">
        <v>30</v>
      </c>
      <c r="AB21" s="270">
        <v>100</v>
      </c>
      <c r="AC21" s="270">
        <v>300</v>
      </c>
      <c r="AD21" s="270">
        <v>1000</v>
      </c>
      <c r="AE21" s="283"/>
      <c r="AG21" s="286" t="s">
        <v>594</v>
      </c>
      <c r="AH21" s="285">
        <v>7100</v>
      </c>
      <c r="AI21" s="284">
        <v>300</v>
      </c>
      <c r="AL21" s="279">
        <v>200</v>
      </c>
      <c r="AM21" s="278">
        <v>0.91</v>
      </c>
      <c r="AN21" s="278">
        <v>0.72</v>
      </c>
      <c r="AO21" s="278">
        <v>0.51</v>
      </c>
      <c r="AP21" s="277">
        <v>0.38</v>
      </c>
      <c r="AQ21" s="277">
        <v>0.28999999999999998</v>
      </c>
      <c r="AR21" s="277">
        <v>0.19</v>
      </c>
      <c r="AS21" s="277">
        <v>0.14000000000000001</v>
      </c>
      <c r="AT21" s="277">
        <v>0.08</v>
      </c>
      <c r="BF21" s="112" t="s">
        <v>593</v>
      </c>
      <c r="BG21" s="112"/>
      <c r="BI21" s="3">
        <v>1</v>
      </c>
      <c r="BJ21" s="131">
        <v>12.706200000000001</v>
      </c>
      <c r="BK21" s="131">
        <v>31.820499999999999</v>
      </c>
      <c r="BQ21" s="3" t="s">
        <v>32</v>
      </c>
      <c r="BR21" s="3">
        <v>0.7</v>
      </c>
      <c r="BS21" s="3">
        <v>1</v>
      </c>
      <c r="BT21" s="3">
        <v>40</v>
      </c>
      <c r="BU21" s="3">
        <v>60</v>
      </c>
      <c r="BV21" s="3">
        <v>10</v>
      </c>
    </row>
    <row r="22" spans="2:74" ht="15.6" x14ac:dyDescent="0.3">
      <c r="B22" s="84">
        <v>8</v>
      </c>
      <c r="C22" s="254" t="s">
        <v>592</v>
      </c>
      <c r="D22" s="84" t="s">
        <v>557</v>
      </c>
      <c r="E22" s="253" t="s">
        <v>29</v>
      </c>
      <c r="F22" s="252">
        <v>2</v>
      </c>
      <c r="G22" s="250">
        <v>3.6000000000000001E-5</v>
      </c>
      <c r="H22" s="251">
        <f>tblBD_PatronMasa[[#This Row],[Masa nominal mN]]+tblBD_PatronMasa[[#This Row],[Error certificado calibración δmc]]</f>
        <v>2.0000360000000001</v>
      </c>
      <c r="I22" s="250">
        <v>4.0000000000000003E-5</v>
      </c>
      <c r="J22" s="250">
        <f>4*tblBD_PatronMasa[[#This Row],[mpe]]/3</f>
        <v>1.6000000000000001E-4</v>
      </c>
      <c r="K22" s="249">
        <f>tblBD_PatronMasa[[#This Row],[Deriva Dmax=4/3*mpe]]/SQRT(3)</f>
        <v>9.2376043070340139E-5</v>
      </c>
      <c r="L22" s="247"/>
      <c r="M22" s="249">
        <f>INDEX(tolerancia,MATCH(tblBD_PatronMasa[[#This Row],[Masa nominal mN]],Vnominal,0),MATCH(tblBD_PatronMasa[[#This Row],[Clase]],Clases_masas,0))*0.001</f>
        <v>1.2E-4</v>
      </c>
      <c r="N22" s="248">
        <v>45124</v>
      </c>
      <c r="O22" s="247" t="s">
        <v>556</v>
      </c>
      <c r="P22" s="84" t="s">
        <v>480</v>
      </c>
      <c r="Q22" s="84">
        <f>IFERROR(VLOOKUP(tblBD_PatronMasa[[#This Row],[Material]],tblDensidadPatron[],2,0),0)</f>
        <v>7950</v>
      </c>
      <c r="R22" s="84">
        <f>IFERROR(VLOOKUP(tblBD_PatronMasa[[#This Row],[Material]],tblDensidadPatron[],3,0),0)</f>
        <v>70</v>
      </c>
      <c r="S22" s="84">
        <f>tblBD_PatronMasa[[#This Row],[Masa nominal mN]]+(tblBD_PatronMasa[[#This Row],[mpe]]-tblBD_PatronMasa[[#This Row],[Incertidumbre certificado calibración U95=ku(δmc)]])</f>
        <v>2.0000800000000001</v>
      </c>
      <c r="T22" s="84">
        <f>tblBD_PatronMasa[[#This Row],[Masa nominal mN]]-(tblBD_PatronMasa[[#This Row],[mpe]]-tblBD_PatronMasa[[#This Row],[Incertidumbre certificado calibración U95=ku(δmc)]])</f>
        <v>1.9999199999999999</v>
      </c>
      <c r="U22" s="39"/>
      <c r="W22" s="276">
        <v>1000</v>
      </c>
      <c r="X22" s="270">
        <v>0.5</v>
      </c>
      <c r="Y22" s="270">
        <v>1.6</v>
      </c>
      <c r="Z22" s="270">
        <v>5</v>
      </c>
      <c r="AA22" s="270">
        <v>16</v>
      </c>
      <c r="AB22" s="270">
        <v>50</v>
      </c>
      <c r="AC22" s="270">
        <v>160</v>
      </c>
      <c r="AD22" s="270">
        <v>500</v>
      </c>
      <c r="AE22" s="283"/>
      <c r="AG22" s="282" t="s">
        <v>591</v>
      </c>
      <c r="AH22" s="281">
        <v>2700</v>
      </c>
      <c r="AI22" s="280">
        <v>65</v>
      </c>
      <c r="AL22" s="279">
        <v>500</v>
      </c>
      <c r="AM22" s="278">
        <v>1.96</v>
      </c>
      <c r="AN22" s="278">
        <v>1.54</v>
      </c>
      <c r="AO22" s="278">
        <v>1.0900000000000001</v>
      </c>
      <c r="AP22" s="277">
        <v>0.81</v>
      </c>
      <c r="AQ22" s="277">
        <v>0.61</v>
      </c>
      <c r="AR22" s="277">
        <v>0.4</v>
      </c>
      <c r="AS22" s="277">
        <v>0.28999999999999998</v>
      </c>
      <c r="AT22" s="277">
        <v>0.17</v>
      </c>
      <c r="BF22" s="112" t="s">
        <v>590</v>
      </c>
      <c r="BG22" s="112"/>
      <c r="BI22" s="3">
        <v>2</v>
      </c>
      <c r="BJ22" s="131">
        <v>4.3026999999999997</v>
      </c>
      <c r="BK22" s="131">
        <v>6.9645999999999999</v>
      </c>
      <c r="BQ22" s="3" t="s">
        <v>29</v>
      </c>
      <c r="BR22" s="3">
        <v>1.5</v>
      </c>
      <c r="BS22" s="3">
        <v>2</v>
      </c>
      <c r="BT22" s="3">
        <v>40</v>
      </c>
      <c r="BU22" s="3">
        <v>60</v>
      </c>
      <c r="BV22" s="3">
        <v>15</v>
      </c>
    </row>
    <row r="23" spans="2:74" x14ac:dyDescent="0.3">
      <c r="B23" s="84">
        <v>9</v>
      </c>
      <c r="C23" s="254" t="s">
        <v>589</v>
      </c>
      <c r="D23" s="84" t="s">
        <v>557</v>
      </c>
      <c r="E23" s="253" t="s">
        <v>29</v>
      </c>
      <c r="F23" s="252">
        <v>2</v>
      </c>
      <c r="G23" s="250">
        <v>3.6000000000000001E-5</v>
      </c>
      <c r="H23" s="251">
        <f>tblBD_PatronMasa[[#This Row],[Masa nominal mN]]+tblBD_PatronMasa[[#This Row],[Error certificado calibración δmc]]</f>
        <v>2.0000360000000001</v>
      </c>
      <c r="I23" s="250">
        <v>4.0000000000000003E-5</v>
      </c>
      <c r="J23" s="250">
        <f>4*tblBD_PatronMasa[[#This Row],[mpe]]/3</f>
        <v>1.6000000000000001E-4</v>
      </c>
      <c r="K23" s="249">
        <f>tblBD_PatronMasa[[#This Row],[Deriva Dmax=4/3*mpe]]/SQRT(3)</f>
        <v>9.2376043070340139E-5</v>
      </c>
      <c r="L23" s="247"/>
      <c r="M23" s="249">
        <f>INDEX(tolerancia,MATCH(tblBD_PatronMasa[[#This Row],[Masa nominal mN]],Vnominal,0),MATCH(tblBD_PatronMasa[[#This Row],[Clase]],Clases_masas,0))*0.001</f>
        <v>1.2E-4</v>
      </c>
      <c r="N23" s="248">
        <v>45124</v>
      </c>
      <c r="O23" s="247" t="s">
        <v>556</v>
      </c>
      <c r="P23" s="84" t="s">
        <v>480</v>
      </c>
      <c r="Q23" s="84">
        <f>IFERROR(VLOOKUP(tblBD_PatronMasa[[#This Row],[Material]],tblDensidadPatron[],2,0),0)</f>
        <v>7950</v>
      </c>
      <c r="R23" s="84">
        <f>IFERROR(VLOOKUP(tblBD_PatronMasa[[#This Row],[Material]],tblDensidadPatron[],3,0),0)</f>
        <v>70</v>
      </c>
      <c r="S23" s="84">
        <f>tblBD_PatronMasa[[#This Row],[Masa nominal mN]]+(tblBD_PatronMasa[[#This Row],[mpe]]-tblBD_PatronMasa[[#This Row],[Incertidumbre certificado calibración U95=ku(δmc)]])</f>
        <v>2.0000800000000001</v>
      </c>
      <c r="T23" s="84">
        <f>tblBD_PatronMasa[[#This Row],[Masa nominal mN]]-(tblBD_PatronMasa[[#This Row],[mpe]]-tblBD_PatronMasa[[#This Row],[Incertidumbre certificado calibración U95=ku(δmc)]])</f>
        <v>1.9999199999999999</v>
      </c>
      <c r="U23" s="39"/>
      <c r="W23" s="276">
        <v>500</v>
      </c>
      <c r="X23" s="270">
        <v>0.25</v>
      </c>
      <c r="Y23" s="270">
        <v>0.8</v>
      </c>
      <c r="Z23" s="270">
        <v>2.5</v>
      </c>
      <c r="AA23" s="270">
        <v>8</v>
      </c>
      <c r="AB23" s="270">
        <v>25</v>
      </c>
      <c r="AC23" s="272">
        <v>80</v>
      </c>
      <c r="AD23" s="272">
        <v>250</v>
      </c>
      <c r="AE23" s="275"/>
      <c r="AL23" s="279">
        <v>1000</v>
      </c>
      <c r="AM23" s="278">
        <v>3.53</v>
      </c>
      <c r="AN23" s="278">
        <v>2.76</v>
      </c>
      <c r="AO23" s="278">
        <v>1.96</v>
      </c>
      <c r="AP23" s="277">
        <v>1.45</v>
      </c>
      <c r="AQ23" s="277">
        <v>1.0900000000000001</v>
      </c>
      <c r="AR23" s="277">
        <v>0.72</v>
      </c>
      <c r="AS23" s="277">
        <v>0.51</v>
      </c>
      <c r="AT23" s="277">
        <v>0.28999999999999998</v>
      </c>
      <c r="BI23" s="3">
        <v>3</v>
      </c>
      <c r="BJ23" s="131">
        <v>3.1823999999999999</v>
      </c>
      <c r="BK23" s="131">
        <v>4.5407000000000002</v>
      </c>
      <c r="BQ23" s="3" t="s">
        <v>27</v>
      </c>
      <c r="BR23" s="3">
        <v>2</v>
      </c>
      <c r="BS23" s="3">
        <v>3.5</v>
      </c>
      <c r="BT23" s="3">
        <v>40</v>
      </c>
      <c r="BU23" s="3">
        <v>60</v>
      </c>
      <c r="BV23" s="3">
        <v>15</v>
      </c>
    </row>
    <row r="24" spans="2:74" x14ac:dyDescent="0.3">
      <c r="B24" s="84">
        <v>10</v>
      </c>
      <c r="C24" s="254" t="s">
        <v>588</v>
      </c>
      <c r="D24" s="84" t="s">
        <v>552</v>
      </c>
      <c r="E24" s="253" t="s">
        <v>27</v>
      </c>
      <c r="F24" s="252">
        <v>5</v>
      </c>
      <c r="G24" s="250">
        <v>-7.7999999999999999E-5</v>
      </c>
      <c r="H24" s="251">
        <f>tblBD_PatronMasa[[#This Row],[Masa nominal mN]]+tblBD_PatronMasa[[#This Row],[Error certificado calibración δmc]]</f>
        <v>4.9999219999999998</v>
      </c>
      <c r="I24" s="250">
        <v>8.2999999999999998E-5</v>
      </c>
      <c r="J24" s="250">
        <f>4*tblBD_PatronMasa[[#This Row],[mpe]]/3</f>
        <v>6.6666666666666664E-4</v>
      </c>
      <c r="K24" s="249">
        <f>tblBD_PatronMasa[[#This Row],[Deriva Dmax=4/3*mpe]]/SQRT(3)</f>
        <v>3.8490017945975053E-4</v>
      </c>
      <c r="L24" s="247"/>
      <c r="M24" s="249">
        <f>INDEX(tolerancia,MATCH(tblBD_PatronMasa[[#This Row],[Masa nominal mN]],Vnominal,0),MATCH(tblBD_PatronMasa[[#This Row],[Clase]],Clases_masas,0))*0.001</f>
        <v>5.0000000000000001E-4</v>
      </c>
      <c r="N24" s="248">
        <v>43599</v>
      </c>
      <c r="O24" s="247" t="s">
        <v>559</v>
      </c>
      <c r="P24" s="84" t="s">
        <v>480</v>
      </c>
      <c r="Q24" s="84">
        <f>IFERROR(VLOOKUP(tblBD_PatronMasa[[#This Row],[Material]],tblDensidadPatron[],2,0),0)</f>
        <v>7950</v>
      </c>
      <c r="R24" s="84">
        <f>IFERROR(VLOOKUP(tblBD_PatronMasa[[#This Row],[Material]],tblDensidadPatron[],3,0),0)</f>
        <v>70</v>
      </c>
      <c r="S24" s="84">
        <f>tblBD_PatronMasa[[#This Row],[Masa nominal mN]]+(tblBD_PatronMasa[[#This Row],[mpe]]-tblBD_PatronMasa[[#This Row],[Incertidumbre certificado calibración U95=ku(δmc)]])</f>
        <v>5.0004169999999997</v>
      </c>
      <c r="T24" s="84">
        <f>tblBD_PatronMasa[[#This Row],[Masa nominal mN]]-(tblBD_PatronMasa[[#This Row],[mpe]]-tblBD_PatronMasa[[#This Row],[Incertidumbre certificado calibración U95=ku(δmc)]])</f>
        <v>4.9995830000000003</v>
      </c>
      <c r="U24" s="39"/>
      <c r="W24" s="276">
        <v>200</v>
      </c>
      <c r="X24" s="270">
        <v>0.1</v>
      </c>
      <c r="Y24" s="270">
        <v>0.3</v>
      </c>
      <c r="Z24" s="270">
        <v>1</v>
      </c>
      <c r="AA24" s="270">
        <v>3</v>
      </c>
      <c r="AB24" s="270">
        <v>10</v>
      </c>
      <c r="AC24" s="272">
        <v>30</v>
      </c>
      <c r="AD24" s="272">
        <v>100</v>
      </c>
      <c r="AE24" s="275"/>
      <c r="AL24" s="279">
        <v>2000</v>
      </c>
      <c r="AM24" s="278">
        <v>6.42</v>
      </c>
      <c r="AN24" s="278">
        <v>5.01</v>
      </c>
      <c r="AO24" s="278">
        <v>3.53</v>
      </c>
      <c r="AP24" s="277">
        <v>2.61</v>
      </c>
      <c r="AQ24" s="277">
        <v>1.96</v>
      </c>
      <c r="AR24" s="277">
        <v>1.27</v>
      </c>
      <c r="AS24" s="277">
        <v>0.91</v>
      </c>
      <c r="AT24" s="277">
        <v>0.51</v>
      </c>
      <c r="BI24" s="3">
        <v>4</v>
      </c>
      <c r="BJ24" s="131">
        <v>2.7764000000000002</v>
      </c>
      <c r="BK24" s="131">
        <v>3.7469000000000001</v>
      </c>
      <c r="BQ24" s="3" t="s">
        <v>26</v>
      </c>
      <c r="BR24" s="3">
        <v>3</v>
      </c>
      <c r="BS24" s="3">
        <v>5</v>
      </c>
      <c r="BT24" s="3" t="s">
        <v>25</v>
      </c>
      <c r="BU24" s="3" t="s">
        <v>25</v>
      </c>
      <c r="BV24" s="3" t="s">
        <v>25</v>
      </c>
    </row>
    <row r="25" spans="2:74" x14ac:dyDescent="0.3">
      <c r="B25" s="84">
        <v>11</v>
      </c>
      <c r="C25" s="254" t="s">
        <v>587</v>
      </c>
      <c r="D25" s="84" t="s">
        <v>557</v>
      </c>
      <c r="E25" s="253" t="s">
        <v>29</v>
      </c>
      <c r="F25" s="252">
        <v>5</v>
      </c>
      <c r="G25" s="250">
        <v>8.6000000000000003E-5</v>
      </c>
      <c r="H25" s="251">
        <f>tblBD_PatronMasa[[#This Row],[Masa nominal mN]]+tblBD_PatronMasa[[#This Row],[Error certificado calibración δmc]]</f>
        <v>5.0000859999999996</v>
      </c>
      <c r="I25" s="250">
        <v>5.3000000000000001E-5</v>
      </c>
      <c r="J25" s="250">
        <f>4*tblBD_PatronMasa[[#This Row],[mpe]]/3</f>
        <v>2.1333333333333336E-4</v>
      </c>
      <c r="K25" s="249">
        <f>tblBD_PatronMasa[[#This Row],[Deriva Dmax=4/3*mpe]]/SQRT(3)</f>
        <v>1.2316805742712019E-4</v>
      </c>
      <c r="L25" s="247"/>
      <c r="M25" s="249">
        <f>INDEX(tolerancia,MATCH(tblBD_PatronMasa[[#This Row],[Masa nominal mN]],Vnominal,0),MATCH(tblBD_PatronMasa[[#This Row],[Clase]],Clases_masas,0))*0.001</f>
        <v>1.6000000000000001E-4</v>
      </c>
      <c r="N25" s="248">
        <v>45124</v>
      </c>
      <c r="O25" s="247" t="s">
        <v>556</v>
      </c>
      <c r="P25" s="84" t="s">
        <v>480</v>
      </c>
      <c r="Q25" s="84">
        <f>IFERROR(VLOOKUP(tblBD_PatronMasa[[#This Row],[Material]],tblDensidadPatron[],2,0),0)</f>
        <v>7950</v>
      </c>
      <c r="R25" s="84">
        <f>IFERROR(VLOOKUP(tblBD_PatronMasa[[#This Row],[Material]],tblDensidadPatron[],3,0),0)</f>
        <v>70</v>
      </c>
      <c r="S25" s="84">
        <f>tblBD_PatronMasa[[#This Row],[Masa nominal mN]]+(tblBD_PatronMasa[[#This Row],[mpe]]-tblBD_PatronMasa[[#This Row],[Incertidumbre certificado calibración U95=ku(δmc)]])</f>
        <v>5.0001069999999999</v>
      </c>
      <c r="T25" s="84">
        <f>tblBD_PatronMasa[[#This Row],[Masa nominal mN]]-(tblBD_PatronMasa[[#This Row],[mpe]]-tblBD_PatronMasa[[#This Row],[Incertidumbre certificado calibración U95=ku(δmc)]])</f>
        <v>4.9998930000000001</v>
      </c>
      <c r="U25" s="39"/>
      <c r="W25" s="276">
        <v>100</v>
      </c>
      <c r="X25" s="270">
        <v>0.05</v>
      </c>
      <c r="Y25" s="270">
        <v>0.16</v>
      </c>
      <c r="Z25" s="270">
        <v>0.5</v>
      </c>
      <c r="AA25" s="270">
        <v>1.6</v>
      </c>
      <c r="AB25" s="270">
        <v>5</v>
      </c>
      <c r="AC25" s="272">
        <v>16</v>
      </c>
      <c r="AD25" s="272">
        <v>50</v>
      </c>
      <c r="AE25" s="275"/>
      <c r="AL25" s="279">
        <v>5000</v>
      </c>
      <c r="AM25" s="278">
        <v>14.3</v>
      </c>
      <c r="AN25" s="278">
        <v>11.1</v>
      </c>
      <c r="AO25" s="278">
        <v>7.79</v>
      </c>
      <c r="AP25" s="277">
        <v>5.72</v>
      </c>
      <c r="AQ25" s="277">
        <v>4.28</v>
      </c>
      <c r="AR25" s="277">
        <v>2.76</v>
      </c>
      <c r="AS25" s="277">
        <v>1.96</v>
      </c>
      <c r="AT25" s="277">
        <v>1.0900000000000001</v>
      </c>
      <c r="BI25" s="3">
        <v>5</v>
      </c>
      <c r="BJ25" s="131">
        <v>2.5706000000000002</v>
      </c>
      <c r="BK25" s="131">
        <v>3.3649</v>
      </c>
    </row>
    <row r="26" spans="2:74" x14ac:dyDescent="0.3">
      <c r="B26" s="84">
        <v>12</v>
      </c>
      <c r="C26" s="254" t="s">
        <v>586</v>
      </c>
      <c r="D26" s="84" t="s">
        <v>552</v>
      </c>
      <c r="E26" s="253" t="s">
        <v>27</v>
      </c>
      <c r="F26" s="252">
        <v>10</v>
      </c>
      <c r="G26" s="250">
        <v>-2.03E-4</v>
      </c>
      <c r="H26" s="251">
        <f>tblBD_PatronMasa[[#This Row],[Masa nominal mN]]+tblBD_PatronMasa[[#This Row],[Error certificado calibración δmc]]</f>
        <v>9.9997969999999992</v>
      </c>
      <c r="I26" s="250">
        <v>9.2E-5</v>
      </c>
      <c r="J26" s="250">
        <f>4*tblBD_PatronMasa[[#This Row],[mpe]]/3</f>
        <v>7.9999999999999993E-4</v>
      </c>
      <c r="K26" s="249">
        <f>tblBD_PatronMasa[[#This Row],[Deriva Dmax=4/3*mpe]]/SQRT(3)</f>
        <v>4.6188021535170057E-4</v>
      </c>
      <c r="L26" s="247"/>
      <c r="M26" s="249">
        <f>INDEX(tolerancia,MATCH(tblBD_PatronMasa[[#This Row],[Masa nominal mN]],Vnominal,0),MATCH(tblBD_PatronMasa[[#This Row],[Clase]],Clases_masas,0))*0.001</f>
        <v>5.9999999999999995E-4</v>
      </c>
      <c r="N26" s="248">
        <v>43599</v>
      </c>
      <c r="O26" s="247" t="s">
        <v>559</v>
      </c>
      <c r="P26" s="84" t="s">
        <v>480</v>
      </c>
      <c r="Q26" s="84">
        <f>IFERROR(VLOOKUP(tblBD_PatronMasa[[#This Row],[Material]],tblDensidadPatron[],2,0),0)</f>
        <v>7950</v>
      </c>
      <c r="R26" s="84">
        <f>IFERROR(VLOOKUP(tblBD_PatronMasa[[#This Row],[Material]],tblDensidadPatron[],3,0),0)</f>
        <v>70</v>
      </c>
      <c r="S26" s="84">
        <f>tblBD_PatronMasa[[#This Row],[Masa nominal mN]]+(tblBD_PatronMasa[[#This Row],[mpe]]-tblBD_PatronMasa[[#This Row],[Incertidumbre certificado calibración U95=ku(δmc)]])</f>
        <v>10.000508</v>
      </c>
      <c r="T26" s="84">
        <f>tblBD_PatronMasa[[#This Row],[Masa nominal mN]]-(tblBD_PatronMasa[[#This Row],[mpe]]-tblBD_PatronMasa[[#This Row],[Incertidumbre certificado calibración U95=ku(δmc)]])</f>
        <v>9.999492</v>
      </c>
      <c r="U26" s="39"/>
      <c r="W26" s="276">
        <v>50</v>
      </c>
      <c r="X26" s="270">
        <v>0.03</v>
      </c>
      <c r="Y26" s="270">
        <v>0.1</v>
      </c>
      <c r="Z26" s="270">
        <v>0.3</v>
      </c>
      <c r="AA26" s="270">
        <v>1</v>
      </c>
      <c r="AB26" s="270">
        <v>3</v>
      </c>
      <c r="AC26" s="272">
        <v>10</v>
      </c>
      <c r="AD26" s="272">
        <v>30</v>
      </c>
      <c r="AE26" s="275"/>
      <c r="AL26" s="279">
        <v>10000</v>
      </c>
      <c r="AM26" s="278">
        <v>26.43</v>
      </c>
      <c r="AN26" s="278">
        <v>20.47</v>
      </c>
      <c r="AO26" s="278">
        <v>14.3</v>
      </c>
      <c r="AP26" s="277">
        <v>10.45</v>
      </c>
      <c r="AQ26" s="277">
        <v>7.79</v>
      </c>
      <c r="AR26" s="277">
        <v>5.01</v>
      </c>
      <c r="AS26" s="277">
        <v>3.53</v>
      </c>
      <c r="AT26" s="277">
        <v>1.96</v>
      </c>
      <c r="BI26" s="3">
        <v>6</v>
      </c>
      <c r="BJ26" s="131">
        <v>2.4468999999999999</v>
      </c>
      <c r="BK26" s="131">
        <v>3.1429999999999998</v>
      </c>
    </row>
    <row r="27" spans="2:74" x14ac:dyDescent="0.3">
      <c r="B27" s="84">
        <v>13</v>
      </c>
      <c r="C27" s="254" t="s">
        <v>585</v>
      </c>
      <c r="D27" s="84" t="s">
        <v>557</v>
      </c>
      <c r="E27" s="253" t="s">
        <v>29</v>
      </c>
      <c r="F27" s="252">
        <v>10</v>
      </c>
      <c r="G27" s="250">
        <v>-9.9999999999999995E-7</v>
      </c>
      <c r="H27" s="251">
        <f>tblBD_PatronMasa[[#This Row],[Masa nominal mN]]+tblBD_PatronMasa[[#This Row],[Error certificado calibración δmc]]</f>
        <v>9.9999990000000007</v>
      </c>
      <c r="I27" s="250">
        <v>6.7000000000000002E-5</v>
      </c>
      <c r="J27" s="250">
        <f>4*tblBD_PatronMasa[[#This Row],[mpe]]/3</f>
        <v>2.6666666666666668E-4</v>
      </c>
      <c r="K27" s="249">
        <f>tblBD_PatronMasa[[#This Row],[Deriva Dmax=4/3*mpe]]/SQRT(3)</f>
        <v>1.5396007178390022E-4</v>
      </c>
      <c r="L27" s="247"/>
      <c r="M27" s="249">
        <f>INDEX(tolerancia,MATCH(tblBD_PatronMasa[[#This Row],[Masa nominal mN]],Vnominal,0),MATCH(tblBD_PatronMasa[[#This Row],[Clase]],Clases_masas,0))*0.001</f>
        <v>2.0000000000000001E-4</v>
      </c>
      <c r="N27" s="248">
        <v>45124</v>
      </c>
      <c r="O27" s="247" t="s">
        <v>556</v>
      </c>
      <c r="P27" s="84" t="s">
        <v>480</v>
      </c>
      <c r="Q27" s="84">
        <f>IFERROR(VLOOKUP(tblBD_PatronMasa[[#This Row],[Material]],tblDensidadPatron[],2,0),0)</f>
        <v>7950</v>
      </c>
      <c r="R27" s="84">
        <f>IFERROR(VLOOKUP(tblBD_PatronMasa[[#This Row],[Material]],tblDensidadPatron[],3,0),0)</f>
        <v>70</v>
      </c>
      <c r="S27" s="84">
        <f>tblBD_PatronMasa[[#This Row],[Masa nominal mN]]+(tblBD_PatronMasa[[#This Row],[mpe]]-tblBD_PatronMasa[[#This Row],[Incertidumbre certificado calibración U95=ku(δmc)]])</f>
        <v>10.000133</v>
      </c>
      <c r="T27" s="84">
        <f>tblBD_PatronMasa[[#This Row],[Masa nominal mN]]-(tblBD_PatronMasa[[#This Row],[mpe]]-tblBD_PatronMasa[[#This Row],[Incertidumbre certificado calibración U95=ku(δmc)]])</f>
        <v>9.9998670000000001</v>
      </c>
      <c r="U27" s="39"/>
      <c r="W27" s="276">
        <v>20</v>
      </c>
      <c r="X27" s="270">
        <v>2.5000000000000001E-2</v>
      </c>
      <c r="Y27" s="270">
        <v>0.08</v>
      </c>
      <c r="Z27" s="270">
        <v>0.25</v>
      </c>
      <c r="AA27" s="270">
        <v>0.8</v>
      </c>
      <c r="AB27" s="270">
        <v>2.5</v>
      </c>
      <c r="AC27" s="272">
        <v>8</v>
      </c>
      <c r="AD27" s="272">
        <v>25</v>
      </c>
      <c r="AE27" s="275"/>
      <c r="AL27" s="279">
        <v>20000</v>
      </c>
      <c r="AM27" s="278">
        <v>49.23</v>
      </c>
      <c r="AN27" s="278">
        <v>38</v>
      </c>
      <c r="AO27" s="278">
        <v>26.43</v>
      </c>
      <c r="AP27" s="277">
        <v>19.25</v>
      </c>
      <c r="AQ27" s="277">
        <v>14.3</v>
      </c>
      <c r="AR27" s="277">
        <v>9.14</v>
      </c>
      <c r="AS27" s="277">
        <v>6.42</v>
      </c>
      <c r="AT27" s="277">
        <v>3.53</v>
      </c>
      <c r="BI27" s="3">
        <v>7</v>
      </c>
      <c r="BJ27" s="267">
        <v>2.3664000000000001</v>
      </c>
      <c r="BK27" s="131">
        <v>2.9980000000000002</v>
      </c>
    </row>
    <row r="28" spans="2:74" x14ac:dyDescent="0.3">
      <c r="B28" s="84">
        <v>14</v>
      </c>
      <c r="C28" s="254" t="s">
        <v>584</v>
      </c>
      <c r="D28" s="84" t="s">
        <v>552</v>
      </c>
      <c r="E28" s="253" t="s">
        <v>27</v>
      </c>
      <c r="F28" s="252">
        <v>20</v>
      </c>
      <c r="G28" s="250">
        <v>-3.4600000000000001E-4</v>
      </c>
      <c r="H28" s="251">
        <f>tblBD_PatronMasa[[#This Row],[Masa nominal mN]]+tblBD_PatronMasa[[#This Row],[Error certificado calibración δmc]]</f>
        <v>19.999654</v>
      </c>
      <c r="I28" s="250">
        <v>8.8999999999999995E-5</v>
      </c>
      <c r="J28" s="250">
        <f>4*tblBD_PatronMasa[[#This Row],[mpe]]/3</f>
        <v>1.0666666666666667E-3</v>
      </c>
      <c r="K28" s="249">
        <f>tblBD_PatronMasa[[#This Row],[Deriva Dmax=4/3*mpe]]/SQRT(3)</f>
        <v>6.1584028713560087E-4</v>
      </c>
      <c r="L28" s="247"/>
      <c r="M28" s="249">
        <f>INDEX(tolerancia,MATCH(tblBD_PatronMasa[[#This Row],[Masa nominal mN]],Vnominal,0),MATCH(tblBD_PatronMasa[[#This Row],[Clase]],Clases_masas,0))*0.001</f>
        <v>8.0000000000000004E-4</v>
      </c>
      <c r="N28" s="248">
        <v>43599</v>
      </c>
      <c r="O28" s="247" t="s">
        <v>559</v>
      </c>
      <c r="P28" s="84" t="s">
        <v>480</v>
      </c>
      <c r="Q28" s="84">
        <f>IFERROR(VLOOKUP(tblBD_PatronMasa[[#This Row],[Material]],tblDensidadPatron[],2,0),0)</f>
        <v>7950</v>
      </c>
      <c r="R28" s="84">
        <f>IFERROR(VLOOKUP(tblBD_PatronMasa[[#This Row],[Material]],tblDensidadPatron[],3,0),0)</f>
        <v>70</v>
      </c>
      <c r="S28" s="84">
        <f>tblBD_PatronMasa[[#This Row],[Masa nominal mN]]+(tblBD_PatronMasa[[#This Row],[mpe]]-tblBD_PatronMasa[[#This Row],[Incertidumbre certificado calibración U95=ku(δmc)]])</f>
        <v>20.000710999999999</v>
      </c>
      <c r="T28" s="84">
        <f>tblBD_PatronMasa[[#This Row],[Masa nominal mN]]-(tblBD_PatronMasa[[#This Row],[mpe]]-tblBD_PatronMasa[[#This Row],[Incertidumbre certificado calibración U95=ku(δmc)]])</f>
        <v>19.999289000000001</v>
      </c>
      <c r="U28" s="39"/>
      <c r="W28" s="276">
        <v>10</v>
      </c>
      <c r="X28" s="270">
        <v>0.02</v>
      </c>
      <c r="Y28" s="270">
        <v>0.06</v>
      </c>
      <c r="Z28" s="270">
        <v>0.2</v>
      </c>
      <c r="AA28" s="270">
        <v>0.6</v>
      </c>
      <c r="AB28" s="270">
        <v>2</v>
      </c>
      <c r="AC28" s="272">
        <v>6</v>
      </c>
      <c r="AD28" s="272">
        <v>20</v>
      </c>
      <c r="AE28" s="275"/>
      <c r="AL28" s="279">
        <v>50000</v>
      </c>
      <c r="AM28" s="278">
        <v>113.23</v>
      </c>
      <c r="AN28" s="278">
        <v>87.06</v>
      </c>
      <c r="AO28" s="278">
        <v>60.23</v>
      </c>
      <c r="AP28" s="277">
        <v>43.65</v>
      </c>
      <c r="AQ28" s="277">
        <v>32.270000000000003</v>
      </c>
      <c r="AR28" s="277">
        <v>20.47</v>
      </c>
      <c r="AS28" s="277">
        <v>14.3</v>
      </c>
      <c r="AT28" s="277">
        <v>7.79</v>
      </c>
      <c r="BI28" s="3">
        <v>8</v>
      </c>
      <c r="BJ28" s="267">
        <v>2.306</v>
      </c>
      <c r="BK28" s="131">
        <v>2.8969999999999998</v>
      </c>
    </row>
    <row r="29" spans="2:74" x14ac:dyDescent="0.3">
      <c r="B29" s="84">
        <v>15</v>
      </c>
      <c r="C29" s="254" t="s">
        <v>583</v>
      </c>
      <c r="D29" s="84" t="s">
        <v>552</v>
      </c>
      <c r="E29" s="253" t="s">
        <v>27</v>
      </c>
      <c r="F29" s="252">
        <v>20</v>
      </c>
      <c r="G29" s="250">
        <v>-3.4600000000000001E-4</v>
      </c>
      <c r="H29" s="251">
        <f>tblBD_PatronMasa[[#This Row],[Masa nominal mN]]+tblBD_PatronMasa[[#This Row],[Error certificado calibración δmc]]</f>
        <v>19.999654</v>
      </c>
      <c r="I29" s="250">
        <v>8.8999999999999995E-5</v>
      </c>
      <c r="J29" s="250">
        <f>4*tblBD_PatronMasa[[#This Row],[mpe]]/3</f>
        <v>1.0666666666666667E-3</v>
      </c>
      <c r="K29" s="249">
        <f>tblBD_PatronMasa[[#This Row],[Deriva Dmax=4/3*mpe]]/SQRT(3)</f>
        <v>6.1584028713560087E-4</v>
      </c>
      <c r="L29" s="247"/>
      <c r="M29" s="249">
        <f>INDEX(tolerancia,MATCH(tblBD_PatronMasa[[#This Row],[Masa nominal mN]],Vnominal,0),MATCH(tblBD_PatronMasa[[#This Row],[Clase]],Clases_masas,0))*0.001</f>
        <v>8.0000000000000004E-4</v>
      </c>
      <c r="N29" s="248">
        <v>43599</v>
      </c>
      <c r="O29" s="247" t="s">
        <v>559</v>
      </c>
      <c r="P29" s="84" t="s">
        <v>480</v>
      </c>
      <c r="Q29" s="84">
        <f>IFERROR(VLOOKUP(tblBD_PatronMasa[[#This Row],[Material]],tblDensidadPatron[],2,0),0)</f>
        <v>7950</v>
      </c>
      <c r="R29" s="84">
        <f>IFERROR(VLOOKUP(tblBD_PatronMasa[[#This Row],[Material]],tblDensidadPatron[],3,0),0)</f>
        <v>70</v>
      </c>
      <c r="S29" s="84">
        <f>tblBD_PatronMasa[[#This Row],[Masa nominal mN]]+(tblBD_PatronMasa[[#This Row],[mpe]]-tblBD_PatronMasa[[#This Row],[Incertidumbre certificado calibración U95=ku(δmc)]])</f>
        <v>20.000710999999999</v>
      </c>
      <c r="T29" s="84">
        <f>tblBD_PatronMasa[[#This Row],[Masa nominal mN]]-(tblBD_PatronMasa[[#This Row],[mpe]]-tblBD_PatronMasa[[#This Row],[Incertidumbre certificado calibración U95=ku(δmc)]])</f>
        <v>19.999289000000001</v>
      </c>
      <c r="U29" s="39"/>
      <c r="W29" s="276">
        <v>5</v>
      </c>
      <c r="X29" s="270">
        <v>1.6E-2</v>
      </c>
      <c r="Y29" s="270">
        <v>0.05</v>
      </c>
      <c r="Z29" s="270">
        <v>0.16</v>
      </c>
      <c r="AA29" s="270">
        <v>0.5</v>
      </c>
      <c r="AB29" s="270">
        <v>1.6</v>
      </c>
      <c r="AC29" s="272">
        <v>5</v>
      </c>
      <c r="AD29" s="272">
        <v>16</v>
      </c>
      <c r="AE29" s="275"/>
      <c r="BI29" s="3">
        <v>9</v>
      </c>
      <c r="BJ29" s="131">
        <v>2.2622</v>
      </c>
      <c r="BK29" s="131">
        <v>2.8210000000000002</v>
      </c>
    </row>
    <row r="30" spans="2:74" x14ac:dyDescent="0.3">
      <c r="B30" s="84">
        <v>16</v>
      </c>
      <c r="C30" s="254" t="s">
        <v>582</v>
      </c>
      <c r="D30" s="84" t="s">
        <v>557</v>
      </c>
      <c r="E30" s="253" t="s">
        <v>29</v>
      </c>
      <c r="F30" s="252">
        <v>20</v>
      </c>
      <c r="G30" s="250">
        <v>6.3999999999999997E-5</v>
      </c>
      <c r="H30" s="251">
        <f>tblBD_PatronMasa[[#This Row],[Masa nominal mN]]+tblBD_PatronMasa[[#This Row],[Error certificado calibración δmc]]</f>
        <v>20.000063999999998</v>
      </c>
      <c r="I30" s="250">
        <v>8.2999999999999998E-5</v>
      </c>
      <c r="J30" s="250">
        <f>4*tblBD_PatronMasa[[#This Row],[mpe]]/3</f>
        <v>3.3333333333333332E-4</v>
      </c>
      <c r="K30" s="249">
        <f>tblBD_PatronMasa[[#This Row],[Deriva Dmax=4/3*mpe]]/SQRT(3)</f>
        <v>1.9245008972987527E-4</v>
      </c>
      <c r="L30" s="247"/>
      <c r="M30" s="249">
        <f>INDEX(tolerancia,MATCH(tblBD_PatronMasa[[#This Row],[Masa nominal mN]],Vnominal,0),MATCH(tblBD_PatronMasa[[#This Row],[Clase]],Clases_masas,0))*0.001</f>
        <v>2.5000000000000001E-4</v>
      </c>
      <c r="N30" s="248">
        <v>45124</v>
      </c>
      <c r="O30" s="247" t="s">
        <v>556</v>
      </c>
      <c r="P30" s="84" t="s">
        <v>480</v>
      </c>
      <c r="Q30" s="84">
        <f>IFERROR(VLOOKUP(tblBD_PatronMasa[[#This Row],[Material]],tblDensidadPatron[],2,0),0)</f>
        <v>7950</v>
      </c>
      <c r="R30" s="84">
        <f>IFERROR(VLOOKUP(tblBD_PatronMasa[[#This Row],[Material]],tblDensidadPatron[],3,0),0)</f>
        <v>70</v>
      </c>
      <c r="S30" s="84">
        <f>tblBD_PatronMasa[[#This Row],[Masa nominal mN]]+(tblBD_PatronMasa[[#This Row],[mpe]]-tblBD_PatronMasa[[#This Row],[Incertidumbre certificado calibración U95=ku(δmc)]])</f>
        <v>20.000167000000001</v>
      </c>
      <c r="T30" s="84">
        <f>tblBD_PatronMasa[[#This Row],[Masa nominal mN]]-(tblBD_PatronMasa[[#This Row],[mpe]]-tblBD_PatronMasa[[#This Row],[Incertidumbre certificado calibración U95=ku(δmc)]])</f>
        <v>19.999832999999999</v>
      </c>
      <c r="U30" s="39"/>
      <c r="W30" s="276">
        <v>2</v>
      </c>
      <c r="X30" s="270">
        <v>1.2E-2</v>
      </c>
      <c r="Y30" s="270">
        <v>0.04</v>
      </c>
      <c r="Z30" s="270">
        <v>0.12</v>
      </c>
      <c r="AA30" s="270">
        <v>0.4</v>
      </c>
      <c r="AB30" s="270">
        <v>1.2</v>
      </c>
      <c r="AC30" s="272">
        <v>4</v>
      </c>
      <c r="AD30" s="272">
        <v>12</v>
      </c>
      <c r="AE30" s="275"/>
      <c r="BI30" s="3">
        <v>10</v>
      </c>
      <c r="BJ30" s="131">
        <v>2.2281</v>
      </c>
      <c r="BK30" s="131">
        <v>2.7639999999999998</v>
      </c>
    </row>
    <row r="31" spans="2:74" x14ac:dyDescent="0.3">
      <c r="B31" s="84">
        <v>17</v>
      </c>
      <c r="C31" s="254" t="s">
        <v>581</v>
      </c>
      <c r="D31" s="84" t="s">
        <v>557</v>
      </c>
      <c r="E31" s="253" t="s">
        <v>29</v>
      </c>
      <c r="F31" s="252">
        <v>20</v>
      </c>
      <c r="G31" s="250">
        <v>1.27E-4</v>
      </c>
      <c r="H31" s="251">
        <f>tblBD_PatronMasa[[#This Row],[Masa nominal mN]]+tblBD_PatronMasa[[#This Row],[Error certificado calibración δmc]]</f>
        <v>20.000126999999999</v>
      </c>
      <c r="I31" s="250">
        <v>8.2999999999999998E-5</v>
      </c>
      <c r="J31" s="250">
        <f>4*tblBD_PatronMasa[[#This Row],[mpe]]/3</f>
        <v>3.3333333333333332E-4</v>
      </c>
      <c r="K31" s="249">
        <f>tblBD_PatronMasa[[#This Row],[Deriva Dmax=4/3*mpe]]/SQRT(3)</f>
        <v>1.9245008972987527E-4</v>
      </c>
      <c r="L31" s="247"/>
      <c r="M31" s="249">
        <f>INDEX(tolerancia,MATCH(tblBD_PatronMasa[[#This Row],[Masa nominal mN]],Vnominal,0),MATCH(tblBD_PatronMasa[[#This Row],[Clase]],Clases_masas,0))*0.001</f>
        <v>2.5000000000000001E-4</v>
      </c>
      <c r="N31" s="248">
        <v>45124</v>
      </c>
      <c r="O31" s="247" t="s">
        <v>556</v>
      </c>
      <c r="P31" s="84" t="s">
        <v>480</v>
      </c>
      <c r="Q31" s="84">
        <f>IFERROR(VLOOKUP(tblBD_PatronMasa[[#This Row],[Material]],tblDensidadPatron[],2,0),0)</f>
        <v>7950</v>
      </c>
      <c r="R31" s="84">
        <f>IFERROR(VLOOKUP(tblBD_PatronMasa[[#This Row],[Material]],tblDensidadPatron[],3,0),0)</f>
        <v>70</v>
      </c>
      <c r="S31" s="84">
        <f>tblBD_PatronMasa[[#This Row],[Masa nominal mN]]+(tblBD_PatronMasa[[#This Row],[mpe]]-tblBD_PatronMasa[[#This Row],[Incertidumbre certificado calibración U95=ku(δmc)]])</f>
        <v>20.000167000000001</v>
      </c>
      <c r="T31" s="84">
        <f>tblBD_PatronMasa[[#This Row],[Masa nominal mN]]-(tblBD_PatronMasa[[#This Row],[mpe]]-tblBD_PatronMasa[[#This Row],[Incertidumbre certificado calibración U95=ku(δmc)]])</f>
        <v>19.999832999999999</v>
      </c>
      <c r="U31" s="39"/>
      <c r="W31" s="276">
        <v>1</v>
      </c>
      <c r="X31" s="270">
        <v>0.01</v>
      </c>
      <c r="Y31" s="270">
        <v>0.03</v>
      </c>
      <c r="Z31" s="270">
        <v>0.1</v>
      </c>
      <c r="AA31" s="270">
        <v>0.3</v>
      </c>
      <c r="AB31" s="270">
        <v>1</v>
      </c>
      <c r="AC31" s="272">
        <v>3</v>
      </c>
      <c r="AD31" s="272">
        <v>10</v>
      </c>
      <c r="AE31" s="275"/>
      <c r="AM31" s="274"/>
      <c r="AN31" s="274"/>
      <c r="AO31" s="274"/>
      <c r="BI31" s="3">
        <v>11</v>
      </c>
      <c r="BJ31" s="267">
        <v>2.2010000000000001</v>
      </c>
      <c r="BK31" s="131">
        <v>2.718</v>
      </c>
    </row>
    <row r="32" spans="2:74" x14ac:dyDescent="0.3">
      <c r="B32" s="84">
        <v>18</v>
      </c>
      <c r="C32" s="254" t="s">
        <v>580</v>
      </c>
      <c r="D32" s="84" t="s">
        <v>552</v>
      </c>
      <c r="E32" s="253" t="s">
        <v>29</v>
      </c>
      <c r="F32" s="252">
        <v>50</v>
      </c>
      <c r="G32" s="250">
        <v>-2.0000000000000002E-5</v>
      </c>
      <c r="H32" s="251">
        <f>tblBD_PatronMasa[[#This Row],[Masa nominal mN]]+tblBD_PatronMasa[[#This Row],[Error certificado calibración δmc]]</f>
        <v>49.999980000000001</v>
      </c>
      <c r="I32" s="250">
        <v>1.4999999999999999E-4</v>
      </c>
      <c r="J32" s="250">
        <f>4*tblBD_PatronMasa[[#This Row],[mpe]]/3</f>
        <v>3.9999999999999996E-4</v>
      </c>
      <c r="K32" s="249">
        <f>tblBD_PatronMasa[[#This Row],[Deriva Dmax=4/3*mpe]]/SQRT(3)</f>
        <v>2.3094010767585029E-4</v>
      </c>
      <c r="L32" s="247"/>
      <c r="M32" s="249">
        <f>INDEX(tolerancia,MATCH(tblBD_PatronMasa[[#This Row],[Masa nominal mN]],Vnominal,0),MATCH(tblBD_PatronMasa[[#This Row],[Clase]],Clases_masas,0))*0.001</f>
        <v>2.9999999999999997E-4</v>
      </c>
      <c r="N32" s="248">
        <v>43599</v>
      </c>
      <c r="O32" s="247" t="s">
        <v>559</v>
      </c>
      <c r="P32" s="84" t="s">
        <v>480</v>
      </c>
      <c r="Q32" s="84">
        <f>IFERROR(VLOOKUP(tblBD_PatronMasa[[#This Row],[Material]],tblDensidadPatron[],2,0),0)</f>
        <v>7950</v>
      </c>
      <c r="R32" s="84">
        <f>IFERROR(VLOOKUP(tblBD_PatronMasa[[#This Row],[Material]],tblDensidadPatron[],3,0),0)</f>
        <v>70</v>
      </c>
      <c r="S32" s="84">
        <f>tblBD_PatronMasa[[#This Row],[Masa nominal mN]]+(tblBD_PatronMasa[[#This Row],[mpe]]-tblBD_PatronMasa[[#This Row],[Incertidumbre certificado calibración U95=ku(δmc)]])</f>
        <v>50.000149999999998</v>
      </c>
      <c r="T32" s="84">
        <f>tblBD_PatronMasa[[#This Row],[Masa nominal mN]]-(tblBD_PatronMasa[[#This Row],[mpe]]-tblBD_PatronMasa[[#This Row],[Incertidumbre certificado calibración U95=ku(δmc)]])</f>
        <v>49.999850000000002</v>
      </c>
      <c r="U32" s="39"/>
      <c r="W32" s="273">
        <v>0.5</v>
      </c>
      <c r="X32" s="270">
        <v>8.0000000000000002E-3</v>
      </c>
      <c r="Y32" s="270">
        <v>2.5000000000000001E-2</v>
      </c>
      <c r="Z32" s="270">
        <v>0.08</v>
      </c>
      <c r="AA32" s="270">
        <v>0.25</v>
      </c>
      <c r="AB32" s="270">
        <v>0.8</v>
      </c>
      <c r="AC32" s="272">
        <v>2.5</v>
      </c>
      <c r="AD32" s="269"/>
      <c r="AE32" s="268"/>
      <c r="AM32" s="274"/>
      <c r="BI32" s="3">
        <v>12</v>
      </c>
      <c r="BJ32" s="131">
        <v>2.1787999999999998</v>
      </c>
      <c r="BK32" s="131">
        <v>2.681</v>
      </c>
    </row>
    <row r="33" spans="2:63" x14ac:dyDescent="0.3">
      <c r="B33" s="84">
        <v>19</v>
      </c>
      <c r="C33" s="254" t="s">
        <v>579</v>
      </c>
      <c r="D33" s="84" t="s">
        <v>557</v>
      </c>
      <c r="E33" s="253" t="s">
        <v>29</v>
      </c>
      <c r="F33" s="252">
        <v>50</v>
      </c>
      <c r="G33" s="250">
        <v>2.1800000000000001E-4</v>
      </c>
      <c r="H33" s="251">
        <f>tblBD_PatronMasa[[#This Row],[Masa nominal mN]]+tblBD_PatronMasa[[#This Row],[Error certificado calibración δmc]]</f>
        <v>50.000217999999997</v>
      </c>
      <c r="I33" s="250">
        <v>6.0999999999999999E-5</v>
      </c>
      <c r="J33" s="250">
        <f>4*tblBD_PatronMasa[[#This Row],[mpe]]/3</f>
        <v>3.9999999999999996E-4</v>
      </c>
      <c r="K33" s="249">
        <f>tblBD_PatronMasa[[#This Row],[Deriva Dmax=4/3*mpe]]/SQRT(3)</f>
        <v>2.3094010767585029E-4</v>
      </c>
      <c r="L33" s="247"/>
      <c r="M33" s="249">
        <f>INDEX(tolerancia,MATCH(tblBD_PatronMasa[[#This Row],[Masa nominal mN]],Vnominal,0),MATCH(tblBD_PatronMasa[[#This Row],[Clase]],Clases_masas,0))*0.001</f>
        <v>2.9999999999999997E-4</v>
      </c>
      <c r="N33" s="248">
        <v>45124</v>
      </c>
      <c r="O33" s="247" t="s">
        <v>556</v>
      </c>
      <c r="P33" s="84" t="s">
        <v>480</v>
      </c>
      <c r="Q33" s="84">
        <f>IFERROR(VLOOKUP(tblBD_PatronMasa[[#This Row],[Material]],tblDensidadPatron[],2,0),0)</f>
        <v>7950</v>
      </c>
      <c r="R33" s="84">
        <f>IFERROR(VLOOKUP(tblBD_PatronMasa[[#This Row],[Material]],tblDensidadPatron[],3,0),0)</f>
        <v>70</v>
      </c>
      <c r="S33" s="84">
        <f>tblBD_PatronMasa[[#This Row],[Masa nominal mN]]+(tblBD_PatronMasa[[#This Row],[mpe]]-tblBD_PatronMasa[[#This Row],[Incertidumbre certificado calibración U95=ku(δmc)]])</f>
        <v>50.000239000000001</v>
      </c>
      <c r="T33" s="84">
        <f>tblBD_PatronMasa[[#This Row],[Masa nominal mN]]-(tblBD_PatronMasa[[#This Row],[mpe]]-tblBD_PatronMasa[[#This Row],[Incertidumbre certificado calibración U95=ku(δmc)]])</f>
        <v>49.999760999999999</v>
      </c>
      <c r="U33" s="39"/>
      <c r="W33" s="273">
        <v>0.2</v>
      </c>
      <c r="X33" s="270">
        <v>6.0000000000000001E-3</v>
      </c>
      <c r="Y33" s="270">
        <v>0.02</v>
      </c>
      <c r="Z33" s="270">
        <v>0.06</v>
      </c>
      <c r="AA33" s="270">
        <v>0.2</v>
      </c>
      <c r="AB33" s="270">
        <v>0.6</v>
      </c>
      <c r="AC33" s="272">
        <v>2</v>
      </c>
      <c r="AD33" s="269"/>
      <c r="AE33" s="268"/>
      <c r="BI33" s="3">
        <v>13</v>
      </c>
      <c r="BJ33" s="131">
        <v>2.1604000000000001</v>
      </c>
      <c r="BK33" s="266">
        <v>2.65</v>
      </c>
    </row>
    <row r="34" spans="2:63" x14ac:dyDescent="0.3">
      <c r="B34" s="84">
        <v>20</v>
      </c>
      <c r="C34" s="254" t="s">
        <v>578</v>
      </c>
      <c r="D34" s="84" t="s">
        <v>557</v>
      </c>
      <c r="E34" s="253" t="s">
        <v>29</v>
      </c>
      <c r="F34" s="252">
        <v>100</v>
      </c>
      <c r="G34" s="250">
        <v>4.1E-5</v>
      </c>
      <c r="H34" s="251">
        <f>tblBD_PatronMasa[[#This Row],[Masa nominal mN]]+tblBD_PatronMasa[[#This Row],[Error certificado calibración δmc]]</f>
        <v>100.000041</v>
      </c>
      <c r="I34" s="250">
        <v>1.2E-4</v>
      </c>
      <c r="J34" s="250">
        <f>4*tblBD_PatronMasa[[#This Row],[mpe]]/3</f>
        <v>6.6666666666666664E-4</v>
      </c>
      <c r="K34" s="249">
        <f>tblBD_PatronMasa[[#This Row],[Deriva Dmax=4/3*mpe]]/SQRT(3)</f>
        <v>3.8490017945975053E-4</v>
      </c>
      <c r="L34" s="247"/>
      <c r="M34" s="249">
        <f>INDEX(tolerancia,MATCH(tblBD_PatronMasa[[#This Row],[Masa nominal mN]],Vnominal,0),MATCH(tblBD_PatronMasa[[#This Row],[Clase]],Clases_masas,0))*0.001</f>
        <v>5.0000000000000001E-4</v>
      </c>
      <c r="N34" s="248">
        <v>45124</v>
      </c>
      <c r="O34" s="247" t="s">
        <v>556</v>
      </c>
      <c r="P34" s="84" t="s">
        <v>480</v>
      </c>
      <c r="Q34" s="84">
        <f>IFERROR(VLOOKUP(tblBD_PatronMasa[[#This Row],[Material]],tblDensidadPatron[],2,0),0)</f>
        <v>7950</v>
      </c>
      <c r="R34" s="84">
        <f>IFERROR(VLOOKUP(tblBD_PatronMasa[[#This Row],[Material]],tblDensidadPatron[],3,0),0)</f>
        <v>70</v>
      </c>
      <c r="S34" s="84">
        <f>tblBD_PatronMasa[[#This Row],[Masa nominal mN]]+(tblBD_PatronMasa[[#This Row],[mpe]]-tblBD_PatronMasa[[#This Row],[Incertidumbre certificado calibración U95=ku(δmc)]])</f>
        <v>100.00038000000001</v>
      </c>
      <c r="T34" s="84">
        <f>tblBD_PatronMasa[[#This Row],[Masa nominal mN]]-(tblBD_PatronMasa[[#This Row],[mpe]]-tblBD_PatronMasa[[#This Row],[Incertidumbre certificado calibración U95=ku(δmc)]])</f>
        <v>99.999619999999993</v>
      </c>
      <c r="U34" s="39"/>
      <c r="W34" s="273">
        <v>0.1</v>
      </c>
      <c r="X34" s="270">
        <v>5.0000000000000001E-3</v>
      </c>
      <c r="Y34" s="270">
        <v>1.6E-2</v>
      </c>
      <c r="Z34" s="270">
        <v>0.05</v>
      </c>
      <c r="AA34" s="270">
        <v>0.16</v>
      </c>
      <c r="AB34" s="270">
        <v>0.5</v>
      </c>
      <c r="AC34" s="272">
        <v>1.6</v>
      </c>
      <c r="AD34" s="269"/>
      <c r="AE34" s="268"/>
      <c r="BI34" s="3">
        <v>14</v>
      </c>
      <c r="BJ34" s="131">
        <v>2.1448</v>
      </c>
      <c r="BK34" s="131">
        <v>2.625</v>
      </c>
    </row>
    <row r="35" spans="2:63" x14ac:dyDescent="0.3">
      <c r="B35" s="84">
        <v>21</v>
      </c>
      <c r="C35" s="254" t="s">
        <v>577</v>
      </c>
      <c r="D35" s="84" t="s">
        <v>552</v>
      </c>
      <c r="E35" s="253" t="s">
        <v>29</v>
      </c>
      <c r="F35" s="252">
        <v>200</v>
      </c>
      <c r="G35" s="250">
        <v>-1.7000000000000001E-4</v>
      </c>
      <c r="H35" s="251">
        <f>tblBD_PatronMasa[[#This Row],[Masa nominal mN]]+tblBD_PatronMasa[[#This Row],[Error certificado calibración δmc]]</f>
        <v>199.99983</v>
      </c>
      <c r="I35" s="250">
        <v>5.4000000000000001E-4</v>
      </c>
      <c r="J35" s="250">
        <f>4*tblBD_PatronMasa[[#This Row],[mpe]]/3</f>
        <v>1.3333333333333333E-3</v>
      </c>
      <c r="K35" s="249">
        <f>tblBD_PatronMasa[[#This Row],[Deriva Dmax=4/3*mpe]]/SQRT(3)</f>
        <v>7.6980035891950106E-4</v>
      </c>
      <c r="L35" s="247"/>
      <c r="M35" s="249">
        <f>INDEX(tolerancia,MATCH(tblBD_PatronMasa[[#This Row],[Masa nominal mN]],Vnominal,0),MATCH(tblBD_PatronMasa[[#This Row],[Clase]],Clases_masas,0))*0.001</f>
        <v>1E-3</v>
      </c>
      <c r="N35" s="248">
        <v>43599</v>
      </c>
      <c r="O35" s="247" t="s">
        <v>559</v>
      </c>
      <c r="P35" s="84" t="s">
        <v>480</v>
      </c>
      <c r="Q35" s="84">
        <f>IFERROR(VLOOKUP(tblBD_PatronMasa[[#This Row],[Material]],tblDensidadPatron[],2,0),0)</f>
        <v>7950</v>
      </c>
      <c r="R35" s="84">
        <f>IFERROR(VLOOKUP(tblBD_PatronMasa[[#This Row],[Material]],tblDensidadPatron[],3,0),0)</f>
        <v>70</v>
      </c>
      <c r="S35" s="84">
        <f>tblBD_PatronMasa[[#This Row],[Masa nominal mN]]+(tblBD_PatronMasa[[#This Row],[mpe]]-tblBD_PatronMasa[[#This Row],[Incertidumbre certificado calibración U95=ku(δmc)]])</f>
        <v>200.00046</v>
      </c>
      <c r="T35" s="84">
        <f>tblBD_PatronMasa[[#This Row],[Masa nominal mN]]-(tblBD_PatronMasa[[#This Row],[mpe]]-tblBD_PatronMasa[[#This Row],[Incertidumbre certificado calibración U95=ku(δmc)]])</f>
        <v>199.99954</v>
      </c>
      <c r="U35" s="39"/>
      <c r="W35" s="271">
        <v>0.05</v>
      </c>
      <c r="X35" s="270">
        <v>4.0000000000000001E-3</v>
      </c>
      <c r="Y35" s="270">
        <v>1.2E-2</v>
      </c>
      <c r="Z35" s="270">
        <v>0.04</v>
      </c>
      <c r="AA35" s="270">
        <v>0.12</v>
      </c>
      <c r="AB35" s="270">
        <v>0.4</v>
      </c>
      <c r="AC35" s="269"/>
      <c r="AD35" s="269"/>
      <c r="AE35" s="268"/>
      <c r="BI35" s="3">
        <v>15</v>
      </c>
      <c r="BJ35" s="131">
        <v>2.1314000000000002</v>
      </c>
      <c r="BK35" s="131">
        <v>2.6019999999999999</v>
      </c>
    </row>
    <row r="36" spans="2:63" x14ac:dyDescent="0.3">
      <c r="B36" s="84">
        <v>22</v>
      </c>
      <c r="C36" s="254" t="s">
        <v>576</v>
      </c>
      <c r="D36" s="84" t="s">
        <v>552</v>
      </c>
      <c r="E36" s="253" t="s">
        <v>29</v>
      </c>
      <c r="F36" s="252">
        <v>200</v>
      </c>
      <c r="G36" s="250">
        <v>-1.7000000000000001E-4</v>
      </c>
      <c r="H36" s="251">
        <f>tblBD_PatronMasa[[#This Row],[Masa nominal mN]]+tblBD_PatronMasa[[#This Row],[Error certificado calibración δmc]]</f>
        <v>199.99983</v>
      </c>
      <c r="I36" s="250">
        <v>5.4000000000000001E-4</v>
      </c>
      <c r="J36" s="250">
        <f>4*tblBD_PatronMasa[[#This Row],[mpe]]/3</f>
        <v>1.3333333333333333E-3</v>
      </c>
      <c r="K36" s="249">
        <f>tblBD_PatronMasa[[#This Row],[Deriva Dmax=4/3*mpe]]/SQRT(3)</f>
        <v>7.6980035891950106E-4</v>
      </c>
      <c r="L36" s="247"/>
      <c r="M36" s="249">
        <f>INDEX(tolerancia,MATCH(tblBD_PatronMasa[[#This Row],[Masa nominal mN]],Vnominal,0),MATCH(tblBD_PatronMasa[[#This Row],[Clase]],Clases_masas,0))*0.001</f>
        <v>1E-3</v>
      </c>
      <c r="N36" s="248">
        <v>43599</v>
      </c>
      <c r="O36" s="247" t="s">
        <v>559</v>
      </c>
      <c r="P36" s="84" t="s">
        <v>480</v>
      </c>
      <c r="Q36" s="84">
        <f>IFERROR(VLOOKUP(tblBD_PatronMasa[[#This Row],[Material]],tblDensidadPatron[],2,0),0)</f>
        <v>7950</v>
      </c>
      <c r="R36" s="84">
        <f>IFERROR(VLOOKUP(tblBD_PatronMasa[[#This Row],[Material]],tblDensidadPatron[],3,0),0)</f>
        <v>70</v>
      </c>
      <c r="S36" s="84">
        <f>tblBD_PatronMasa[[#This Row],[Masa nominal mN]]+(tblBD_PatronMasa[[#This Row],[mpe]]-tblBD_PatronMasa[[#This Row],[Incertidumbre certificado calibración U95=ku(δmc)]])</f>
        <v>200.00046</v>
      </c>
      <c r="T36" s="84">
        <f>tblBD_PatronMasa[[#This Row],[Masa nominal mN]]-(tblBD_PatronMasa[[#This Row],[mpe]]-tblBD_PatronMasa[[#This Row],[Incertidumbre certificado calibración U95=ku(δmc)]])</f>
        <v>199.99954</v>
      </c>
      <c r="U36" s="39"/>
      <c r="W36" s="271">
        <v>0.02</v>
      </c>
      <c r="X36" s="270">
        <v>3.0000000000000001E-3</v>
      </c>
      <c r="Y36" s="270">
        <v>0.01</v>
      </c>
      <c r="Z36" s="270">
        <v>0.03</v>
      </c>
      <c r="AA36" s="270">
        <v>0.1</v>
      </c>
      <c r="AB36" s="270">
        <v>0.3</v>
      </c>
      <c r="AC36" s="269"/>
      <c r="AD36" s="269"/>
      <c r="AE36" s="268"/>
      <c r="BI36" s="3">
        <v>16</v>
      </c>
      <c r="BJ36" s="131">
        <v>2.1198999999999999</v>
      </c>
      <c r="BK36" s="131">
        <v>2.5840000000000001</v>
      </c>
    </row>
    <row r="37" spans="2:63" x14ac:dyDescent="0.3">
      <c r="B37" s="84">
        <v>23</v>
      </c>
      <c r="C37" s="254" t="s">
        <v>575</v>
      </c>
      <c r="D37" s="84" t="s">
        <v>557</v>
      </c>
      <c r="E37" s="253" t="s">
        <v>29</v>
      </c>
      <c r="F37" s="252">
        <v>200</v>
      </c>
      <c r="G37" s="250">
        <v>1.0000000000000001E-5</v>
      </c>
      <c r="H37" s="251">
        <f>tblBD_PatronMasa[[#This Row],[Masa nominal mN]]+tblBD_PatronMasa[[#This Row],[Error certificado calibración δmc]]</f>
        <v>200.00001</v>
      </c>
      <c r="I37" s="250">
        <v>2.4000000000000001E-4</v>
      </c>
      <c r="J37" s="250">
        <f>4*tblBD_PatronMasa[[#This Row],[mpe]]/3</f>
        <v>1.3333333333333333E-3</v>
      </c>
      <c r="K37" s="249">
        <f>tblBD_PatronMasa[[#This Row],[Deriva Dmax=4/3*mpe]]/SQRT(3)</f>
        <v>7.6980035891950106E-4</v>
      </c>
      <c r="L37" s="247"/>
      <c r="M37" s="249">
        <f>INDEX(tolerancia,MATCH(tblBD_PatronMasa[[#This Row],[Masa nominal mN]],Vnominal,0),MATCH(tblBD_PatronMasa[[#This Row],[Clase]],Clases_masas,0))*0.001</f>
        <v>1E-3</v>
      </c>
      <c r="N37" s="248">
        <v>45124</v>
      </c>
      <c r="O37" s="247" t="s">
        <v>556</v>
      </c>
      <c r="P37" s="84" t="s">
        <v>480</v>
      </c>
      <c r="Q37" s="84">
        <f>IFERROR(VLOOKUP(tblBD_PatronMasa[[#This Row],[Material]],tblDensidadPatron[],2,0),0)</f>
        <v>7950</v>
      </c>
      <c r="R37" s="84">
        <f>IFERROR(VLOOKUP(tblBD_PatronMasa[[#This Row],[Material]],tblDensidadPatron[],3,0),0)</f>
        <v>70</v>
      </c>
      <c r="S37" s="84">
        <f>tblBD_PatronMasa[[#This Row],[Masa nominal mN]]+(tblBD_PatronMasa[[#This Row],[mpe]]-tblBD_PatronMasa[[#This Row],[Incertidumbre certificado calibración U95=ku(δmc)]])</f>
        <v>200.00076000000001</v>
      </c>
      <c r="T37" s="84">
        <f>tblBD_PatronMasa[[#This Row],[Masa nominal mN]]-(tblBD_PatronMasa[[#This Row],[mpe]]-tblBD_PatronMasa[[#This Row],[Incertidumbre certificado calibración U95=ku(δmc)]])</f>
        <v>199.99923999999999</v>
      </c>
      <c r="U37" s="39"/>
      <c r="W37" s="271">
        <v>0.01</v>
      </c>
      <c r="X37" s="270">
        <v>3.0000000000000001E-3</v>
      </c>
      <c r="Y37" s="270">
        <v>8.0000000000000002E-3</v>
      </c>
      <c r="Z37" s="270">
        <v>2.5000000000000001E-2</v>
      </c>
      <c r="AA37" s="270">
        <v>0.08</v>
      </c>
      <c r="AB37" s="270">
        <v>0.25</v>
      </c>
      <c r="AC37" s="269"/>
      <c r="AD37" s="269"/>
      <c r="AE37" s="268"/>
      <c r="BI37" s="3">
        <v>17</v>
      </c>
      <c r="BJ37" s="131">
        <v>2.1097999999999999</v>
      </c>
      <c r="BK37" s="131">
        <v>2.5670000000000002</v>
      </c>
    </row>
    <row r="38" spans="2:63" x14ac:dyDescent="0.3">
      <c r="B38" s="84">
        <v>24</v>
      </c>
      <c r="C38" s="254" t="s">
        <v>574</v>
      </c>
      <c r="D38" s="84" t="s">
        <v>557</v>
      </c>
      <c r="E38" s="253" t="s">
        <v>29</v>
      </c>
      <c r="F38" s="252">
        <v>200</v>
      </c>
      <c r="G38" s="250">
        <v>-2.0000000000000002E-5</v>
      </c>
      <c r="H38" s="251">
        <f>tblBD_PatronMasa[[#This Row],[Masa nominal mN]]+tblBD_PatronMasa[[#This Row],[Error certificado calibración δmc]]</f>
        <v>199.99997999999999</v>
      </c>
      <c r="I38" s="250">
        <v>2.4000000000000001E-4</v>
      </c>
      <c r="J38" s="250">
        <f>4*tblBD_PatronMasa[[#This Row],[mpe]]/3</f>
        <v>1.3333333333333333E-3</v>
      </c>
      <c r="K38" s="249">
        <f>tblBD_PatronMasa[[#This Row],[Deriva Dmax=4/3*mpe]]/SQRT(3)</f>
        <v>7.6980035891950106E-4</v>
      </c>
      <c r="L38" s="247"/>
      <c r="M38" s="249">
        <f>INDEX(tolerancia,MATCH(tblBD_PatronMasa[[#This Row],[Masa nominal mN]],Vnominal,0),MATCH(tblBD_PatronMasa[[#This Row],[Clase]],Clases_masas,0))*0.001</f>
        <v>1E-3</v>
      </c>
      <c r="N38" s="248">
        <v>45124</v>
      </c>
      <c r="O38" s="247" t="s">
        <v>556</v>
      </c>
      <c r="P38" s="84" t="s">
        <v>480</v>
      </c>
      <c r="Q38" s="84">
        <f>IFERROR(VLOOKUP(tblBD_PatronMasa[[#This Row],[Material]],tblDensidadPatron[],2,0),0)</f>
        <v>7950</v>
      </c>
      <c r="R38" s="84">
        <f>IFERROR(VLOOKUP(tblBD_PatronMasa[[#This Row],[Material]],tblDensidadPatron[],3,0),0)</f>
        <v>70</v>
      </c>
      <c r="S38" s="84">
        <f>tblBD_PatronMasa[[#This Row],[Masa nominal mN]]+(tblBD_PatronMasa[[#This Row],[mpe]]-tblBD_PatronMasa[[#This Row],[Incertidumbre certificado calibración U95=ku(δmc)]])</f>
        <v>200.00076000000001</v>
      </c>
      <c r="T38" s="84">
        <f>tblBD_PatronMasa[[#This Row],[Masa nominal mN]]-(tblBD_PatronMasa[[#This Row],[mpe]]-tblBD_PatronMasa[[#This Row],[Incertidumbre certificado calibración U95=ku(δmc)]])</f>
        <v>199.99923999999999</v>
      </c>
      <c r="U38" s="39"/>
      <c r="W38" s="270">
        <v>5.0000000000000001E-3</v>
      </c>
      <c r="X38" s="270">
        <v>3.0000000000000001E-3</v>
      </c>
      <c r="Y38" s="270">
        <v>6.0000000000000001E-3</v>
      </c>
      <c r="Z38" s="270">
        <v>0.02</v>
      </c>
      <c r="AA38" s="270">
        <v>0.06</v>
      </c>
      <c r="AB38" s="270">
        <v>0.2</v>
      </c>
      <c r="AC38" s="269"/>
      <c r="AD38" s="269"/>
      <c r="AE38" s="268"/>
      <c r="BI38" s="3">
        <v>18</v>
      </c>
      <c r="BJ38" s="131">
        <v>2.1009000000000002</v>
      </c>
      <c r="BK38" s="131">
        <v>2.552</v>
      </c>
    </row>
    <row r="39" spans="2:63" x14ac:dyDescent="0.3">
      <c r="B39" s="84">
        <v>25</v>
      </c>
      <c r="C39" s="254" t="s">
        <v>573</v>
      </c>
      <c r="D39" s="84" t="s">
        <v>552</v>
      </c>
      <c r="E39" s="253" t="s">
        <v>29</v>
      </c>
      <c r="F39" s="252">
        <v>500</v>
      </c>
      <c r="G39" s="250">
        <v>2.9999999999999997E-4</v>
      </c>
      <c r="H39" s="251">
        <f>tblBD_PatronMasa[[#This Row],[Masa nominal mN]]+tblBD_PatronMasa[[#This Row],[Error certificado calibración δmc]]</f>
        <v>500.00029999999998</v>
      </c>
      <c r="I39" s="250">
        <v>8.0999999999999996E-4</v>
      </c>
      <c r="J39" s="250">
        <f>4*tblBD_PatronMasa[[#This Row],[mpe]]/3</f>
        <v>3.3333333333333335E-3</v>
      </c>
      <c r="K39" s="249">
        <f>tblBD_PatronMasa[[#This Row],[Deriva Dmax=4/3*mpe]]/SQRT(3)</f>
        <v>1.9245008972987529E-3</v>
      </c>
      <c r="L39" s="247"/>
      <c r="M39" s="249">
        <f>INDEX(tolerancia,MATCH(tblBD_PatronMasa[[#This Row],[Masa nominal mN]],Vnominal,0),MATCH(tblBD_PatronMasa[[#This Row],[Clase]],Clases_masas,0))*0.001</f>
        <v>2.5000000000000001E-3</v>
      </c>
      <c r="N39" s="248">
        <v>43599</v>
      </c>
      <c r="O39" s="247" t="s">
        <v>559</v>
      </c>
      <c r="P39" s="84" t="s">
        <v>480</v>
      </c>
      <c r="Q39" s="84">
        <f>IFERROR(VLOOKUP(tblBD_PatronMasa[[#This Row],[Material]],tblDensidadPatron[],2,0),0)</f>
        <v>7950</v>
      </c>
      <c r="R39" s="84">
        <f>IFERROR(VLOOKUP(tblBD_PatronMasa[[#This Row],[Material]],tblDensidadPatron[],3,0),0)</f>
        <v>70</v>
      </c>
      <c r="S39" s="84">
        <f>tblBD_PatronMasa[[#This Row],[Masa nominal mN]]+(tblBD_PatronMasa[[#This Row],[mpe]]-tblBD_PatronMasa[[#This Row],[Incertidumbre certificado calibración U95=ku(δmc)]])</f>
        <v>500.00169</v>
      </c>
      <c r="T39" s="84">
        <f>tblBD_PatronMasa[[#This Row],[Masa nominal mN]]-(tblBD_PatronMasa[[#This Row],[mpe]]-tblBD_PatronMasa[[#This Row],[Incertidumbre certificado calibración U95=ku(δmc)]])</f>
        <v>499.99831</v>
      </c>
      <c r="U39" s="39"/>
      <c r="W39" s="270">
        <v>2E-3</v>
      </c>
      <c r="X39" s="270">
        <v>3.0000000000000001E-3</v>
      </c>
      <c r="Y39" s="270">
        <v>6.0000000000000001E-3</v>
      </c>
      <c r="Z39" s="270">
        <v>0.02</v>
      </c>
      <c r="AA39" s="270">
        <v>0.06</v>
      </c>
      <c r="AB39" s="270">
        <v>0.2</v>
      </c>
      <c r="AC39" s="269"/>
      <c r="AD39" s="269"/>
      <c r="AE39" s="268"/>
      <c r="BI39" s="3">
        <v>19</v>
      </c>
      <c r="BJ39" s="267">
        <v>2.093</v>
      </c>
      <c r="BK39" s="131">
        <v>2.5390000000000001</v>
      </c>
    </row>
    <row r="40" spans="2:63" x14ac:dyDescent="0.3">
      <c r="B40" s="84">
        <v>26</v>
      </c>
      <c r="C40" s="254" t="s">
        <v>572</v>
      </c>
      <c r="D40" s="84" t="s">
        <v>557</v>
      </c>
      <c r="E40" s="253" t="s">
        <v>29</v>
      </c>
      <c r="F40" s="252">
        <v>500</v>
      </c>
      <c r="G40" s="250">
        <v>7.5000000000000002E-4</v>
      </c>
      <c r="H40" s="251">
        <f>tblBD_PatronMasa[[#This Row],[Masa nominal mN]]+tblBD_PatronMasa[[#This Row],[Error certificado calibración δmc]]</f>
        <v>500.00074999999998</v>
      </c>
      <c r="I40" s="250">
        <v>5.9000000000000003E-4</v>
      </c>
      <c r="J40" s="250">
        <f>4*tblBD_PatronMasa[[#This Row],[mpe]]/3</f>
        <v>3.3333333333333335E-3</v>
      </c>
      <c r="K40" s="249">
        <f>tblBD_PatronMasa[[#This Row],[Deriva Dmax=4/3*mpe]]/SQRT(3)</f>
        <v>1.9245008972987529E-3</v>
      </c>
      <c r="L40" s="247"/>
      <c r="M40" s="249">
        <f>INDEX(tolerancia,MATCH(tblBD_PatronMasa[[#This Row],[Masa nominal mN]],Vnominal,0),MATCH(tblBD_PatronMasa[[#This Row],[Clase]],Clases_masas,0))*0.001</f>
        <v>2.5000000000000001E-3</v>
      </c>
      <c r="N40" s="248">
        <v>45124</v>
      </c>
      <c r="O40" s="247" t="s">
        <v>556</v>
      </c>
      <c r="P40" s="84" t="s">
        <v>480</v>
      </c>
      <c r="Q40" s="84">
        <f>IFERROR(VLOOKUP(tblBD_PatronMasa[[#This Row],[Material]],tblDensidadPatron[],2,0),0)</f>
        <v>7950</v>
      </c>
      <c r="R40" s="84">
        <f>IFERROR(VLOOKUP(tblBD_PatronMasa[[#This Row],[Material]],tblDensidadPatron[],3,0),0)</f>
        <v>70</v>
      </c>
      <c r="S40" s="84">
        <f>tblBD_PatronMasa[[#This Row],[Masa nominal mN]]+(tblBD_PatronMasa[[#This Row],[mpe]]-tblBD_PatronMasa[[#This Row],[Incertidumbre certificado calibración U95=ku(δmc)]])</f>
        <v>500.00191000000001</v>
      </c>
      <c r="T40" s="84">
        <f>tblBD_PatronMasa[[#This Row],[Masa nominal mN]]-(tblBD_PatronMasa[[#This Row],[mpe]]-tblBD_PatronMasa[[#This Row],[Incertidumbre certificado calibración U95=ku(δmc)]])</f>
        <v>499.99808999999999</v>
      </c>
      <c r="U40" s="39"/>
      <c r="W40" s="270">
        <v>1E-3</v>
      </c>
      <c r="X40" s="270">
        <v>3.0000000000000001E-3</v>
      </c>
      <c r="Y40" s="270">
        <v>6.0000000000000001E-3</v>
      </c>
      <c r="Z40" s="270">
        <v>0.02</v>
      </c>
      <c r="AA40" s="270">
        <v>0.06</v>
      </c>
      <c r="AB40" s="270">
        <v>0.2</v>
      </c>
      <c r="AC40" s="269"/>
      <c r="AD40" s="269"/>
      <c r="AE40" s="268"/>
      <c r="BI40" s="3">
        <v>20</v>
      </c>
      <c r="BJ40" s="267">
        <v>2.0859999999999999</v>
      </c>
      <c r="BK40" s="131">
        <v>2.528</v>
      </c>
    </row>
    <row r="41" spans="2:63" x14ac:dyDescent="0.3">
      <c r="B41" s="84">
        <v>27</v>
      </c>
      <c r="C41" s="254" t="s">
        <v>571</v>
      </c>
      <c r="D41" s="84" t="s">
        <v>562</v>
      </c>
      <c r="E41" s="253" t="s">
        <v>27</v>
      </c>
      <c r="F41" s="252">
        <v>1000</v>
      </c>
      <c r="G41" s="250">
        <v>8.9999999999999998E-4</v>
      </c>
      <c r="H41" s="251">
        <f>tblBD_PatronMasa[[#This Row],[Masa nominal mN]]+tblBD_PatronMasa[[#This Row],[Error certificado calibración δmc]]</f>
        <v>1000.0009</v>
      </c>
      <c r="I41" s="250">
        <v>8.2000000000000007E-3</v>
      </c>
      <c r="J41" s="250">
        <f>4*tblBD_PatronMasa[[#This Row],[mpe]]/3</f>
        <v>2.1333333333333333E-2</v>
      </c>
      <c r="K41" s="249">
        <f>tblBD_PatronMasa[[#This Row],[Deriva Dmax=4/3*mpe]]/SQRT(3)</f>
        <v>1.2316805742712017E-2</v>
      </c>
      <c r="L41" s="247"/>
      <c r="M41" s="249">
        <f>INDEX(tolerancia,MATCH(tblBD_PatronMasa[[#This Row],[Masa nominal mN]],Vnominal,0),MATCH(tblBD_PatronMasa[[#This Row],[Clase]],Clases_masas,0))*0.001</f>
        <v>1.6E-2</v>
      </c>
      <c r="N41" s="248">
        <v>43587</v>
      </c>
      <c r="O41" s="247" t="s">
        <v>561</v>
      </c>
      <c r="P41" s="84" t="s">
        <v>480</v>
      </c>
      <c r="Q41" s="84">
        <f>IFERROR(VLOOKUP(tblBD_PatronMasa[[#This Row],[Material]],tblDensidadPatron[],2,0),0)</f>
        <v>7950</v>
      </c>
      <c r="R41" s="84">
        <f>IFERROR(VLOOKUP(tblBD_PatronMasa[[#This Row],[Material]],tblDensidadPatron[],3,0),0)</f>
        <v>70</v>
      </c>
      <c r="S41" s="84">
        <f>tblBD_PatronMasa[[#This Row],[Masa nominal mN]]+(tblBD_PatronMasa[[#This Row],[mpe]]-tblBD_PatronMasa[[#This Row],[Incertidumbre certificado calibración U95=ku(δmc)]])</f>
        <v>1000.0078</v>
      </c>
      <c r="T41" s="84">
        <f>tblBD_PatronMasa[[#This Row],[Masa nominal mN]]-(tblBD_PatronMasa[[#This Row],[mpe]]-tblBD_PatronMasa[[#This Row],[Incertidumbre certificado calibración U95=ku(δmc)]])</f>
        <v>999.99220000000003</v>
      </c>
      <c r="U41" s="39"/>
      <c r="BI41" s="3">
        <v>21</v>
      </c>
      <c r="BJ41" s="131">
        <v>2.0796000000000001</v>
      </c>
      <c r="BK41" s="131">
        <v>2.5179999999999998</v>
      </c>
    </row>
    <row r="42" spans="2:63" x14ac:dyDescent="0.3">
      <c r="B42" s="84">
        <v>28</v>
      </c>
      <c r="C42" s="254" t="s">
        <v>570</v>
      </c>
      <c r="D42" s="84" t="s">
        <v>552</v>
      </c>
      <c r="E42" s="253" t="s">
        <v>27</v>
      </c>
      <c r="F42" s="252">
        <v>1000</v>
      </c>
      <c r="G42" s="250">
        <v>8.9999999999999998E-4</v>
      </c>
      <c r="H42" s="251">
        <f>tblBD_PatronMasa[[#This Row],[Masa nominal mN]]+tblBD_PatronMasa[[#This Row],[Error certificado calibración δmc]]</f>
        <v>1000.0009</v>
      </c>
      <c r="I42" s="250">
        <v>8.2000000000000007E-3</v>
      </c>
      <c r="J42" s="250">
        <f>4*tblBD_PatronMasa[[#This Row],[mpe]]/3</f>
        <v>2.1333333333333333E-2</v>
      </c>
      <c r="K42" s="249">
        <f>tblBD_PatronMasa[[#This Row],[Deriva Dmax=4/3*mpe]]/SQRT(3)</f>
        <v>1.2316805742712017E-2</v>
      </c>
      <c r="L42" s="247"/>
      <c r="M42" s="249">
        <f>INDEX(tolerancia,MATCH(tblBD_PatronMasa[[#This Row],[Masa nominal mN]],Vnominal,0),MATCH(tblBD_PatronMasa[[#This Row],[Clase]],Clases_masas,0))*0.001</f>
        <v>1.6E-2</v>
      </c>
      <c r="N42" s="248">
        <v>43599</v>
      </c>
      <c r="O42" s="247" t="s">
        <v>559</v>
      </c>
      <c r="P42" s="84" t="s">
        <v>480</v>
      </c>
      <c r="Q42" s="84">
        <f>IFERROR(VLOOKUP(tblBD_PatronMasa[[#This Row],[Material]],tblDensidadPatron[],2,0),0)</f>
        <v>7950</v>
      </c>
      <c r="R42" s="84">
        <f>IFERROR(VLOOKUP(tblBD_PatronMasa[[#This Row],[Material]],tblDensidadPatron[],3,0),0)</f>
        <v>70</v>
      </c>
      <c r="S42" s="84">
        <f>tblBD_PatronMasa[[#This Row],[Masa nominal mN]]+(tblBD_PatronMasa[[#This Row],[mpe]]-tblBD_PatronMasa[[#This Row],[Incertidumbre certificado calibración U95=ku(δmc)]])</f>
        <v>1000.0078</v>
      </c>
      <c r="T42" s="84">
        <f>tblBD_PatronMasa[[#This Row],[Masa nominal mN]]-(tblBD_PatronMasa[[#This Row],[mpe]]-tblBD_PatronMasa[[#This Row],[Incertidumbre certificado calibración U95=ku(δmc)]])</f>
        <v>999.99220000000003</v>
      </c>
      <c r="U42" s="39"/>
      <c r="BI42" s="3">
        <v>22</v>
      </c>
      <c r="BJ42" s="131">
        <v>2.0739000000000001</v>
      </c>
      <c r="BK42" s="131">
        <v>2.508</v>
      </c>
    </row>
    <row r="43" spans="2:63" x14ac:dyDescent="0.3">
      <c r="B43" s="84">
        <v>29</v>
      </c>
      <c r="C43" s="254" t="s">
        <v>569</v>
      </c>
      <c r="D43" s="84" t="s">
        <v>557</v>
      </c>
      <c r="E43" s="253" t="s">
        <v>29</v>
      </c>
      <c r="F43" s="252">
        <v>1000</v>
      </c>
      <c r="G43" s="250">
        <v>1.2999999999999999E-3</v>
      </c>
      <c r="H43" s="251">
        <f>tblBD_PatronMasa[[#This Row],[Masa nominal mN]]+tblBD_PatronMasa[[#This Row],[Error certificado calibración δmc]]</f>
        <v>1000.0013</v>
      </c>
      <c r="I43" s="250">
        <v>1.1999999999999999E-3</v>
      </c>
      <c r="J43" s="250">
        <f>4*tblBD_PatronMasa[[#This Row],[mpe]]/3</f>
        <v>6.6666666666666671E-3</v>
      </c>
      <c r="K43" s="249">
        <f>tblBD_PatronMasa[[#This Row],[Deriva Dmax=4/3*mpe]]/SQRT(3)</f>
        <v>3.8490017945975057E-3</v>
      </c>
      <c r="L43" s="247"/>
      <c r="M43" s="249">
        <f>INDEX(tolerancia,MATCH(tblBD_PatronMasa[[#This Row],[Masa nominal mN]],Vnominal,0),MATCH(tblBD_PatronMasa[[#This Row],[Clase]],Clases_masas,0))*0.001</f>
        <v>5.0000000000000001E-3</v>
      </c>
      <c r="N43" s="248">
        <v>45124</v>
      </c>
      <c r="O43" s="247" t="s">
        <v>556</v>
      </c>
      <c r="P43" s="84" t="s">
        <v>480</v>
      </c>
      <c r="Q43" s="84">
        <f>IFERROR(VLOOKUP(tblBD_PatronMasa[[#This Row],[Material]],tblDensidadPatron[],2,0),0)</f>
        <v>7950</v>
      </c>
      <c r="R43" s="84">
        <f>IFERROR(VLOOKUP(tblBD_PatronMasa[[#This Row],[Material]],tblDensidadPatron[],3,0),0)</f>
        <v>70</v>
      </c>
      <c r="S43" s="84">
        <f>tblBD_PatronMasa[[#This Row],[Masa nominal mN]]+(tblBD_PatronMasa[[#This Row],[mpe]]-tblBD_PatronMasa[[#This Row],[Incertidumbre certificado calibración U95=ku(δmc)]])</f>
        <v>1000.0038</v>
      </c>
      <c r="T43" s="84">
        <f>tblBD_PatronMasa[[#This Row],[Masa nominal mN]]-(tblBD_PatronMasa[[#This Row],[mpe]]-tblBD_PatronMasa[[#This Row],[Incertidumbre certificado calibración U95=ku(δmc)]])</f>
        <v>999.99620000000004</v>
      </c>
      <c r="U43" s="39"/>
      <c r="BI43" s="3">
        <v>23</v>
      </c>
      <c r="BJ43" s="131">
        <v>2.0687000000000002</v>
      </c>
      <c r="BK43" s="266">
        <v>2.5</v>
      </c>
    </row>
    <row r="44" spans="2:63" x14ac:dyDescent="0.3">
      <c r="B44" s="84">
        <v>30</v>
      </c>
      <c r="C44" s="254" t="s">
        <v>568</v>
      </c>
      <c r="D44" s="84" t="s">
        <v>562</v>
      </c>
      <c r="E44" s="253" t="s">
        <v>27</v>
      </c>
      <c r="F44" s="252">
        <v>2000</v>
      </c>
      <c r="G44" s="250">
        <v>2.8E-3</v>
      </c>
      <c r="H44" s="251">
        <f>tblBD_PatronMasa[[#This Row],[Masa nominal mN]]+tblBD_PatronMasa[[#This Row],[Error certificado calibración δmc]]</f>
        <v>2000.0028</v>
      </c>
      <c r="I44" s="250">
        <v>8.3000000000000001E-3</v>
      </c>
      <c r="J44" s="250">
        <f>4*tblBD_PatronMasa[[#This Row],[mpe]]/3</f>
        <v>0.04</v>
      </c>
      <c r="K44" s="249">
        <f>tblBD_PatronMasa[[#This Row],[Deriva Dmax=4/3*mpe]]/SQRT(3)</f>
        <v>2.3094010767585032E-2</v>
      </c>
      <c r="L44" s="247"/>
      <c r="M44" s="249">
        <f>INDEX(tolerancia,MATCH(tblBD_PatronMasa[[#This Row],[Masa nominal mN]],Vnominal,0),MATCH(tblBD_PatronMasa[[#This Row],[Clase]],Clases_masas,0))*0.001</f>
        <v>0.03</v>
      </c>
      <c r="N44" s="248">
        <v>43587</v>
      </c>
      <c r="O44" s="247" t="s">
        <v>561</v>
      </c>
      <c r="P44" s="84" t="s">
        <v>480</v>
      </c>
      <c r="Q44" s="84">
        <f>IFERROR(VLOOKUP(tblBD_PatronMasa[[#This Row],[Material]],tblDensidadPatron[],2,0),0)</f>
        <v>7950</v>
      </c>
      <c r="R44" s="84">
        <f>IFERROR(VLOOKUP(tblBD_PatronMasa[[#This Row],[Material]],tblDensidadPatron[],3,0),0)</f>
        <v>70</v>
      </c>
      <c r="S44" s="84">
        <f>tblBD_PatronMasa[[#This Row],[Masa nominal mN]]+(tblBD_PatronMasa[[#This Row],[mpe]]-tblBD_PatronMasa[[#This Row],[Incertidumbre certificado calibración U95=ku(δmc)]])</f>
        <v>2000.0217</v>
      </c>
      <c r="T44" s="84">
        <f>tblBD_PatronMasa[[#This Row],[Masa nominal mN]]-(tblBD_PatronMasa[[#This Row],[mpe]]-tblBD_PatronMasa[[#This Row],[Incertidumbre certificado calibración U95=ku(δmc)]])</f>
        <v>1999.9783</v>
      </c>
      <c r="U44" s="39"/>
      <c r="BI44" s="3">
        <v>24</v>
      </c>
      <c r="BJ44" s="131">
        <v>2.0638999999999998</v>
      </c>
      <c r="BK44" s="131">
        <v>2.492</v>
      </c>
    </row>
    <row r="45" spans="2:63" x14ac:dyDescent="0.3">
      <c r="B45" s="84">
        <v>31</v>
      </c>
      <c r="C45" s="254" t="s">
        <v>567</v>
      </c>
      <c r="D45" s="84" t="s">
        <v>552</v>
      </c>
      <c r="E45" s="253" t="s">
        <v>27</v>
      </c>
      <c r="F45" s="252">
        <v>2000</v>
      </c>
      <c r="G45" s="250">
        <v>2.8E-3</v>
      </c>
      <c r="H45" s="251">
        <f>tblBD_PatronMasa[[#This Row],[Masa nominal mN]]+tblBD_PatronMasa[[#This Row],[Error certificado calibración δmc]]</f>
        <v>2000.0028</v>
      </c>
      <c r="I45" s="250">
        <v>8.3000000000000001E-3</v>
      </c>
      <c r="J45" s="250">
        <f>4*tblBD_PatronMasa[[#This Row],[mpe]]/3</f>
        <v>0.04</v>
      </c>
      <c r="K45" s="249">
        <f>tblBD_PatronMasa[[#This Row],[Deriva Dmax=4/3*mpe]]/SQRT(3)</f>
        <v>2.3094010767585032E-2</v>
      </c>
      <c r="L45" s="247"/>
      <c r="M45" s="249">
        <f>INDEX(tolerancia,MATCH(tblBD_PatronMasa[[#This Row],[Masa nominal mN]],Vnominal,0),MATCH(tblBD_PatronMasa[[#This Row],[Clase]],Clases_masas,0))*0.001</f>
        <v>0.03</v>
      </c>
      <c r="N45" s="248">
        <v>43599</v>
      </c>
      <c r="O45" s="247" t="s">
        <v>559</v>
      </c>
      <c r="P45" s="84" t="s">
        <v>480</v>
      </c>
      <c r="Q45" s="84">
        <f>IFERROR(VLOOKUP(tblBD_PatronMasa[[#This Row],[Material]],tblDensidadPatron[],2,0),0)</f>
        <v>7950</v>
      </c>
      <c r="R45" s="84">
        <f>IFERROR(VLOOKUP(tblBD_PatronMasa[[#This Row],[Material]],tblDensidadPatron[],3,0),0)</f>
        <v>70</v>
      </c>
      <c r="S45" s="84">
        <f>tblBD_PatronMasa[[#This Row],[Masa nominal mN]]+(tblBD_PatronMasa[[#This Row],[mpe]]-tblBD_PatronMasa[[#This Row],[Incertidumbre certificado calibración U95=ku(δmc)]])</f>
        <v>2000.0217</v>
      </c>
      <c r="T45" s="84">
        <f>tblBD_PatronMasa[[#This Row],[Masa nominal mN]]-(tblBD_PatronMasa[[#This Row],[mpe]]-tblBD_PatronMasa[[#This Row],[Incertidumbre certificado calibración U95=ku(δmc)]])</f>
        <v>1999.9783</v>
      </c>
      <c r="U45" s="39"/>
      <c r="BI45" s="3">
        <v>25</v>
      </c>
      <c r="BJ45" s="131">
        <v>2.0594999999999999</v>
      </c>
      <c r="BK45" s="131">
        <v>2.4849999999999999</v>
      </c>
    </row>
    <row r="46" spans="2:63" x14ac:dyDescent="0.3">
      <c r="B46" s="84">
        <v>32</v>
      </c>
      <c r="C46" s="254" t="s">
        <v>566</v>
      </c>
      <c r="D46" s="84" t="s">
        <v>552</v>
      </c>
      <c r="E46" s="253" t="s">
        <v>27</v>
      </c>
      <c r="F46" s="252">
        <v>2000</v>
      </c>
      <c r="G46" s="250">
        <v>2.8E-3</v>
      </c>
      <c r="H46" s="251">
        <f>tblBD_PatronMasa[[#This Row],[Masa nominal mN]]+tblBD_PatronMasa[[#This Row],[Error certificado calibración δmc]]</f>
        <v>2000.0028</v>
      </c>
      <c r="I46" s="250">
        <v>8.3000000000000001E-3</v>
      </c>
      <c r="J46" s="250">
        <f>4*tblBD_PatronMasa[[#This Row],[mpe]]/3</f>
        <v>0.04</v>
      </c>
      <c r="K46" s="249">
        <f>tblBD_PatronMasa[[#This Row],[Deriva Dmax=4/3*mpe]]/SQRT(3)</f>
        <v>2.3094010767585032E-2</v>
      </c>
      <c r="L46" s="247"/>
      <c r="M46" s="249">
        <f>INDEX(tolerancia,MATCH(tblBD_PatronMasa[[#This Row],[Masa nominal mN]],Vnominal,0),MATCH(tblBD_PatronMasa[[#This Row],[Clase]],Clases_masas,0))*0.001</f>
        <v>0.03</v>
      </c>
      <c r="N46" s="248">
        <v>43599</v>
      </c>
      <c r="O46" s="247" t="s">
        <v>559</v>
      </c>
      <c r="P46" s="84" t="s">
        <v>480</v>
      </c>
      <c r="Q46" s="84">
        <f>IFERROR(VLOOKUP(tblBD_PatronMasa[[#This Row],[Material]],tblDensidadPatron[],2,0),0)</f>
        <v>7950</v>
      </c>
      <c r="R46" s="84">
        <f>IFERROR(VLOOKUP(tblBD_PatronMasa[[#This Row],[Material]],tblDensidadPatron[],3,0),0)</f>
        <v>70</v>
      </c>
      <c r="S46" s="84">
        <f>tblBD_PatronMasa[[#This Row],[Masa nominal mN]]+(tblBD_PatronMasa[[#This Row],[mpe]]-tblBD_PatronMasa[[#This Row],[Incertidumbre certificado calibración U95=ku(δmc)]])</f>
        <v>2000.0217</v>
      </c>
      <c r="T46" s="84">
        <f>tblBD_PatronMasa[[#This Row],[Masa nominal mN]]-(tblBD_PatronMasa[[#This Row],[mpe]]-tblBD_PatronMasa[[#This Row],[Incertidumbre certificado calibración U95=ku(δmc)]])</f>
        <v>1999.9783</v>
      </c>
      <c r="U46" s="39"/>
      <c r="BI46" s="3">
        <v>26</v>
      </c>
      <c r="BJ46" s="131">
        <v>2.0554999999999999</v>
      </c>
      <c r="BK46" s="131">
        <v>2.4790000000000001</v>
      </c>
    </row>
    <row r="47" spans="2:63" x14ac:dyDescent="0.3">
      <c r="B47" s="84">
        <v>33</v>
      </c>
      <c r="C47" s="254" t="s">
        <v>565</v>
      </c>
      <c r="D47" s="84" t="s">
        <v>557</v>
      </c>
      <c r="E47" s="253" t="s">
        <v>29</v>
      </c>
      <c r="F47" s="252">
        <v>2000</v>
      </c>
      <c r="G47" s="250">
        <v>1.6000000000000001E-3</v>
      </c>
      <c r="H47" s="251">
        <f>tblBD_PatronMasa[[#This Row],[Masa nominal mN]]+tblBD_PatronMasa[[#This Row],[Error certificado calibración δmc]]</f>
        <v>2000.0016000000001</v>
      </c>
      <c r="I47" s="250">
        <v>2.7000000000000001E-3</v>
      </c>
      <c r="J47" s="250">
        <f>4*tblBD_PatronMasa[[#This Row],[mpe]]/3</f>
        <v>1.3333333333333334E-2</v>
      </c>
      <c r="K47" s="249">
        <f>tblBD_PatronMasa[[#This Row],[Deriva Dmax=4/3*mpe]]/SQRT(3)</f>
        <v>7.6980035891950115E-3</v>
      </c>
      <c r="L47" s="247"/>
      <c r="M47" s="249">
        <f>INDEX(tolerancia,MATCH(tblBD_PatronMasa[[#This Row],[Masa nominal mN]],Vnominal,0),MATCH(tblBD_PatronMasa[[#This Row],[Clase]],Clases_masas,0))*0.001</f>
        <v>0.01</v>
      </c>
      <c r="N47" s="248">
        <v>45124</v>
      </c>
      <c r="O47" s="247" t="s">
        <v>556</v>
      </c>
      <c r="P47" s="84" t="s">
        <v>480</v>
      </c>
      <c r="Q47" s="84">
        <f>IFERROR(VLOOKUP(tblBD_PatronMasa[[#This Row],[Material]],tblDensidadPatron[],2,0),0)</f>
        <v>7950</v>
      </c>
      <c r="R47" s="84">
        <f>IFERROR(VLOOKUP(tblBD_PatronMasa[[#This Row],[Material]],tblDensidadPatron[],3,0),0)</f>
        <v>70</v>
      </c>
      <c r="S47" s="84">
        <f>tblBD_PatronMasa[[#This Row],[Masa nominal mN]]+(tblBD_PatronMasa[[#This Row],[mpe]]-tblBD_PatronMasa[[#This Row],[Incertidumbre certificado calibración U95=ku(δmc)]])</f>
        <v>2000.0073</v>
      </c>
      <c r="T47" s="84">
        <f>tblBD_PatronMasa[[#This Row],[Masa nominal mN]]-(tblBD_PatronMasa[[#This Row],[mpe]]-tblBD_PatronMasa[[#This Row],[Incertidumbre certificado calibración U95=ku(δmc)]])</f>
        <v>1999.9927</v>
      </c>
      <c r="U47" s="39"/>
      <c r="BI47" s="3">
        <v>27</v>
      </c>
      <c r="BJ47" s="131">
        <v>2.0518000000000001</v>
      </c>
      <c r="BK47" s="131">
        <v>2.4729999999999999</v>
      </c>
    </row>
    <row r="48" spans="2:63" x14ac:dyDescent="0.3">
      <c r="B48" s="84">
        <v>34</v>
      </c>
      <c r="C48" s="254" t="s">
        <v>564</v>
      </c>
      <c r="D48" s="84" t="s">
        <v>557</v>
      </c>
      <c r="E48" s="253" t="s">
        <v>29</v>
      </c>
      <c r="F48" s="252">
        <v>2000</v>
      </c>
      <c r="G48" s="250">
        <v>1.6999999999999999E-3</v>
      </c>
      <c r="H48" s="251">
        <f>tblBD_PatronMasa[[#This Row],[Masa nominal mN]]+tblBD_PatronMasa[[#This Row],[Error certificado calibración δmc]]</f>
        <v>2000.0017</v>
      </c>
      <c r="I48" s="250">
        <v>2.5999999999999999E-3</v>
      </c>
      <c r="J48" s="250">
        <f>4*tblBD_PatronMasa[[#This Row],[mpe]]/3</f>
        <v>1.3333333333333334E-2</v>
      </c>
      <c r="K48" s="249">
        <f>tblBD_PatronMasa[[#This Row],[Deriva Dmax=4/3*mpe]]/SQRT(3)</f>
        <v>7.6980035891950115E-3</v>
      </c>
      <c r="L48" s="247"/>
      <c r="M48" s="249">
        <f>INDEX(tolerancia,MATCH(tblBD_PatronMasa[[#This Row],[Masa nominal mN]],Vnominal,0),MATCH(tblBD_PatronMasa[[#This Row],[Clase]],Clases_masas,0))*0.001</f>
        <v>0.01</v>
      </c>
      <c r="N48" s="248">
        <v>45124</v>
      </c>
      <c r="O48" s="247" t="s">
        <v>556</v>
      </c>
      <c r="P48" s="84" t="s">
        <v>480</v>
      </c>
      <c r="Q48" s="84">
        <f>IFERROR(VLOOKUP(tblBD_PatronMasa[[#This Row],[Material]],tblDensidadPatron[],2,0),0)</f>
        <v>7950</v>
      </c>
      <c r="R48" s="84">
        <f>IFERROR(VLOOKUP(tblBD_PatronMasa[[#This Row],[Material]],tblDensidadPatron[],3,0),0)</f>
        <v>70</v>
      </c>
      <c r="S48" s="84">
        <f>tblBD_PatronMasa[[#This Row],[Masa nominal mN]]+(tblBD_PatronMasa[[#This Row],[mpe]]-tblBD_PatronMasa[[#This Row],[Incertidumbre certificado calibración U95=ku(δmc)]])</f>
        <v>2000.0074</v>
      </c>
      <c r="T48" s="84">
        <f>tblBD_PatronMasa[[#This Row],[Masa nominal mN]]-(tblBD_PatronMasa[[#This Row],[mpe]]-tblBD_PatronMasa[[#This Row],[Incertidumbre certificado calibración U95=ku(δmc)]])</f>
        <v>1999.9926</v>
      </c>
      <c r="U48" s="39"/>
      <c r="BI48" s="3">
        <v>28</v>
      </c>
      <c r="BJ48" s="131">
        <v>2.0484</v>
      </c>
      <c r="BK48" s="131">
        <v>2.4670000000000001</v>
      </c>
    </row>
    <row r="49" spans="2:63" x14ac:dyDescent="0.3">
      <c r="B49" s="84">
        <v>35</v>
      </c>
      <c r="C49" s="254" t="s">
        <v>563</v>
      </c>
      <c r="D49" s="84" t="s">
        <v>562</v>
      </c>
      <c r="E49" s="253" t="s">
        <v>26</v>
      </c>
      <c r="F49" s="252">
        <v>5000</v>
      </c>
      <c r="G49" s="250">
        <v>2E-3</v>
      </c>
      <c r="H49" s="251">
        <f>tblBD_PatronMasa[[#This Row],[Masa nominal mN]]+tblBD_PatronMasa[[#This Row],[Error certificado calibración δmc]]</f>
        <v>5000.0020000000004</v>
      </c>
      <c r="I49" s="250">
        <v>8.2000000000000003E-2</v>
      </c>
      <c r="J49" s="250">
        <f>4*tblBD_PatronMasa[[#This Row],[mpe]]/3</f>
        <v>0.33333333333333331</v>
      </c>
      <c r="K49" s="249">
        <f>tblBD_PatronMasa[[#This Row],[Deriva Dmax=4/3*mpe]]/SQRT(3)</f>
        <v>0.19245008972987526</v>
      </c>
      <c r="L49" s="247"/>
      <c r="M49" s="249">
        <f>INDEX(tolerancia,MATCH(tblBD_PatronMasa[[#This Row],[Masa nominal mN]],Vnominal,0),MATCH(tblBD_PatronMasa[[#This Row],[Clase]],Clases_masas,0))*0.001</f>
        <v>0.25</v>
      </c>
      <c r="N49" s="248">
        <v>43587</v>
      </c>
      <c r="O49" s="247" t="s">
        <v>561</v>
      </c>
      <c r="P49" s="84" t="s">
        <v>480</v>
      </c>
      <c r="Q49" s="84">
        <f>IFERROR(VLOOKUP(tblBD_PatronMasa[[#This Row],[Material]],tblDensidadPatron[],2,0),0)</f>
        <v>7950</v>
      </c>
      <c r="R49" s="84">
        <f>IFERROR(VLOOKUP(tblBD_PatronMasa[[#This Row],[Material]],tblDensidadPatron[],3,0),0)</f>
        <v>70</v>
      </c>
      <c r="S49" s="84">
        <f>tblBD_PatronMasa[[#This Row],[Masa nominal mN]]+(tblBD_PatronMasa[[#This Row],[mpe]]-tblBD_PatronMasa[[#This Row],[Incertidumbre certificado calibración U95=ku(δmc)]])</f>
        <v>5000.1679999999997</v>
      </c>
      <c r="T49" s="84">
        <f>tblBD_PatronMasa[[#This Row],[Masa nominal mN]]-(tblBD_PatronMasa[[#This Row],[mpe]]-tblBD_PatronMasa[[#This Row],[Incertidumbre certificado calibración U95=ku(δmc)]])</f>
        <v>4999.8320000000003</v>
      </c>
      <c r="U49" s="39"/>
      <c r="BI49" s="3">
        <v>29</v>
      </c>
      <c r="BJ49" s="131">
        <v>2.0451999999999999</v>
      </c>
      <c r="BK49" s="131">
        <v>2.4620000000000002</v>
      </c>
    </row>
    <row r="50" spans="2:63" x14ac:dyDescent="0.3">
      <c r="B50" s="84">
        <v>36</v>
      </c>
      <c r="C50" s="254" t="s">
        <v>560</v>
      </c>
      <c r="D50" s="84" t="s">
        <v>552</v>
      </c>
      <c r="E50" s="253" t="s">
        <v>27</v>
      </c>
      <c r="F50" s="252">
        <v>5000</v>
      </c>
      <c r="G50" s="250">
        <v>0</v>
      </c>
      <c r="H50" s="251">
        <f>tblBD_PatronMasa[[#This Row],[Masa nominal mN]]+tblBD_PatronMasa[[#This Row],[Error certificado calibración δmc]]</f>
        <v>5000</v>
      </c>
      <c r="I50" s="250">
        <v>8.2000000000000003E-2</v>
      </c>
      <c r="J50" s="250">
        <f>4*tblBD_PatronMasa[[#This Row],[mpe]]/3</f>
        <v>0.10666666666666667</v>
      </c>
      <c r="K50" s="249">
        <f>tblBD_PatronMasa[[#This Row],[Deriva Dmax=4/3*mpe]]/SQRT(3)</f>
        <v>6.1584028713560092E-2</v>
      </c>
      <c r="L50" s="247"/>
      <c r="M50" s="249">
        <f>INDEX(tolerancia,MATCH(tblBD_PatronMasa[[#This Row],[Masa nominal mN]],Vnominal,0),MATCH(tblBD_PatronMasa[[#This Row],[Clase]],Clases_masas,0))*0.001</f>
        <v>0.08</v>
      </c>
      <c r="N50" s="248">
        <v>43599</v>
      </c>
      <c r="O50" s="247" t="s">
        <v>559</v>
      </c>
      <c r="P50" s="84" t="s">
        <v>480</v>
      </c>
      <c r="Q50" s="84">
        <f>IFERROR(VLOOKUP(tblBD_PatronMasa[[#This Row],[Material]],tblDensidadPatron[],2,0),0)</f>
        <v>7950</v>
      </c>
      <c r="R50" s="84">
        <f>IFERROR(VLOOKUP(tblBD_PatronMasa[[#This Row],[Material]],tblDensidadPatron[],3,0),0)</f>
        <v>70</v>
      </c>
      <c r="S50" s="84">
        <f>tblBD_PatronMasa[[#This Row],[Masa nominal mN]]+(tblBD_PatronMasa[[#This Row],[mpe]]-tblBD_PatronMasa[[#This Row],[Incertidumbre certificado calibración U95=ku(δmc)]])</f>
        <v>4999.9979999999996</v>
      </c>
      <c r="T50" s="84">
        <f>tblBD_PatronMasa[[#This Row],[Masa nominal mN]]-(tblBD_PatronMasa[[#This Row],[mpe]]-tblBD_PatronMasa[[#This Row],[Incertidumbre certificado calibración U95=ku(δmc)]])</f>
        <v>5000.0020000000004</v>
      </c>
      <c r="U50" s="39"/>
      <c r="BI50" s="3">
        <v>30</v>
      </c>
      <c r="BJ50" s="131">
        <v>2.0423</v>
      </c>
      <c r="BK50" s="131">
        <v>2.4569999999999999</v>
      </c>
    </row>
    <row r="51" spans="2:63" x14ac:dyDescent="0.3">
      <c r="B51" s="84">
        <v>37</v>
      </c>
      <c r="C51" s="254" t="s">
        <v>558</v>
      </c>
      <c r="D51" s="84" t="s">
        <v>557</v>
      </c>
      <c r="E51" s="253" t="s">
        <v>29</v>
      </c>
      <c r="F51" s="252">
        <v>5000</v>
      </c>
      <c r="G51" s="250">
        <v>1.1999999999999999E-3</v>
      </c>
      <c r="H51" s="251">
        <f>tblBD_PatronMasa[[#This Row],[Masa nominal mN]]+tblBD_PatronMasa[[#This Row],[Error certificado calibración δmc]]</f>
        <v>5000.0011999999997</v>
      </c>
      <c r="I51" s="250">
        <v>6.1000000000000004E-3</v>
      </c>
      <c r="J51" s="250">
        <f>4*tblBD_PatronMasa[[#This Row],[mpe]]/3</f>
        <v>3.3333333333333333E-2</v>
      </c>
      <c r="K51" s="249">
        <f>tblBD_PatronMasa[[#This Row],[Deriva Dmax=4/3*mpe]]/SQRT(3)</f>
        <v>1.9245008972987525E-2</v>
      </c>
      <c r="L51" s="247"/>
      <c r="M51" s="249">
        <f>INDEX(tolerancia,MATCH(tblBD_PatronMasa[[#This Row],[Masa nominal mN]],Vnominal,0),MATCH(tblBD_PatronMasa[[#This Row],[Clase]],Clases_masas,0))*0.001</f>
        <v>2.5000000000000001E-2</v>
      </c>
      <c r="N51" s="248">
        <v>45124</v>
      </c>
      <c r="O51" s="247" t="s">
        <v>556</v>
      </c>
      <c r="P51" s="84" t="s">
        <v>480</v>
      </c>
      <c r="Q51" s="84">
        <f>IFERROR(VLOOKUP(tblBD_PatronMasa[[#This Row],[Material]],tblDensidadPatron[],2,0),0)</f>
        <v>7950</v>
      </c>
      <c r="R51" s="84">
        <f>IFERROR(VLOOKUP(tblBD_PatronMasa[[#This Row],[Material]],tblDensidadPatron[],3,0),0)</f>
        <v>70</v>
      </c>
      <c r="S51" s="84">
        <f>tblBD_PatronMasa[[#This Row],[Masa nominal mN]]+(tblBD_PatronMasa[[#This Row],[mpe]]-tblBD_PatronMasa[[#This Row],[Incertidumbre certificado calibración U95=ku(δmc)]])</f>
        <v>5000.0189</v>
      </c>
      <c r="T51" s="84">
        <f>tblBD_PatronMasa[[#This Row],[Masa nominal mN]]-(tblBD_PatronMasa[[#This Row],[mpe]]-tblBD_PatronMasa[[#This Row],[Incertidumbre certificado calibración U95=ku(δmc)]])</f>
        <v>4999.9811</v>
      </c>
      <c r="U51" s="39"/>
      <c r="BI51" s="3">
        <v>31</v>
      </c>
      <c r="BJ51" s="266">
        <v>2.04</v>
      </c>
      <c r="BK51" s="131">
        <v>2.4529999999999998</v>
      </c>
    </row>
    <row r="52" spans="2:63" x14ac:dyDescent="0.3">
      <c r="B52" s="84">
        <v>38</v>
      </c>
      <c r="C52" s="254" t="s">
        <v>555</v>
      </c>
      <c r="D52" s="84" t="s">
        <v>486</v>
      </c>
      <c r="E52" s="253" t="s">
        <v>26</v>
      </c>
      <c r="F52" s="252">
        <v>10000</v>
      </c>
      <c r="G52" s="250">
        <v>-3.0000000000000001E-3</v>
      </c>
      <c r="H52" s="251">
        <f>tblBD_PatronMasa[[#This Row],[Masa nominal mN]]+tblBD_PatronMasa[[#This Row],[Error certificado calibración δmc]]</f>
        <v>9999.9969999999994</v>
      </c>
      <c r="I52" s="250">
        <v>8.3000000000000004E-2</v>
      </c>
      <c r="J52" s="250">
        <f>4*tblBD_PatronMasa[[#This Row],[mpe]]/3</f>
        <v>0.66666666666666663</v>
      </c>
      <c r="K52" s="249">
        <f>tblBD_PatronMasa[[#This Row],[Deriva Dmax=4/3*mpe]]/SQRT(3)</f>
        <v>0.38490017945975052</v>
      </c>
      <c r="L52" s="247"/>
      <c r="M52" s="249">
        <f>INDEX(tolerancia,MATCH(tblBD_PatronMasa[[#This Row],[Masa nominal mN]],Vnominal,0),MATCH(tblBD_PatronMasa[[#This Row],[Clase]],Clases_masas,0))*0.001</f>
        <v>0.5</v>
      </c>
      <c r="N52" s="248">
        <v>43599</v>
      </c>
      <c r="O52" s="247" t="s">
        <v>554</v>
      </c>
      <c r="P52" s="84" t="s">
        <v>484</v>
      </c>
      <c r="Q52" s="84">
        <f>IFERROR(VLOOKUP(tblBD_PatronMasa[[#This Row],[Material]],tblDensidadPatron[],2,0),0)</f>
        <v>7800</v>
      </c>
      <c r="R52" s="84">
        <f>IFERROR(VLOOKUP(tblBD_PatronMasa[[#This Row],[Material]],tblDensidadPatron[],3,0),0)</f>
        <v>100</v>
      </c>
      <c r="S52" s="84">
        <f>tblBD_PatronMasa[[#This Row],[Masa nominal mN]]+(tblBD_PatronMasa[[#This Row],[mpe]]-tblBD_PatronMasa[[#This Row],[Incertidumbre certificado calibración U95=ku(δmc)]])</f>
        <v>10000.416999999999</v>
      </c>
      <c r="T52" s="84">
        <f>tblBD_PatronMasa[[#This Row],[Masa nominal mN]]-(tblBD_PatronMasa[[#This Row],[mpe]]-tblBD_PatronMasa[[#This Row],[Incertidumbre certificado calibración U95=ku(δmc)]])</f>
        <v>9999.5830000000005</v>
      </c>
      <c r="U52" s="39"/>
      <c r="BI52" s="3">
        <v>32</v>
      </c>
      <c r="BJ52" s="131">
        <v>2.0369999999999999</v>
      </c>
      <c r="BK52" s="131">
        <v>2.4489999999999998</v>
      </c>
    </row>
    <row r="53" spans="2:63" x14ac:dyDescent="0.3">
      <c r="B53" s="84">
        <v>39</v>
      </c>
      <c r="C53" s="254" t="s">
        <v>553</v>
      </c>
      <c r="D53" s="84" t="s">
        <v>552</v>
      </c>
      <c r="E53" s="253" t="s">
        <v>29</v>
      </c>
      <c r="F53" s="252">
        <v>10000</v>
      </c>
      <c r="G53" s="250">
        <v>-8.9999999999999993E-3</v>
      </c>
      <c r="H53" s="251">
        <f>tblBD_PatronMasa[[#This Row],[Masa nominal mN]]+tblBD_PatronMasa[[#This Row],[Error certificado calibración δmc]]</f>
        <v>9999.991</v>
      </c>
      <c r="I53" s="250">
        <v>1.4999999999999999E-2</v>
      </c>
      <c r="J53" s="250">
        <f>4*tblBD_PatronMasa[[#This Row],[mpe]]/3</f>
        <v>6.6666666666666666E-2</v>
      </c>
      <c r="K53" s="249">
        <f>tblBD_PatronMasa[[#This Row],[Deriva Dmax=4/3*mpe]]/SQRT(3)</f>
        <v>3.849001794597505E-2</v>
      </c>
      <c r="L53" s="247"/>
      <c r="M53" s="249">
        <f>INDEX(tolerancia,MATCH(tblBD_PatronMasa[[#This Row],[Masa nominal mN]],Vnominal,0),MATCH(tblBD_PatronMasa[[#This Row],[Clase]],Clases_masas,0))*0.001</f>
        <v>0.05</v>
      </c>
      <c r="N53" s="248">
        <v>45128</v>
      </c>
      <c r="O53" s="247" t="s">
        <v>551</v>
      </c>
      <c r="P53" s="84" t="s">
        <v>480</v>
      </c>
      <c r="Q53" s="84">
        <f>IFERROR(VLOOKUP(tblBD_PatronMasa[[#This Row],[Material]],tblDensidadPatron[],2,0),0)</f>
        <v>7950</v>
      </c>
      <c r="R53" s="84">
        <f>IFERROR(VLOOKUP(tblBD_PatronMasa[[#This Row],[Material]],tblDensidadPatron[],3,0),0)</f>
        <v>70</v>
      </c>
      <c r="S53" s="84">
        <f>tblBD_PatronMasa[[#This Row],[Masa nominal mN]]+(tblBD_PatronMasa[[#This Row],[mpe]]-tblBD_PatronMasa[[#This Row],[Incertidumbre certificado calibración U95=ku(δmc)]])</f>
        <v>10000.035</v>
      </c>
      <c r="T53" s="84">
        <f>tblBD_PatronMasa[[#This Row],[Masa nominal mN]]-(tblBD_PatronMasa[[#This Row],[mpe]]-tblBD_PatronMasa[[#This Row],[Incertidumbre certificado calibración U95=ku(δmc)]])</f>
        <v>9999.9650000000001</v>
      </c>
      <c r="U53" s="39"/>
      <c r="BI53" s="3">
        <v>33</v>
      </c>
      <c r="BJ53" s="131">
        <v>2.0350000000000001</v>
      </c>
      <c r="BK53" s="131">
        <v>2.4449999999999998</v>
      </c>
    </row>
    <row r="54" spans="2:63" x14ac:dyDescent="0.3">
      <c r="B54" s="84">
        <v>40</v>
      </c>
      <c r="C54" s="254" t="s">
        <v>550</v>
      </c>
      <c r="D54" s="84" t="s">
        <v>486</v>
      </c>
      <c r="E54" s="253" t="s">
        <v>29</v>
      </c>
      <c r="F54" s="252">
        <v>20000</v>
      </c>
      <c r="G54" s="250">
        <v>-1.9E-2</v>
      </c>
      <c r="H54" s="251">
        <f>tblBD_PatronMasa[[#This Row],[Masa nominal mN]]+tblBD_PatronMasa[[#This Row],[Error certificado calibración δmc]]</f>
        <v>19999.981</v>
      </c>
      <c r="I54" s="250">
        <v>0.03</v>
      </c>
      <c r="J54" s="250">
        <f>4*tblBD_PatronMasa[[#This Row],[mpe]]/3</f>
        <v>0.13333333333333333</v>
      </c>
      <c r="K54" s="249">
        <f>tblBD_PatronMasa[[#This Row],[Deriva Dmax=4/3*mpe]]/SQRT(3)</f>
        <v>7.6980035891950099E-2</v>
      </c>
      <c r="L54" s="247"/>
      <c r="M54" s="249">
        <f>INDEX(tolerancia,MATCH(tblBD_PatronMasa[[#This Row],[Masa nominal mN]],Vnominal,0),MATCH(tblBD_PatronMasa[[#This Row],[Clase]],Clases_masas,0))*0.001</f>
        <v>0.1</v>
      </c>
      <c r="N54" s="248">
        <v>45125</v>
      </c>
      <c r="O54" s="247" t="s">
        <v>549</v>
      </c>
      <c r="P54" s="84" t="s">
        <v>480</v>
      </c>
      <c r="Q54" s="84">
        <f>IFERROR(VLOOKUP(tblBD_PatronMasa[[#This Row],[Material]],tblDensidadPatron[],2,0),0)</f>
        <v>7950</v>
      </c>
      <c r="R54" s="84">
        <f>IFERROR(VLOOKUP(tblBD_PatronMasa[[#This Row],[Material]],tblDensidadPatron[],3,0),0)</f>
        <v>70</v>
      </c>
      <c r="S54" s="84">
        <f>tblBD_PatronMasa[[#This Row],[Masa nominal mN]]+(tblBD_PatronMasa[[#This Row],[mpe]]-tblBD_PatronMasa[[#This Row],[Incertidumbre certificado calibración U95=ku(δmc)]])</f>
        <v>20000.07</v>
      </c>
      <c r="T54" s="84">
        <f>tblBD_PatronMasa[[#This Row],[Masa nominal mN]]-(tblBD_PatronMasa[[#This Row],[mpe]]-tblBD_PatronMasa[[#This Row],[Incertidumbre certificado calibración U95=ku(δmc)]])</f>
        <v>19999.93</v>
      </c>
      <c r="U54" s="39"/>
      <c r="BI54" s="3">
        <v>34</v>
      </c>
      <c r="BJ54" s="131">
        <v>2.032</v>
      </c>
      <c r="BK54" s="131">
        <v>2.4409999999999998</v>
      </c>
    </row>
    <row r="55" spans="2:63" x14ac:dyDescent="0.3">
      <c r="B55" s="84">
        <v>41</v>
      </c>
      <c r="C55" s="254" t="s">
        <v>548</v>
      </c>
      <c r="D55" s="84" t="s">
        <v>486</v>
      </c>
      <c r="E55" s="253" t="s">
        <v>26</v>
      </c>
      <c r="F55" s="252">
        <v>20000</v>
      </c>
      <c r="G55" s="250">
        <v>-4.0000000000000001E-3</v>
      </c>
      <c r="H55" s="251">
        <f>tblBD_PatronMasa[[#This Row],[Masa nominal mN]]+tblBD_PatronMasa[[#This Row],[Error certificado calibración δmc]]</f>
        <v>19999.995999999999</v>
      </c>
      <c r="I55" s="250">
        <v>8.7999999999999995E-2</v>
      </c>
      <c r="J55" s="250">
        <f>4*tblBD_PatronMasa[[#This Row],[mpe]]/3</f>
        <v>1.3333333333333333</v>
      </c>
      <c r="K55" s="249">
        <f>tblBD_PatronMasa[[#This Row],[Deriva Dmax=4/3*mpe]]/SQRT(3)</f>
        <v>0.76980035891950105</v>
      </c>
      <c r="L55" s="247"/>
      <c r="M55" s="249">
        <f>INDEX(tolerancia,MATCH(tblBD_PatronMasa[[#This Row],[Masa nominal mN]],Vnominal,0),MATCH(tblBD_PatronMasa[[#This Row],[Clase]],Clases_masas,0))*0.001</f>
        <v>1</v>
      </c>
      <c r="N55" s="248">
        <v>45047</v>
      </c>
      <c r="O55" s="247" t="s">
        <v>494</v>
      </c>
      <c r="P55" s="84" t="s">
        <v>484</v>
      </c>
      <c r="Q55" s="84">
        <f>IFERROR(VLOOKUP(tblBD_PatronMasa[[#This Row],[Material]],tblDensidadPatron[],2,0),0)</f>
        <v>7800</v>
      </c>
      <c r="R55" s="84">
        <f>IFERROR(VLOOKUP(tblBD_PatronMasa[[#This Row],[Material]],tblDensidadPatron[],3,0),0)</f>
        <v>100</v>
      </c>
      <c r="S55" s="84">
        <f>tblBD_PatronMasa[[#This Row],[Masa nominal mN]]+(tblBD_PatronMasa[[#This Row],[mpe]]-tblBD_PatronMasa[[#This Row],[Incertidumbre certificado calibración U95=ku(δmc)]])</f>
        <v>20000.912</v>
      </c>
      <c r="T55" s="84">
        <f>tblBD_PatronMasa[[#This Row],[Masa nominal mN]]-(tblBD_PatronMasa[[#This Row],[mpe]]-tblBD_PatronMasa[[#This Row],[Incertidumbre certificado calibración U95=ku(δmc)]])</f>
        <v>19999.088</v>
      </c>
      <c r="U55" s="39"/>
      <c r="BI55" s="3">
        <v>35</v>
      </c>
      <c r="BJ55" s="266">
        <v>2.0299999999999998</v>
      </c>
      <c r="BK55" s="131">
        <v>2.4380000000000002</v>
      </c>
    </row>
    <row r="56" spans="2:63" x14ac:dyDescent="0.3">
      <c r="B56" s="84">
        <v>42</v>
      </c>
      <c r="C56" s="254" t="s">
        <v>547</v>
      </c>
      <c r="D56" s="84" t="s">
        <v>486</v>
      </c>
      <c r="E56" s="253" t="s">
        <v>26</v>
      </c>
      <c r="F56" s="252">
        <v>20000</v>
      </c>
      <c r="G56" s="250">
        <v>-4.0000000000000001E-3</v>
      </c>
      <c r="H56" s="251">
        <f>tblBD_PatronMasa[[#This Row],[Masa nominal mN]]+tblBD_PatronMasa[[#This Row],[Error certificado calibración δmc]]</f>
        <v>19999.995999999999</v>
      </c>
      <c r="I56" s="250">
        <v>8.7999999999999995E-2</v>
      </c>
      <c r="J56" s="250">
        <f>4*tblBD_PatronMasa[[#This Row],[mpe]]/3</f>
        <v>1.3333333333333333</v>
      </c>
      <c r="K56" s="249">
        <f>tblBD_PatronMasa[[#This Row],[Deriva Dmax=4/3*mpe]]/SQRT(3)</f>
        <v>0.76980035891950105</v>
      </c>
      <c r="L56" s="247"/>
      <c r="M56" s="249">
        <f>INDEX(tolerancia,MATCH(tblBD_PatronMasa[[#This Row],[Masa nominal mN]],Vnominal,0),MATCH(tblBD_PatronMasa[[#This Row],[Clase]],Clases_masas,0))*0.001</f>
        <v>1</v>
      </c>
      <c r="N56" s="248">
        <v>45047</v>
      </c>
      <c r="O56" s="247" t="s">
        <v>494</v>
      </c>
      <c r="P56" s="84" t="s">
        <v>484</v>
      </c>
      <c r="Q56" s="84">
        <f>IFERROR(VLOOKUP(tblBD_PatronMasa[[#This Row],[Material]],tblDensidadPatron[],2,0),0)</f>
        <v>7800</v>
      </c>
      <c r="R56" s="84">
        <f>IFERROR(VLOOKUP(tblBD_PatronMasa[[#This Row],[Material]],tblDensidadPatron[],3,0),0)</f>
        <v>100</v>
      </c>
      <c r="S56" s="84">
        <f>tblBD_PatronMasa[[#This Row],[Masa nominal mN]]+(tblBD_PatronMasa[[#This Row],[mpe]]-tblBD_PatronMasa[[#This Row],[Incertidumbre certificado calibración U95=ku(δmc)]])</f>
        <v>20000.912</v>
      </c>
      <c r="T56" s="84">
        <f>tblBD_PatronMasa[[#This Row],[Masa nominal mN]]-(tblBD_PatronMasa[[#This Row],[mpe]]-tblBD_PatronMasa[[#This Row],[Incertidumbre certificado calibración U95=ku(δmc)]])</f>
        <v>19999.088</v>
      </c>
      <c r="U56" s="39"/>
      <c r="BI56" s="3">
        <v>36</v>
      </c>
      <c r="BJ56" s="131">
        <v>2.028</v>
      </c>
      <c r="BK56" s="131">
        <v>2.4340000000000002</v>
      </c>
    </row>
    <row r="57" spans="2:63" x14ac:dyDescent="0.3">
      <c r="B57" s="84">
        <v>43</v>
      </c>
      <c r="C57" s="254" t="s">
        <v>546</v>
      </c>
      <c r="D57" s="84" t="s">
        <v>486</v>
      </c>
      <c r="E57" s="253" t="s">
        <v>26</v>
      </c>
      <c r="F57" s="252">
        <v>20000</v>
      </c>
      <c r="G57" s="250">
        <v>9.6000000000000002E-2</v>
      </c>
      <c r="H57" s="251">
        <f>tblBD_PatronMasa[[#This Row],[Masa nominal mN]]+tblBD_PatronMasa[[#This Row],[Error certificado calibración δmc]]</f>
        <v>20000.096000000001</v>
      </c>
      <c r="I57" s="250">
        <v>8.7999999999999995E-2</v>
      </c>
      <c r="J57" s="250">
        <f>4*tblBD_PatronMasa[[#This Row],[mpe]]/3</f>
        <v>1.3333333333333333</v>
      </c>
      <c r="K57" s="249">
        <f>tblBD_PatronMasa[[#This Row],[Deriva Dmax=4/3*mpe]]/SQRT(3)</f>
        <v>0.76980035891950105</v>
      </c>
      <c r="L57" s="247"/>
      <c r="M57" s="249">
        <f>INDEX(tolerancia,MATCH(tblBD_PatronMasa[[#This Row],[Masa nominal mN]],Vnominal,0),MATCH(tblBD_PatronMasa[[#This Row],[Clase]],Clases_masas,0))*0.001</f>
        <v>1</v>
      </c>
      <c r="N57" s="248">
        <v>45047</v>
      </c>
      <c r="O57" s="247" t="s">
        <v>494</v>
      </c>
      <c r="P57" s="84" t="s">
        <v>484</v>
      </c>
      <c r="Q57" s="84">
        <f>IFERROR(VLOOKUP(tblBD_PatronMasa[[#This Row],[Material]],tblDensidadPatron[],2,0),0)</f>
        <v>7800</v>
      </c>
      <c r="R57" s="84">
        <f>IFERROR(VLOOKUP(tblBD_PatronMasa[[#This Row],[Material]],tblDensidadPatron[],3,0),0)</f>
        <v>100</v>
      </c>
      <c r="S57" s="84">
        <f>tblBD_PatronMasa[[#This Row],[Masa nominal mN]]+(tblBD_PatronMasa[[#This Row],[mpe]]-tblBD_PatronMasa[[#This Row],[Incertidumbre certificado calibración U95=ku(δmc)]])</f>
        <v>20000.912</v>
      </c>
      <c r="T57" s="84">
        <f>tblBD_PatronMasa[[#This Row],[Masa nominal mN]]-(tblBD_PatronMasa[[#This Row],[mpe]]-tblBD_PatronMasa[[#This Row],[Incertidumbre certificado calibración U95=ku(δmc)]])</f>
        <v>19999.088</v>
      </c>
      <c r="U57" s="39"/>
      <c r="BI57" s="3">
        <v>37</v>
      </c>
      <c r="BJ57" s="131">
        <v>2.0259999999999998</v>
      </c>
      <c r="BK57" s="131">
        <v>2.431</v>
      </c>
    </row>
    <row r="58" spans="2:63" x14ac:dyDescent="0.3">
      <c r="B58" s="84">
        <v>44</v>
      </c>
      <c r="C58" s="254" t="s">
        <v>545</v>
      </c>
      <c r="D58" s="84" t="s">
        <v>486</v>
      </c>
      <c r="E58" s="253" t="s">
        <v>26</v>
      </c>
      <c r="F58" s="252">
        <v>20000</v>
      </c>
      <c r="G58" s="250">
        <v>9.6000000000000002E-2</v>
      </c>
      <c r="H58" s="251">
        <f>tblBD_PatronMasa[[#This Row],[Masa nominal mN]]+tblBD_PatronMasa[[#This Row],[Error certificado calibración δmc]]</f>
        <v>20000.096000000001</v>
      </c>
      <c r="I58" s="250">
        <v>8.7999999999999995E-2</v>
      </c>
      <c r="J58" s="250">
        <f>4*tblBD_PatronMasa[[#This Row],[mpe]]/3</f>
        <v>1.3333333333333333</v>
      </c>
      <c r="K58" s="249">
        <f>tblBD_PatronMasa[[#This Row],[Deriva Dmax=4/3*mpe]]/SQRT(3)</f>
        <v>0.76980035891950105</v>
      </c>
      <c r="L58" s="247"/>
      <c r="M58" s="249">
        <f>INDEX(tolerancia,MATCH(tblBD_PatronMasa[[#This Row],[Masa nominal mN]],Vnominal,0),MATCH(tblBD_PatronMasa[[#This Row],[Clase]],Clases_masas,0))*0.001</f>
        <v>1</v>
      </c>
      <c r="N58" s="248">
        <v>45047</v>
      </c>
      <c r="O58" s="247" t="s">
        <v>494</v>
      </c>
      <c r="P58" s="84" t="s">
        <v>484</v>
      </c>
      <c r="Q58" s="84">
        <f>IFERROR(VLOOKUP(tblBD_PatronMasa[[#This Row],[Material]],tblDensidadPatron[],2,0),0)</f>
        <v>7800</v>
      </c>
      <c r="R58" s="84">
        <f>IFERROR(VLOOKUP(tblBD_PatronMasa[[#This Row],[Material]],tblDensidadPatron[],3,0),0)</f>
        <v>100</v>
      </c>
      <c r="S58" s="84">
        <f>tblBD_PatronMasa[[#This Row],[Masa nominal mN]]+(tblBD_PatronMasa[[#This Row],[mpe]]-tblBD_PatronMasa[[#This Row],[Incertidumbre certificado calibración U95=ku(δmc)]])</f>
        <v>20000.912</v>
      </c>
      <c r="T58" s="84">
        <f>tblBD_PatronMasa[[#This Row],[Masa nominal mN]]-(tblBD_PatronMasa[[#This Row],[mpe]]-tblBD_PatronMasa[[#This Row],[Incertidumbre certificado calibración U95=ku(δmc)]])</f>
        <v>19999.088</v>
      </c>
      <c r="U58" s="39"/>
      <c r="BI58" s="3">
        <v>38</v>
      </c>
      <c r="BJ58" s="131">
        <v>2.024</v>
      </c>
      <c r="BK58" s="131">
        <v>2.4289999999999998</v>
      </c>
    </row>
    <row r="59" spans="2:63" x14ac:dyDescent="0.3">
      <c r="B59" s="84">
        <v>45</v>
      </c>
      <c r="C59" s="254" t="s">
        <v>544</v>
      </c>
      <c r="D59" s="84" t="s">
        <v>486</v>
      </c>
      <c r="E59" s="253" t="s">
        <v>26</v>
      </c>
      <c r="F59" s="252">
        <v>20000</v>
      </c>
      <c r="G59" s="250">
        <v>-4.0000000000000001E-3</v>
      </c>
      <c r="H59" s="251">
        <f>tblBD_PatronMasa[[#This Row],[Masa nominal mN]]+tblBD_PatronMasa[[#This Row],[Error certificado calibración δmc]]</f>
        <v>19999.995999999999</v>
      </c>
      <c r="I59" s="250">
        <v>8.7999999999999995E-2</v>
      </c>
      <c r="J59" s="250">
        <f>4*tblBD_PatronMasa[[#This Row],[mpe]]/3</f>
        <v>1.3333333333333333</v>
      </c>
      <c r="K59" s="249">
        <f>tblBD_PatronMasa[[#This Row],[Deriva Dmax=4/3*mpe]]/SQRT(3)</f>
        <v>0.76980035891950105</v>
      </c>
      <c r="L59" s="247"/>
      <c r="M59" s="249">
        <f>INDEX(tolerancia,MATCH(tblBD_PatronMasa[[#This Row],[Masa nominal mN]],Vnominal,0),MATCH(tblBD_PatronMasa[[#This Row],[Clase]],Clases_masas,0))*0.001</f>
        <v>1</v>
      </c>
      <c r="N59" s="248">
        <v>45047</v>
      </c>
      <c r="O59" s="247" t="s">
        <v>494</v>
      </c>
      <c r="P59" s="84" t="s">
        <v>484</v>
      </c>
      <c r="Q59" s="84">
        <f>IFERROR(VLOOKUP(tblBD_PatronMasa[[#This Row],[Material]],tblDensidadPatron[],2,0),0)</f>
        <v>7800</v>
      </c>
      <c r="R59" s="84">
        <f>IFERROR(VLOOKUP(tblBD_PatronMasa[[#This Row],[Material]],tblDensidadPatron[],3,0),0)</f>
        <v>100</v>
      </c>
      <c r="S59" s="84">
        <f>tblBD_PatronMasa[[#This Row],[Masa nominal mN]]+(tblBD_PatronMasa[[#This Row],[mpe]]-tblBD_PatronMasa[[#This Row],[Incertidumbre certificado calibración U95=ku(δmc)]])</f>
        <v>20000.912</v>
      </c>
      <c r="T59" s="84">
        <f>tblBD_PatronMasa[[#This Row],[Masa nominal mN]]-(tblBD_PatronMasa[[#This Row],[mpe]]-tblBD_PatronMasa[[#This Row],[Incertidumbre certificado calibración U95=ku(δmc)]])</f>
        <v>19999.088</v>
      </c>
      <c r="U59" s="39"/>
      <c r="BI59" s="3">
        <v>39</v>
      </c>
      <c r="BJ59" s="131">
        <v>2.0230000000000001</v>
      </c>
      <c r="BK59" s="131">
        <v>2.4260000000000002</v>
      </c>
    </row>
    <row r="60" spans="2:63" x14ac:dyDescent="0.3">
      <c r="B60" s="84">
        <v>46</v>
      </c>
      <c r="C60" s="254" t="s">
        <v>543</v>
      </c>
      <c r="D60" s="84" t="s">
        <v>486</v>
      </c>
      <c r="E60" s="253" t="s">
        <v>26</v>
      </c>
      <c r="F60" s="252">
        <v>20000</v>
      </c>
      <c r="G60" s="250">
        <v>-4.0000000000000001E-3</v>
      </c>
      <c r="H60" s="251">
        <f>tblBD_PatronMasa[[#This Row],[Masa nominal mN]]+tblBD_PatronMasa[[#This Row],[Error certificado calibración δmc]]</f>
        <v>19999.995999999999</v>
      </c>
      <c r="I60" s="250">
        <v>8.7999999999999995E-2</v>
      </c>
      <c r="J60" s="250">
        <f>4*tblBD_PatronMasa[[#This Row],[mpe]]/3</f>
        <v>1.3333333333333333</v>
      </c>
      <c r="K60" s="249">
        <f>tblBD_PatronMasa[[#This Row],[Deriva Dmax=4/3*mpe]]/SQRT(3)</f>
        <v>0.76980035891950105</v>
      </c>
      <c r="L60" s="247"/>
      <c r="M60" s="249">
        <f>INDEX(tolerancia,MATCH(tblBD_PatronMasa[[#This Row],[Masa nominal mN]],Vnominal,0),MATCH(tblBD_PatronMasa[[#This Row],[Clase]],Clases_masas,0))*0.001</f>
        <v>1</v>
      </c>
      <c r="N60" s="248">
        <v>45047</v>
      </c>
      <c r="O60" s="247" t="s">
        <v>494</v>
      </c>
      <c r="P60" s="84" t="s">
        <v>484</v>
      </c>
      <c r="Q60" s="84">
        <f>IFERROR(VLOOKUP(tblBD_PatronMasa[[#This Row],[Material]],tblDensidadPatron[],2,0),0)</f>
        <v>7800</v>
      </c>
      <c r="R60" s="84">
        <f>IFERROR(VLOOKUP(tblBD_PatronMasa[[#This Row],[Material]],tblDensidadPatron[],3,0),0)</f>
        <v>100</v>
      </c>
      <c r="S60" s="84">
        <f>tblBD_PatronMasa[[#This Row],[Masa nominal mN]]+(tblBD_PatronMasa[[#This Row],[mpe]]-tblBD_PatronMasa[[#This Row],[Incertidumbre certificado calibración U95=ku(δmc)]])</f>
        <v>20000.912</v>
      </c>
      <c r="T60" s="84">
        <f>tblBD_PatronMasa[[#This Row],[Masa nominal mN]]-(tblBD_PatronMasa[[#This Row],[mpe]]-tblBD_PatronMasa[[#This Row],[Incertidumbre certificado calibración U95=ku(δmc)]])</f>
        <v>19999.088</v>
      </c>
      <c r="U60" s="39"/>
      <c r="BI60" s="3">
        <v>40</v>
      </c>
      <c r="BJ60" s="131">
        <v>2.0209999999999999</v>
      </c>
      <c r="BK60" s="131">
        <v>2.423</v>
      </c>
    </row>
    <row r="61" spans="2:63" x14ac:dyDescent="0.3">
      <c r="B61" s="84">
        <v>47</v>
      </c>
      <c r="C61" s="254" t="s">
        <v>542</v>
      </c>
      <c r="D61" s="84" t="s">
        <v>486</v>
      </c>
      <c r="E61" s="253" t="s">
        <v>26</v>
      </c>
      <c r="F61" s="252">
        <v>20000</v>
      </c>
      <c r="G61" s="250">
        <v>-4.0000000000000001E-3</v>
      </c>
      <c r="H61" s="251">
        <f>tblBD_PatronMasa[[#This Row],[Masa nominal mN]]+tblBD_PatronMasa[[#This Row],[Error certificado calibración δmc]]</f>
        <v>19999.995999999999</v>
      </c>
      <c r="I61" s="250">
        <v>8.7999999999999995E-2</v>
      </c>
      <c r="J61" s="250">
        <f>4*tblBD_PatronMasa[[#This Row],[mpe]]/3</f>
        <v>1.3333333333333333</v>
      </c>
      <c r="K61" s="249">
        <f>tblBD_PatronMasa[[#This Row],[Deriva Dmax=4/3*mpe]]/SQRT(3)</f>
        <v>0.76980035891950105</v>
      </c>
      <c r="L61" s="247"/>
      <c r="M61" s="249">
        <f>INDEX(tolerancia,MATCH(tblBD_PatronMasa[[#This Row],[Masa nominal mN]],Vnominal,0),MATCH(tblBD_PatronMasa[[#This Row],[Clase]],Clases_masas,0))*0.001</f>
        <v>1</v>
      </c>
      <c r="N61" s="248">
        <v>45047</v>
      </c>
      <c r="O61" s="247" t="s">
        <v>494</v>
      </c>
      <c r="P61" s="84" t="s">
        <v>484</v>
      </c>
      <c r="Q61" s="84">
        <f>IFERROR(VLOOKUP(tblBD_PatronMasa[[#This Row],[Material]],tblDensidadPatron[],2,0),0)</f>
        <v>7800</v>
      </c>
      <c r="R61" s="84">
        <f>IFERROR(VLOOKUP(tblBD_PatronMasa[[#This Row],[Material]],tblDensidadPatron[],3,0),0)</f>
        <v>100</v>
      </c>
      <c r="S61" s="84">
        <f>tblBD_PatronMasa[[#This Row],[Masa nominal mN]]+(tblBD_PatronMasa[[#This Row],[mpe]]-tblBD_PatronMasa[[#This Row],[Incertidumbre certificado calibración U95=ku(δmc)]])</f>
        <v>20000.912</v>
      </c>
      <c r="T61" s="84">
        <f>tblBD_PatronMasa[[#This Row],[Masa nominal mN]]-(tblBD_PatronMasa[[#This Row],[mpe]]-tblBD_PatronMasa[[#This Row],[Incertidumbre certificado calibración U95=ku(δmc)]])</f>
        <v>19999.088</v>
      </c>
      <c r="U61" s="39"/>
      <c r="BI61" s="3">
        <v>42</v>
      </c>
      <c r="BJ61" s="131">
        <v>2.0179999999999998</v>
      </c>
      <c r="BK61" s="131">
        <v>2.4180000000000001</v>
      </c>
    </row>
    <row r="62" spans="2:63" x14ac:dyDescent="0.3">
      <c r="B62" s="84">
        <v>48</v>
      </c>
      <c r="C62" s="254" t="s">
        <v>541</v>
      </c>
      <c r="D62" s="84" t="s">
        <v>486</v>
      </c>
      <c r="E62" s="253" t="s">
        <v>26</v>
      </c>
      <c r="F62" s="252">
        <v>20000</v>
      </c>
      <c r="G62" s="250">
        <v>-4.0000000000000001E-3</v>
      </c>
      <c r="H62" s="251">
        <f>tblBD_PatronMasa[[#This Row],[Masa nominal mN]]+tblBD_PatronMasa[[#This Row],[Error certificado calibración δmc]]</f>
        <v>19999.995999999999</v>
      </c>
      <c r="I62" s="250">
        <v>8.7999999999999995E-2</v>
      </c>
      <c r="J62" s="250">
        <f>4*tblBD_PatronMasa[[#This Row],[mpe]]/3</f>
        <v>1.3333333333333333</v>
      </c>
      <c r="K62" s="249">
        <f>tblBD_PatronMasa[[#This Row],[Deriva Dmax=4/3*mpe]]/SQRT(3)</f>
        <v>0.76980035891950105</v>
      </c>
      <c r="L62" s="247"/>
      <c r="M62" s="249">
        <f>INDEX(tolerancia,MATCH(tblBD_PatronMasa[[#This Row],[Masa nominal mN]],Vnominal,0),MATCH(tblBD_PatronMasa[[#This Row],[Clase]],Clases_masas,0))*0.001</f>
        <v>1</v>
      </c>
      <c r="N62" s="248">
        <v>45047</v>
      </c>
      <c r="O62" s="247" t="s">
        <v>494</v>
      </c>
      <c r="P62" s="84" t="s">
        <v>484</v>
      </c>
      <c r="Q62" s="84">
        <f>IFERROR(VLOOKUP(tblBD_PatronMasa[[#This Row],[Material]],tblDensidadPatron[],2,0),0)</f>
        <v>7800</v>
      </c>
      <c r="R62" s="84">
        <f>IFERROR(VLOOKUP(tblBD_PatronMasa[[#This Row],[Material]],tblDensidadPatron[],3,0),0)</f>
        <v>100</v>
      </c>
      <c r="S62" s="84">
        <f>tblBD_PatronMasa[[#This Row],[Masa nominal mN]]+(tblBD_PatronMasa[[#This Row],[mpe]]-tblBD_PatronMasa[[#This Row],[Incertidumbre certificado calibración U95=ku(δmc)]])</f>
        <v>20000.912</v>
      </c>
      <c r="T62" s="84">
        <f>tblBD_PatronMasa[[#This Row],[Masa nominal mN]]-(tblBD_PatronMasa[[#This Row],[mpe]]-tblBD_PatronMasa[[#This Row],[Incertidumbre certificado calibración U95=ku(δmc)]])</f>
        <v>19999.088</v>
      </c>
      <c r="U62" s="39"/>
      <c r="BI62" s="3">
        <v>44</v>
      </c>
      <c r="BJ62" s="131">
        <v>2.0150000000000001</v>
      </c>
      <c r="BK62" s="131">
        <v>2.4140000000000001</v>
      </c>
    </row>
    <row r="63" spans="2:63" x14ac:dyDescent="0.3">
      <c r="B63" s="84">
        <v>49</v>
      </c>
      <c r="C63" s="254" t="s">
        <v>540</v>
      </c>
      <c r="D63" s="84" t="s">
        <v>486</v>
      </c>
      <c r="E63" s="253" t="s">
        <v>26</v>
      </c>
      <c r="F63" s="252">
        <v>20000</v>
      </c>
      <c r="G63" s="250">
        <v>-4.0000000000000001E-3</v>
      </c>
      <c r="H63" s="251">
        <f>tblBD_PatronMasa[[#This Row],[Masa nominal mN]]+tblBD_PatronMasa[[#This Row],[Error certificado calibración δmc]]</f>
        <v>19999.995999999999</v>
      </c>
      <c r="I63" s="250">
        <v>8.7999999999999995E-2</v>
      </c>
      <c r="J63" s="250">
        <f>4*tblBD_PatronMasa[[#This Row],[mpe]]/3</f>
        <v>1.3333333333333333</v>
      </c>
      <c r="K63" s="249">
        <f>tblBD_PatronMasa[[#This Row],[Deriva Dmax=4/3*mpe]]/SQRT(3)</f>
        <v>0.76980035891950105</v>
      </c>
      <c r="L63" s="247"/>
      <c r="M63" s="249">
        <f>INDEX(tolerancia,MATCH(tblBD_PatronMasa[[#This Row],[Masa nominal mN]],Vnominal,0),MATCH(tblBD_PatronMasa[[#This Row],[Clase]],Clases_masas,0))*0.001</f>
        <v>1</v>
      </c>
      <c r="N63" s="248">
        <v>45047</v>
      </c>
      <c r="O63" s="247" t="s">
        <v>494</v>
      </c>
      <c r="P63" s="84" t="s">
        <v>484</v>
      </c>
      <c r="Q63" s="84">
        <f>IFERROR(VLOOKUP(tblBD_PatronMasa[[#This Row],[Material]],tblDensidadPatron[],2,0),0)</f>
        <v>7800</v>
      </c>
      <c r="R63" s="84">
        <f>IFERROR(VLOOKUP(tblBD_PatronMasa[[#This Row],[Material]],tblDensidadPatron[],3,0),0)</f>
        <v>100</v>
      </c>
      <c r="S63" s="84">
        <f>tblBD_PatronMasa[[#This Row],[Masa nominal mN]]+(tblBD_PatronMasa[[#This Row],[mpe]]-tblBD_PatronMasa[[#This Row],[Incertidumbre certificado calibración U95=ku(δmc)]])</f>
        <v>20000.912</v>
      </c>
      <c r="T63" s="84">
        <f>tblBD_PatronMasa[[#This Row],[Masa nominal mN]]-(tblBD_PatronMasa[[#This Row],[mpe]]-tblBD_PatronMasa[[#This Row],[Incertidumbre certificado calibración U95=ku(δmc)]])</f>
        <v>19999.088</v>
      </c>
      <c r="U63" s="39"/>
      <c r="BI63" s="3">
        <v>46</v>
      </c>
      <c r="BJ63" s="131">
        <v>2.0129999999999999</v>
      </c>
      <c r="BK63" s="266">
        <v>2.41</v>
      </c>
    </row>
    <row r="64" spans="2:63" x14ac:dyDescent="0.3">
      <c r="B64" s="84">
        <v>50</v>
      </c>
      <c r="C64" s="254" t="s">
        <v>539</v>
      </c>
      <c r="D64" s="84" t="s">
        <v>486</v>
      </c>
      <c r="E64" s="253" t="s">
        <v>26</v>
      </c>
      <c r="F64" s="252">
        <v>20000</v>
      </c>
      <c r="G64" s="250">
        <v>-4.0000000000000001E-3</v>
      </c>
      <c r="H64" s="251">
        <f>tblBD_PatronMasa[[#This Row],[Masa nominal mN]]+tblBD_PatronMasa[[#This Row],[Error certificado calibración δmc]]</f>
        <v>19999.995999999999</v>
      </c>
      <c r="I64" s="250">
        <v>8.7999999999999995E-2</v>
      </c>
      <c r="J64" s="250">
        <f>4*tblBD_PatronMasa[[#This Row],[mpe]]/3</f>
        <v>1.3333333333333333</v>
      </c>
      <c r="K64" s="249">
        <f>tblBD_PatronMasa[[#This Row],[Deriva Dmax=4/3*mpe]]/SQRT(3)</f>
        <v>0.76980035891950105</v>
      </c>
      <c r="L64" s="247"/>
      <c r="M64" s="249">
        <f>INDEX(tolerancia,MATCH(tblBD_PatronMasa[[#This Row],[Masa nominal mN]],Vnominal,0),MATCH(tblBD_PatronMasa[[#This Row],[Clase]],Clases_masas,0))*0.001</f>
        <v>1</v>
      </c>
      <c r="N64" s="248">
        <v>45047</v>
      </c>
      <c r="O64" s="247" t="s">
        <v>494</v>
      </c>
      <c r="P64" s="84" t="s">
        <v>484</v>
      </c>
      <c r="Q64" s="84">
        <f>IFERROR(VLOOKUP(tblBD_PatronMasa[[#This Row],[Material]],tblDensidadPatron[],2,0),0)</f>
        <v>7800</v>
      </c>
      <c r="R64" s="84">
        <f>IFERROR(VLOOKUP(tblBD_PatronMasa[[#This Row],[Material]],tblDensidadPatron[],3,0),0)</f>
        <v>100</v>
      </c>
      <c r="S64" s="84">
        <f>tblBD_PatronMasa[[#This Row],[Masa nominal mN]]+(tblBD_PatronMasa[[#This Row],[mpe]]-tblBD_PatronMasa[[#This Row],[Incertidumbre certificado calibración U95=ku(δmc)]])</f>
        <v>20000.912</v>
      </c>
      <c r="T64" s="84">
        <f>tblBD_PatronMasa[[#This Row],[Masa nominal mN]]-(tblBD_PatronMasa[[#This Row],[mpe]]-tblBD_PatronMasa[[#This Row],[Incertidumbre certificado calibración U95=ku(δmc)]])</f>
        <v>19999.088</v>
      </c>
      <c r="U64" s="39"/>
      <c r="BI64" s="3">
        <v>48</v>
      </c>
      <c r="BJ64" s="131">
        <v>2.0110000000000001</v>
      </c>
      <c r="BK64" s="131">
        <v>2.407</v>
      </c>
    </row>
    <row r="65" spans="2:63" x14ac:dyDescent="0.3">
      <c r="B65" s="84">
        <v>51</v>
      </c>
      <c r="C65" s="254" t="s">
        <v>538</v>
      </c>
      <c r="D65" s="84" t="s">
        <v>486</v>
      </c>
      <c r="E65" s="253" t="s">
        <v>26</v>
      </c>
      <c r="F65" s="252">
        <v>20000</v>
      </c>
      <c r="G65" s="250">
        <v>9.6000000000000002E-2</v>
      </c>
      <c r="H65" s="251">
        <f>tblBD_PatronMasa[[#This Row],[Masa nominal mN]]+tblBD_PatronMasa[[#This Row],[Error certificado calibración δmc]]</f>
        <v>20000.096000000001</v>
      </c>
      <c r="I65" s="250">
        <v>8.7999999999999995E-2</v>
      </c>
      <c r="J65" s="250">
        <f>4*tblBD_PatronMasa[[#This Row],[mpe]]/3</f>
        <v>1.3333333333333333</v>
      </c>
      <c r="K65" s="249">
        <f>tblBD_PatronMasa[[#This Row],[Deriva Dmax=4/3*mpe]]/SQRT(3)</f>
        <v>0.76980035891950105</v>
      </c>
      <c r="L65" s="247"/>
      <c r="M65" s="249">
        <f>INDEX(tolerancia,MATCH(tblBD_PatronMasa[[#This Row],[Masa nominal mN]],Vnominal,0),MATCH(tblBD_PatronMasa[[#This Row],[Clase]],Clases_masas,0))*0.001</f>
        <v>1</v>
      </c>
      <c r="N65" s="248">
        <v>45047</v>
      </c>
      <c r="O65" s="247" t="s">
        <v>494</v>
      </c>
      <c r="P65" s="84" t="s">
        <v>484</v>
      </c>
      <c r="Q65" s="84">
        <f>IFERROR(VLOOKUP(tblBD_PatronMasa[[#This Row],[Material]],tblDensidadPatron[],2,0),0)</f>
        <v>7800</v>
      </c>
      <c r="R65" s="84">
        <f>IFERROR(VLOOKUP(tblBD_PatronMasa[[#This Row],[Material]],tblDensidadPatron[],3,0),0)</f>
        <v>100</v>
      </c>
      <c r="S65" s="84">
        <f>tblBD_PatronMasa[[#This Row],[Masa nominal mN]]+(tblBD_PatronMasa[[#This Row],[mpe]]-tblBD_PatronMasa[[#This Row],[Incertidumbre certificado calibración U95=ku(δmc)]])</f>
        <v>20000.912</v>
      </c>
      <c r="T65" s="84">
        <f>tblBD_PatronMasa[[#This Row],[Masa nominal mN]]-(tblBD_PatronMasa[[#This Row],[mpe]]-tblBD_PatronMasa[[#This Row],[Incertidumbre certificado calibración U95=ku(δmc)]])</f>
        <v>19999.088</v>
      </c>
      <c r="U65" s="39"/>
      <c r="BI65" s="3">
        <v>50</v>
      </c>
      <c r="BJ65" s="131">
        <v>2.0089999999999999</v>
      </c>
      <c r="BK65" s="131">
        <v>2.403</v>
      </c>
    </row>
    <row r="66" spans="2:63" x14ac:dyDescent="0.3">
      <c r="B66" s="84">
        <v>52</v>
      </c>
      <c r="C66" s="254" t="s">
        <v>537</v>
      </c>
      <c r="D66" s="84" t="s">
        <v>486</v>
      </c>
      <c r="E66" s="253" t="s">
        <v>26</v>
      </c>
      <c r="F66" s="252">
        <v>20000</v>
      </c>
      <c r="G66" s="250">
        <v>-4.0000000000000001E-3</v>
      </c>
      <c r="H66" s="251">
        <f>tblBD_PatronMasa[[#This Row],[Masa nominal mN]]+tblBD_PatronMasa[[#This Row],[Error certificado calibración δmc]]</f>
        <v>19999.995999999999</v>
      </c>
      <c r="I66" s="250">
        <v>8.7999999999999995E-2</v>
      </c>
      <c r="J66" s="250">
        <f>4*tblBD_PatronMasa[[#This Row],[mpe]]/3</f>
        <v>1.3333333333333333</v>
      </c>
      <c r="K66" s="249">
        <f>tblBD_PatronMasa[[#This Row],[Deriva Dmax=4/3*mpe]]/SQRT(3)</f>
        <v>0.76980035891950105</v>
      </c>
      <c r="L66" s="247"/>
      <c r="M66" s="249">
        <f>INDEX(tolerancia,MATCH(tblBD_PatronMasa[[#This Row],[Masa nominal mN]],Vnominal,0),MATCH(tblBD_PatronMasa[[#This Row],[Clase]],Clases_masas,0))*0.001</f>
        <v>1</v>
      </c>
      <c r="N66" s="248">
        <v>45047</v>
      </c>
      <c r="O66" s="247" t="s">
        <v>494</v>
      </c>
      <c r="P66" s="84" t="s">
        <v>484</v>
      </c>
      <c r="Q66" s="84">
        <f>IFERROR(VLOOKUP(tblBD_PatronMasa[[#This Row],[Material]],tblDensidadPatron[],2,0),0)</f>
        <v>7800</v>
      </c>
      <c r="R66" s="84">
        <f>IFERROR(VLOOKUP(tblBD_PatronMasa[[#This Row],[Material]],tblDensidadPatron[],3,0),0)</f>
        <v>100</v>
      </c>
      <c r="S66" s="84">
        <f>tblBD_PatronMasa[[#This Row],[Masa nominal mN]]+(tblBD_PatronMasa[[#This Row],[mpe]]-tblBD_PatronMasa[[#This Row],[Incertidumbre certificado calibración U95=ku(δmc)]])</f>
        <v>20000.912</v>
      </c>
      <c r="T66" s="84">
        <f>tblBD_PatronMasa[[#This Row],[Masa nominal mN]]-(tblBD_PatronMasa[[#This Row],[mpe]]-tblBD_PatronMasa[[#This Row],[Incertidumbre certificado calibración U95=ku(δmc)]])</f>
        <v>19999.088</v>
      </c>
      <c r="U66" s="39"/>
      <c r="BI66" s="3">
        <v>60</v>
      </c>
      <c r="BJ66" s="266">
        <v>2</v>
      </c>
      <c r="BK66" s="266">
        <v>2.39</v>
      </c>
    </row>
    <row r="67" spans="2:63" x14ac:dyDescent="0.3">
      <c r="B67" s="84">
        <v>53</v>
      </c>
      <c r="C67" s="254" t="s">
        <v>536</v>
      </c>
      <c r="D67" s="84" t="s">
        <v>486</v>
      </c>
      <c r="E67" s="253" t="s">
        <v>26</v>
      </c>
      <c r="F67" s="252">
        <v>20000</v>
      </c>
      <c r="G67" s="250">
        <v>-4.0000000000000001E-3</v>
      </c>
      <c r="H67" s="251">
        <f>tblBD_PatronMasa[[#This Row],[Masa nominal mN]]+tblBD_PatronMasa[[#This Row],[Error certificado calibración δmc]]</f>
        <v>19999.995999999999</v>
      </c>
      <c r="I67" s="250">
        <v>8.7999999999999995E-2</v>
      </c>
      <c r="J67" s="250">
        <f>4*tblBD_PatronMasa[[#This Row],[mpe]]/3</f>
        <v>1.3333333333333333</v>
      </c>
      <c r="K67" s="249">
        <f>tblBD_PatronMasa[[#This Row],[Deriva Dmax=4/3*mpe]]/SQRT(3)</f>
        <v>0.76980035891950105</v>
      </c>
      <c r="L67" s="247"/>
      <c r="M67" s="249">
        <f>INDEX(tolerancia,MATCH(tblBD_PatronMasa[[#This Row],[Masa nominal mN]],Vnominal,0),MATCH(tblBD_PatronMasa[[#This Row],[Clase]],Clases_masas,0))*0.001</f>
        <v>1</v>
      </c>
      <c r="N67" s="248">
        <v>45047</v>
      </c>
      <c r="O67" s="247" t="s">
        <v>494</v>
      </c>
      <c r="P67" s="84" t="s">
        <v>484</v>
      </c>
      <c r="Q67" s="84">
        <f>IFERROR(VLOOKUP(tblBD_PatronMasa[[#This Row],[Material]],tblDensidadPatron[],2,0),0)</f>
        <v>7800</v>
      </c>
      <c r="R67" s="84">
        <f>IFERROR(VLOOKUP(tblBD_PatronMasa[[#This Row],[Material]],tblDensidadPatron[],3,0),0)</f>
        <v>100</v>
      </c>
      <c r="S67" s="84">
        <f>tblBD_PatronMasa[[#This Row],[Masa nominal mN]]+(tblBD_PatronMasa[[#This Row],[mpe]]-tblBD_PatronMasa[[#This Row],[Incertidumbre certificado calibración U95=ku(δmc)]])</f>
        <v>20000.912</v>
      </c>
      <c r="T67" s="84">
        <f>tblBD_PatronMasa[[#This Row],[Masa nominal mN]]-(tblBD_PatronMasa[[#This Row],[mpe]]-tblBD_PatronMasa[[#This Row],[Incertidumbre certificado calibración U95=ku(δmc)]])</f>
        <v>19999.088</v>
      </c>
      <c r="U67" s="39"/>
      <c r="BI67" s="3">
        <v>70</v>
      </c>
      <c r="BJ67" s="131">
        <v>1.994</v>
      </c>
      <c r="BK67" s="131">
        <v>2.3809999999999998</v>
      </c>
    </row>
    <row r="68" spans="2:63" x14ac:dyDescent="0.3">
      <c r="B68" s="84">
        <v>54</v>
      </c>
      <c r="C68" s="254" t="s">
        <v>535</v>
      </c>
      <c r="D68" s="84" t="s">
        <v>486</v>
      </c>
      <c r="E68" s="253" t="s">
        <v>26</v>
      </c>
      <c r="F68" s="252">
        <v>20000</v>
      </c>
      <c r="G68" s="250">
        <v>9.6000000000000002E-2</v>
      </c>
      <c r="H68" s="251">
        <f>tblBD_PatronMasa[[#This Row],[Masa nominal mN]]+tblBD_PatronMasa[[#This Row],[Error certificado calibración δmc]]</f>
        <v>20000.096000000001</v>
      </c>
      <c r="I68" s="250">
        <v>8.7999999999999995E-2</v>
      </c>
      <c r="J68" s="250">
        <f>4*tblBD_PatronMasa[[#This Row],[mpe]]/3</f>
        <v>1.3333333333333333</v>
      </c>
      <c r="K68" s="249">
        <f>tblBD_PatronMasa[[#This Row],[Deriva Dmax=4/3*mpe]]/SQRT(3)</f>
        <v>0.76980035891950105</v>
      </c>
      <c r="L68" s="247"/>
      <c r="M68" s="249">
        <f>INDEX(tolerancia,MATCH(tblBD_PatronMasa[[#This Row],[Masa nominal mN]],Vnominal,0),MATCH(tblBD_PatronMasa[[#This Row],[Clase]],Clases_masas,0))*0.001</f>
        <v>1</v>
      </c>
      <c r="N68" s="248">
        <v>45047</v>
      </c>
      <c r="O68" s="247" t="s">
        <v>494</v>
      </c>
      <c r="P68" s="84" t="s">
        <v>484</v>
      </c>
      <c r="Q68" s="84">
        <f>IFERROR(VLOOKUP(tblBD_PatronMasa[[#This Row],[Material]],tblDensidadPatron[],2,0),0)</f>
        <v>7800</v>
      </c>
      <c r="R68" s="84">
        <f>IFERROR(VLOOKUP(tblBD_PatronMasa[[#This Row],[Material]],tblDensidadPatron[],3,0),0)</f>
        <v>100</v>
      </c>
      <c r="S68" s="84">
        <f>tblBD_PatronMasa[[#This Row],[Masa nominal mN]]+(tblBD_PatronMasa[[#This Row],[mpe]]-tblBD_PatronMasa[[#This Row],[Incertidumbre certificado calibración U95=ku(δmc)]])</f>
        <v>20000.912</v>
      </c>
      <c r="T68" s="84">
        <f>tblBD_PatronMasa[[#This Row],[Masa nominal mN]]-(tblBD_PatronMasa[[#This Row],[mpe]]-tblBD_PatronMasa[[#This Row],[Incertidumbre certificado calibración U95=ku(δmc)]])</f>
        <v>19999.088</v>
      </c>
      <c r="U68" s="39"/>
      <c r="BI68" s="3">
        <v>80</v>
      </c>
      <c r="BJ68" s="131">
        <v>1.99</v>
      </c>
      <c r="BK68" s="131">
        <v>2.3740000000000001</v>
      </c>
    </row>
    <row r="69" spans="2:63" x14ac:dyDescent="0.3">
      <c r="B69" s="84">
        <v>55</v>
      </c>
      <c r="C69" s="254" t="s">
        <v>534</v>
      </c>
      <c r="D69" s="84" t="s">
        <v>486</v>
      </c>
      <c r="E69" s="253" t="s">
        <v>26</v>
      </c>
      <c r="F69" s="252">
        <v>20000</v>
      </c>
      <c r="G69" s="250">
        <v>-4.0000000000000001E-3</v>
      </c>
      <c r="H69" s="251">
        <f>tblBD_PatronMasa[[#This Row],[Masa nominal mN]]+tblBD_PatronMasa[[#This Row],[Error certificado calibración δmc]]</f>
        <v>19999.995999999999</v>
      </c>
      <c r="I69" s="250">
        <v>8.7999999999999995E-2</v>
      </c>
      <c r="J69" s="250">
        <f>4*tblBD_PatronMasa[[#This Row],[mpe]]/3</f>
        <v>1.3333333333333333</v>
      </c>
      <c r="K69" s="249">
        <f>tblBD_PatronMasa[[#This Row],[Deriva Dmax=4/3*mpe]]/SQRT(3)</f>
        <v>0.76980035891950105</v>
      </c>
      <c r="L69" s="247"/>
      <c r="M69" s="249">
        <f>INDEX(tolerancia,MATCH(tblBD_PatronMasa[[#This Row],[Masa nominal mN]],Vnominal,0),MATCH(tblBD_PatronMasa[[#This Row],[Clase]],Clases_masas,0))*0.001</f>
        <v>1</v>
      </c>
      <c r="N69" s="248">
        <v>45047</v>
      </c>
      <c r="O69" s="247" t="s">
        <v>494</v>
      </c>
      <c r="P69" s="84" t="s">
        <v>484</v>
      </c>
      <c r="Q69" s="84">
        <f>IFERROR(VLOOKUP(tblBD_PatronMasa[[#This Row],[Material]],tblDensidadPatron[],2,0),0)</f>
        <v>7800</v>
      </c>
      <c r="R69" s="84">
        <f>IFERROR(VLOOKUP(tblBD_PatronMasa[[#This Row],[Material]],tblDensidadPatron[],3,0),0)</f>
        <v>100</v>
      </c>
      <c r="S69" s="84">
        <f>tblBD_PatronMasa[[#This Row],[Masa nominal mN]]+(tblBD_PatronMasa[[#This Row],[mpe]]-tblBD_PatronMasa[[#This Row],[Incertidumbre certificado calibración U95=ku(δmc)]])</f>
        <v>20000.912</v>
      </c>
      <c r="T69" s="84">
        <f>tblBD_PatronMasa[[#This Row],[Masa nominal mN]]-(tblBD_PatronMasa[[#This Row],[mpe]]-tblBD_PatronMasa[[#This Row],[Incertidumbre certificado calibración U95=ku(δmc)]])</f>
        <v>19999.088</v>
      </c>
      <c r="U69" s="39"/>
      <c r="BI69" s="3">
        <v>90</v>
      </c>
      <c r="BJ69" s="131">
        <v>1.9870000000000001</v>
      </c>
      <c r="BK69" s="131">
        <v>2.3690000000000002</v>
      </c>
    </row>
    <row r="70" spans="2:63" x14ac:dyDescent="0.3">
      <c r="B70" s="84">
        <v>56</v>
      </c>
      <c r="C70" s="254" t="s">
        <v>533</v>
      </c>
      <c r="D70" s="84" t="s">
        <v>486</v>
      </c>
      <c r="E70" s="253" t="s">
        <v>26</v>
      </c>
      <c r="F70" s="252">
        <v>20000</v>
      </c>
      <c r="G70" s="250">
        <v>-4.0000000000000001E-3</v>
      </c>
      <c r="H70" s="251">
        <f>tblBD_PatronMasa[[#This Row],[Masa nominal mN]]+tblBD_PatronMasa[[#This Row],[Error certificado calibración δmc]]</f>
        <v>19999.995999999999</v>
      </c>
      <c r="I70" s="250">
        <v>8.7999999999999995E-2</v>
      </c>
      <c r="J70" s="250">
        <f>4*tblBD_PatronMasa[[#This Row],[mpe]]/3</f>
        <v>1.3333333333333333</v>
      </c>
      <c r="K70" s="249">
        <f>tblBD_PatronMasa[[#This Row],[Deriva Dmax=4/3*mpe]]/SQRT(3)</f>
        <v>0.76980035891950105</v>
      </c>
      <c r="L70" s="247"/>
      <c r="M70" s="249">
        <f>INDEX(tolerancia,MATCH(tblBD_PatronMasa[[#This Row],[Masa nominal mN]],Vnominal,0),MATCH(tblBD_PatronMasa[[#This Row],[Clase]],Clases_masas,0))*0.001</f>
        <v>1</v>
      </c>
      <c r="N70" s="248">
        <v>45047</v>
      </c>
      <c r="O70" s="247" t="s">
        <v>494</v>
      </c>
      <c r="P70" s="84" t="s">
        <v>484</v>
      </c>
      <c r="Q70" s="84">
        <f>IFERROR(VLOOKUP(tblBD_PatronMasa[[#This Row],[Material]],tblDensidadPatron[],2,0),0)</f>
        <v>7800</v>
      </c>
      <c r="R70" s="84">
        <f>IFERROR(VLOOKUP(tblBD_PatronMasa[[#This Row],[Material]],tblDensidadPatron[],3,0),0)</f>
        <v>100</v>
      </c>
      <c r="S70" s="84">
        <f>tblBD_PatronMasa[[#This Row],[Masa nominal mN]]+(tblBD_PatronMasa[[#This Row],[mpe]]-tblBD_PatronMasa[[#This Row],[Incertidumbre certificado calibración U95=ku(δmc)]])</f>
        <v>20000.912</v>
      </c>
      <c r="T70" s="84">
        <f>tblBD_PatronMasa[[#This Row],[Masa nominal mN]]-(tblBD_PatronMasa[[#This Row],[mpe]]-tblBD_PatronMasa[[#This Row],[Incertidumbre certificado calibración U95=ku(δmc)]])</f>
        <v>19999.088</v>
      </c>
      <c r="U70" s="39"/>
      <c r="BI70" s="3">
        <v>100</v>
      </c>
      <c r="BJ70" s="131">
        <v>1.984</v>
      </c>
      <c r="BK70" s="131">
        <v>2.3639999999999999</v>
      </c>
    </row>
    <row r="71" spans="2:63" x14ac:dyDescent="0.3">
      <c r="B71" s="84">
        <v>57</v>
      </c>
      <c r="C71" s="254" t="s">
        <v>532</v>
      </c>
      <c r="D71" s="84" t="s">
        <v>486</v>
      </c>
      <c r="E71" s="253" t="s">
        <v>26</v>
      </c>
      <c r="F71" s="252">
        <v>20000</v>
      </c>
      <c r="G71" s="250">
        <v>-4.0000000000000001E-3</v>
      </c>
      <c r="H71" s="251">
        <f>tblBD_PatronMasa[[#This Row],[Masa nominal mN]]+tblBD_PatronMasa[[#This Row],[Error certificado calibración δmc]]</f>
        <v>19999.995999999999</v>
      </c>
      <c r="I71" s="250">
        <v>8.7999999999999995E-2</v>
      </c>
      <c r="J71" s="250">
        <f>4*tblBD_PatronMasa[[#This Row],[mpe]]/3</f>
        <v>1.3333333333333333</v>
      </c>
      <c r="K71" s="249">
        <f>tblBD_PatronMasa[[#This Row],[Deriva Dmax=4/3*mpe]]/SQRT(3)</f>
        <v>0.76980035891950105</v>
      </c>
      <c r="L71" s="247"/>
      <c r="M71" s="249">
        <f>INDEX(tolerancia,MATCH(tblBD_PatronMasa[[#This Row],[Masa nominal mN]],Vnominal,0),MATCH(tblBD_PatronMasa[[#This Row],[Clase]],Clases_masas,0))*0.001</f>
        <v>1</v>
      </c>
      <c r="N71" s="248">
        <v>45047</v>
      </c>
      <c r="O71" s="247" t="s">
        <v>494</v>
      </c>
      <c r="P71" s="84" t="s">
        <v>484</v>
      </c>
      <c r="Q71" s="84">
        <f>IFERROR(VLOOKUP(tblBD_PatronMasa[[#This Row],[Material]],tblDensidadPatron[],2,0),0)</f>
        <v>7800</v>
      </c>
      <c r="R71" s="84">
        <f>IFERROR(VLOOKUP(tblBD_PatronMasa[[#This Row],[Material]],tblDensidadPatron[],3,0),0)</f>
        <v>100</v>
      </c>
      <c r="S71" s="84">
        <f>tblBD_PatronMasa[[#This Row],[Masa nominal mN]]+(tblBD_PatronMasa[[#This Row],[mpe]]-tblBD_PatronMasa[[#This Row],[Incertidumbre certificado calibración U95=ku(δmc)]])</f>
        <v>20000.912</v>
      </c>
      <c r="T71" s="84">
        <f>tblBD_PatronMasa[[#This Row],[Masa nominal mN]]-(tblBD_PatronMasa[[#This Row],[mpe]]-tblBD_PatronMasa[[#This Row],[Incertidumbre certificado calibración U95=ku(δmc)]])</f>
        <v>19999.088</v>
      </c>
      <c r="U71" s="39"/>
      <c r="BI71" s="3">
        <v>120</v>
      </c>
      <c r="BJ71" s="131">
        <v>1.98</v>
      </c>
      <c r="BK71" s="131">
        <v>2.3580000000000001</v>
      </c>
    </row>
    <row r="72" spans="2:63" x14ac:dyDescent="0.3">
      <c r="B72" s="84">
        <v>58</v>
      </c>
      <c r="C72" s="254" t="s">
        <v>531</v>
      </c>
      <c r="D72" s="84" t="s">
        <v>486</v>
      </c>
      <c r="E72" s="253" t="s">
        <v>26</v>
      </c>
      <c r="F72" s="252">
        <v>20000</v>
      </c>
      <c r="G72" s="250">
        <v>-4.0000000000000001E-3</v>
      </c>
      <c r="H72" s="251">
        <f>tblBD_PatronMasa[[#This Row],[Masa nominal mN]]+tblBD_PatronMasa[[#This Row],[Error certificado calibración δmc]]</f>
        <v>19999.995999999999</v>
      </c>
      <c r="I72" s="250">
        <v>8.7999999999999995E-2</v>
      </c>
      <c r="J72" s="250">
        <f>4*tblBD_PatronMasa[[#This Row],[mpe]]/3</f>
        <v>1.3333333333333333</v>
      </c>
      <c r="K72" s="249">
        <f>tblBD_PatronMasa[[#This Row],[Deriva Dmax=4/3*mpe]]/SQRT(3)</f>
        <v>0.76980035891950105</v>
      </c>
      <c r="L72" s="247"/>
      <c r="M72" s="249">
        <f>INDEX(tolerancia,MATCH(tblBD_PatronMasa[[#This Row],[Masa nominal mN]],Vnominal,0),MATCH(tblBD_PatronMasa[[#This Row],[Clase]],Clases_masas,0))*0.001</f>
        <v>1</v>
      </c>
      <c r="N72" s="248">
        <v>45047</v>
      </c>
      <c r="O72" s="247" t="s">
        <v>494</v>
      </c>
      <c r="P72" s="84" t="s">
        <v>484</v>
      </c>
      <c r="Q72" s="84">
        <f>IFERROR(VLOOKUP(tblBD_PatronMasa[[#This Row],[Material]],tblDensidadPatron[],2,0),0)</f>
        <v>7800</v>
      </c>
      <c r="R72" s="84">
        <f>IFERROR(VLOOKUP(tblBD_PatronMasa[[#This Row],[Material]],tblDensidadPatron[],3,0),0)</f>
        <v>100</v>
      </c>
      <c r="S72" s="84">
        <f>tblBD_PatronMasa[[#This Row],[Masa nominal mN]]+(tblBD_PatronMasa[[#This Row],[mpe]]-tblBD_PatronMasa[[#This Row],[Incertidumbre certificado calibración U95=ku(δmc)]])</f>
        <v>20000.912</v>
      </c>
      <c r="T72" s="84">
        <f>tblBD_PatronMasa[[#This Row],[Masa nominal mN]]-(tblBD_PatronMasa[[#This Row],[mpe]]-tblBD_PatronMasa[[#This Row],[Incertidumbre certificado calibración U95=ku(δmc)]])</f>
        <v>19999.088</v>
      </c>
      <c r="U72" s="39"/>
      <c r="BI72" s="3">
        <v>150</v>
      </c>
      <c r="BJ72" s="131">
        <v>1.976</v>
      </c>
      <c r="BK72" s="131">
        <v>2.351</v>
      </c>
    </row>
    <row r="73" spans="2:63" x14ac:dyDescent="0.3">
      <c r="B73" s="84">
        <v>59</v>
      </c>
      <c r="C73" s="254" t="s">
        <v>530</v>
      </c>
      <c r="D73" s="84" t="s">
        <v>486</v>
      </c>
      <c r="E73" s="253" t="s">
        <v>26</v>
      </c>
      <c r="F73" s="252">
        <v>20000</v>
      </c>
      <c r="G73" s="250">
        <v>-4.0000000000000001E-3</v>
      </c>
      <c r="H73" s="251">
        <f>tblBD_PatronMasa[[#This Row],[Masa nominal mN]]+tblBD_PatronMasa[[#This Row],[Error certificado calibración δmc]]</f>
        <v>19999.995999999999</v>
      </c>
      <c r="I73" s="250">
        <v>8.7999999999999995E-2</v>
      </c>
      <c r="J73" s="250">
        <f>4*tblBD_PatronMasa[[#This Row],[mpe]]/3</f>
        <v>1.3333333333333333</v>
      </c>
      <c r="K73" s="249">
        <f>tblBD_PatronMasa[[#This Row],[Deriva Dmax=4/3*mpe]]/SQRT(3)</f>
        <v>0.76980035891950105</v>
      </c>
      <c r="L73" s="247"/>
      <c r="M73" s="249">
        <f>INDEX(tolerancia,MATCH(tblBD_PatronMasa[[#This Row],[Masa nominal mN]],Vnominal,0),MATCH(tblBD_PatronMasa[[#This Row],[Clase]],Clases_masas,0))*0.001</f>
        <v>1</v>
      </c>
      <c r="N73" s="248">
        <v>45047</v>
      </c>
      <c r="O73" s="247" t="s">
        <v>494</v>
      </c>
      <c r="P73" s="84" t="s">
        <v>484</v>
      </c>
      <c r="Q73" s="84">
        <f>IFERROR(VLOOKUP(tblBD_PatronMasa[[#This Row],[Material]],tblDensidadPatron[],2,0),0)</f>
        <v>7800</v>
      </c>
      <c r="R73" s="84">
        <f>IFERROR(VLOOKUP(tblBD_PatronMasa[[#This Row],[Material]],tblDensidadPatron[],3,0),0)</f>
        <v>100</v>
      </c>
      <c r="S73" s="84">
        <f>tblBD_PatronMasa[[#This Row],[Masa nominal mN]]+(tblBD_PatronMasa[[#This Row],[mpe]]-tblBD_PatronMasa[[#This Row],[Incertidumbre certificado calibración U95=ku(δmc)]])</f>
        <v>20000.912</v>
      </c>
      <c r="T73" s="84">
        <f>tblBD_PatronMasa[[#This Row],[Masa nominal mN]]-(tblBD_PatronMasa[[#This Row],[mpe]]-tblBD_PatronMasa[[#This Row],[Incertidumbre certificado calibración U95=ku(δmc)]])</f>
        <v>19999.088</v>
      </c>
      <c r="U73" s="39"/>
      <c r="BI73" s="3">
        <v>200</v>
      </c>
      <c r="BJ73" s="131">
        <v>1.972</v>
      </c>
      <c r="BK73" s="131">
        <v>2.3450000000000002</v>
      </c>
    </row>
    <row r="74" spans="2:63" x14ac:dyDescent="0.3">
      <c r="B74" s="84">
        <v>60</v>
      </c>
      <c r="C74" s="254" t="s">
        <v>529</v>
      </c>
      <c r="D74" s="84" t="s">
        <v>486</v>
      </c>
      <c r="E74" s="253" t="s">
        <v>26</v>
      </c>
      <c r="F74" s="252">
        <v>20000</v>
      </c>
      <c r="G74" s="250">
        <v>-4.0000000000000001E-3</v>
      </c>
      <c r="H74" s="251">
        <f>tblBD_PatronMasa[[#This Row],[Masa nominal mN]]+tblBD_PatronMasa[[#This Row],[Error certificado calibración δmc]]</f>
        <v>19999.995999999999</v>
      </c>
      <c r="I74" s="250">
        <v>8.7999999999999995E-2</v>
      </c>
      <c r="J74" s="250">
        <f>4*tblBD_PatronMasa[[#This Row],[mpe]]/3</f>
        <v>1.3333333333333333</v>
      </c>
      <c r="K74" s="249">
        <f>tblBD_PatronMasa[[#This Row],[Deriva Dmax=4/3*mpe]]/SQRT(3)</f>
        <v>0.76980035891950105</v>
      </c>
      <c r="L74" s="247"/>
      <c r="M74" s="249">
        <f>INDEX(tolerancia,MATCH(tblBD_PatronMasa[[#This Row],[Masa nominal mN]],Vnominal,0),MATCH(tblBD_PatronMasa[[#This Row],[Clase]],Clases_masas,0))*0.001</f>
        <v>1</v>
      </c>
      <c r="N74" s="248">
        <v>45047</v>
      </c>
      <c r="O74" s="247" t="s">
        <v>494</v>
      </c>
      <c r="P74" s="84" t="s">
        <v>484</v>
      </c>
      <c r="Q74" s="84">
        <f>IFERROR(VLOOKUP(tblBD_PatronMasa[[#This Row],[Material]],tblDensidadPatron[],2,0),0)</f>
        <v>7800</v>
      </c>
      <c r="R74" s="84">
        <f>IFERROR(VLOOKUP(tblBD_PatronMasa[[#This Row],[Material]],tblDensidadPatron[],3,0),0)</f>
        <v>100</v>
      </c>
      <c r="S74" s="84">
        <f>tblBD_PatronMasa[[#This Row],[Masa nominal mN]]+(tblBD_PatronMasa[[#This Row],[mpe]]-tblBD_PatronMasa[[#This Row],[Incertidumbre certificado calibración U95=ku(δmc)]])</f>
        <v>20000.912</v>
      </c>
      <c r="T74" s="84">
        <f>tblBD_PatronMasa[[#This Row],[Masa nominal mN]]-(tblBD_PatronMasa[[#This Row],[mpe]]-tblBD_PatronMasa[[#This Row],[Incertidumbre certificado calibración U95=ku(δmc)]])</f>
        <v>19999.088</v>
      </c>
      <c r="U74" s="39"/>
      <c r="BI74" s="3">
        <v>300</v>
      </c>
      <c r="BJ74" s="131">
        <v>1.968</v>
      </c>
      <c r="BK74" s="131">
        <v>2.339</v>
      </c>
    </row>
    <row r="75" spans="2:63" x14ac:dyDescent="0.3">
      <c r="B75" s="84">
        <v>61</v>
      </c>
      <c r="C75" s="254" t="s">
        <v>528</v>
      </c>
      <c r="D75" s="84" t="s">
        <v>486</v>
      </c>
      <c r="E75" s="253" t="s">
        <v>26</v>
      </c>
      <c r="F75" s="252">
        <v>20000</v>
      </c>
      <c r="G75" s="250">
        <v>-4.0000000000000001E-3</v>
      </c>
      <c r="H75" s="251">
        <f>tblBD_PatronMasa[[#This Row],[Masa nominal mN]]+tblBD_PatronMasa[[#This Row],[Error certificado calibración δmc]]</f>
        <v>19999.995999999999</v>
      </c>
      <c r="I75" s="250">
        <v>8.7999999999999995E-2</v>
      </c>
      <c r="J75" s="250">
        <f>4*tblBD_PatronMasa[[#This Row],[mpe]]/3</f>
        <v>1.3333333333333333</v>
      </c>
      <c r="K75" s="249">
        <f>tblBD_PatronMasa[[#This Row],[Deriva Dmax=4/3*mpe]]/SQRT(3)</f>
        <v>0.76980035891950105</v>
      </c>
      <c r="L75" s="247"/>
      <c r="M75" s="249">
        <f>INDEX(tolerancia,MATCH(tblBD_PatronMasa[[#This Row],[Masa nominal mN]],Vnominal,0),MATCH(tblBD_PatronMasa[[#This Row],[Clase]],Clases_masas,0))*0.001</f>
        <v>1</v>
      </c>
      <c r="N75" s="248">
        <v>45047</v>
      </c>
      <c r="O75" s="247" t="s">
        <v>494</v>
      </c>
      <c r="P75" s="84" t="s">
        <v>484</v>
      </c>
      <c r="Q75" s="84">
        <f>IFERROR(VLOOKUP(tblBD_PatronMasa[[#This Row],[Material]],tblDensidadPatron[],2,0),0)</f>
        <v>7800</v>
      </c>
      <c r="R75" s="84">
        <f>IFERROR(VLOOKUP(tblBD_PatronMasa[[#This Row],[Material]],tblDensidadPatron[],3,0),0)</f>
        <v>100</v>
      </c>
      <c r="S75" s="84">
        <f>tblBD_PatronMasa[[#This Row],[Masa nominal mN]]+(tblBD_PatronMasa[[#This Row],[mpe]]-tblBD_PatronMasa[[#This Row],[Incertidumbre certificado calibración U95=ku(δmc)]])</f>
        <v>20000.912</v>
      </c>
      <c r="T75" s="84">
        <f>tblBD_PatronMasa[[#This Row],[Masa nominal mN]]-(tblBD_PatronMasa[[#This Row],[mpe]]-tblBD_PatronMasa[[#This Row],[Incertidumbre certificado calibración U95=ku(δmc)]])</f>
        <v>19999.088</v>
      </c>
      <c r="U75" s="39"/>
      <c r="BI75" s="3">
        <v>500</v>
      </c>
      <c r="BJ75" s="131">
        <v>1.9650000000000001</v>
      </c>
      <c r="BK75" s="131">
        <v>2.3340000000000001</v>
      </c>
    </row>
    <row r="76" spans="2:63" x14ac:dyDescent="0.3">
      <c r="B76" s="84">
        <v>62</v>
      </c>
      <c r="C76" s="254" t="s">
        <v>527</v>
      </c>
      <c r="D76" s="84" t="s">
        <v>486</v>
      </c>
      <c r="E76" s="253" t="s">
        <v>26</v>
      </c>
      <c r="F76" s="264">
        <v>20000</v>
      </c>
      <c r="G76" s="250">
        <v>9.6000000000000002E-2</v>
      </c>
      <c r="H76" s="251">
        <f>tblBD_PatronMasa[[#This Row],[Masa nominal mN]]+tblBD_PatronMasa[[#This Row],[Error certificado calibración δmc]]</f>
        <v>20000.096000000001</v>
      </c>
      <c r="I76" s="250">
        <v>8.7999999999999995E-2</v>
      </c>
      <c r="J76" s="250">
        <f>4*tblBD_PatronMasa[[#This Row],[mpe]]/3</f>
        <v>1.3333333333333333</v>
      </c>
      <c r="K76" s="249">
        <f>tblBD_PatronMasa[[#This Row],[Deriva Dmax=4/3*mpe]]/SQRT(3)</f>
        <v>0.76980035891950105</v>
      </c>
      <c r="L76" s="247"/>
      <c r="M76" s="249">
        <f>INDEX(tolerancia,MATCH(tblBD_PatronMasa[[#This Row],[Masa nominal mN]],Vnominal,0),MATCH(tblBD_PatronMasa[[#This Row],[Clase]],Clases_masas,0))*0.001</f>
        <v>1</v>
      </c>
      <c r="N76" s="248">
        <v>45047</v>
      </c>
      <c r="O76" s="247" t="s">
        <v>494</v>
      </c>
      <c r="P76" s="84" t="s">
        <v>484</v>
      </c>
      <c r="Q76" s="84">
        <f>IFERROR(VLOOKUP(tblBD_PatronMasa[[#This Row],[Material]],tblDensidadPatron[],2,0),0)</f>
        <v>7800</v>
      </c>
      <c r="R76" s="84">
        <f>IFERROR(VLOOKUP(tblBD_PatronMasa[[#This Row],[Material]],tblDensidadPatron[],3,0),0)</f>
        <v>100</v>
      </c>
      <c r="S76" s="84">
        <f>tblBD_PatronMasa[[#This Row],[Masa nominal mN]]+(tblBD_PatronMasa[[#This Row],[mpe]]-tblBD_PatronMasa[[#This Row],[Incertidumbre certificado calibración U95=ku(δmc)]])</f>
        <v>20000.912</v>
      </c>
      <c r="T76" s="84">
        <f>tblBD_PatronMasa[[#This Row],[Masa nominal mN]]-(tblBD_PatronMasa[[#This Row],[mpe]]-tblBD_PatronMasa[[#This Row],[Incertidumbre certificado calibración U95=ku(δmc)]])</f>
        <v>19999.088</v>
      </c>
      <c r="U76" s="39"/>
      <c r="BI76" s="265" t="s">
        <v>271</v>
      </c>
      <c r="BJ76" s="131">
        <v>1.96</v>
      </c>
      <c r="BK76" s="131">
        <v>2.3260000000000001</v>
      </c>
    </row>
    <row r="77" spans="2:63" x14ac:dyDescent="0.3">
      <c r="B77" s="84">
        <v>63</v>
      </c>
      <c r="C77" s="254" t="s">
        <v>526</v>
      </c>
      <c r="D77" s="84" t="s">
        <v>486</v>
      </c>
      <c r="E77" s="253" t="s">
        <v>26</v>
      </c>
      <c r="F77" s="252">
        <v>20000</v>
      </c>
      <c r="G77" s="250">
        <v>-4.0000000000000001E-3</v>
      </c>
      <c r="H77" s="251">
        <f>tblBD_PatronMasa[[#This Row],[Masa nominal mN]]+tblBD_PatronMasa[[#This Row],[Error certificado calibración δmc]]</f>
        <v>19999.995999999999</v>
      </c>
      <c r="I77" s="250">
        <v>8.7999999999999995E-2</v>
      </c>
      <c r="J77" s="250">
        <f>4*tblBD_PatronMasa[[#This Row],[mpe]]/3</f>
        <v>1.3333333333333333</v>
      </c>
      <c r="K77" s="249">
        <f>tblBD_PatronMasa[[#This Row],[Deriva Dmax=4/3*mpe]]/SQRT(3)</f>
        <v>0.76980035891950105</v>
      </c>
      <c r="L77" s="247"/>
      <c r="M77" s="249">
        <f>INDEX(tolerancia,MATCH(tblBD_PatronMasa[[#This Row],[Masa nominal mN]],Vnominal,0),MATCH(tblBD_PatronMasa[[#This Row],[Clase]],Clases_masas,0))*0.001</f>
        <v>1</v>
      </c>
      <c r="N77" s="248">
        <v>45047</v>
      </c>
      <c r="O77" s="247" t="s">
        <v>494</v>
      </c>
      <c r="P77" s="84" t="s">
        <v>484</v>
      </c>
      <c r="Q77" s="84">
        <f>IFERROR(VLOOKUP(tblBD_PatronMasa[[#This Row],[Material]],tblDensidadPatron[],2,0),0)</f>
        <v>7800</v>
      </c>
      <c r="R77" s="84">
        <f>IFERROR(VLOOKUP(tblBD_PatronMasa[[#This Row],[Material]],tblDensidadPatron[],3,0),0)</f>
        <v>100</v>
      </c>
      <c r="S77" s="84">
        <f>tblBD_PatronMasa[[#This Row],[Masa nominal mN]]+(tblBD_PatronMasa[[#This Row],[mpe]]-tblBD_PatronMasa[[#This Row],[Incertidumbre certificado calibración U95=ku(δmc)]])</f>
        <v>20000.912</v>
      </c>
      <c r="T77" s="84">
        <f>tblBD_PatronMasa[[#This Row],[Masa nominal mN]]-(tblBD_PatronMasa[[#This Row],[mpe]]-tblBD_PatronMasa[[#This Row],[Incertidumbre certificado calibración U95=ku(δmc)]])</f>
        <v>19999.088</v>
      </c>
      <c r="U77" s="39"/>
    </row>
    <row r="78" spans="2:63" x14ac:dyDescent="0.3">
      <c r="B78" s="84">
        <v>64</v>
      </c>
      <c r="C78" s="254" t="s">
        <v>525</v>
      </c>
      <c r="D78" s="84" t="s">
        <v>486</v>
      </c>
      <c r="E78" s="253" t="s">
        <v>26</v>
      </c>
      <c r="F78" s="252">
        <v>20000</v>
      </c>
      <c r="G78" s="250">
        <v>-4.0000000000000001E-3</v>
      </c>
      <c r="H78" s="251">
        <f>tblBD_PatronMasa[[#This Row],[Masa nominal mN]]+tblBD_PatronMasa[[#This Row],[Error certificado calibración δmc]]</f>
        <v>19999.995999999999</v>
      </c>
      <c r="I78" s="250">
        <v>8.7999999999999995E-2</v>
      </c>
      <c r="J78" s="250">
        <f>4*tblBD_PatronMasa[[#This Row],[mpe]]/3</f>
        <v>1.3333333333333333</v>
      </c>
      <c r="K78" s="249">
        <f>tblBD_PatronMasa[[#This Row],[Deriva Dmax=4/3*mpe]]/SQRT(3)</f>
        <v>0.76980035891950105</v>
      </c>
      <c r="L78" s="247"/>
      <c r="M78" s="249">
        <f>INDEX(tolerancia,MATCH(tblBD_PatronMasa[[#This Row],[Masa nominal mN]],Vnominal,0),MATCH(tblBD_PatronMasa[[#This Row],[Clase]],Clases_masas,0))*0.001</f>
        <v>1</v>
      </c>
      <c r="N78" s="248">
        <v>45047</v>
      </c>
      <c r="O78" s="247" t="s">
        <v>494</v>
      </c>
      <c r="P78" s="84" t="s">
        <v>484</v>
      </c>
      <c r="Q78" s="84">
        <f>IFERROR(VLOOKUP(tblBD_PatronMasa[[#This Row],[Material]],tblDensidadPatron[],2,0),0)</f>
        <v>7800</v>
      </c>
      <c r="R78" s="84">
        <f>IFERROR(VLOOKUP(tblBD_PatronMasa[[#This Row],[Material]],tblDensidadPatron[],3,0),0)</f>
        <v>100</v>
      </c>
      <c r="S78" s="84">
        <f>tblBD_PatronMasa[[#This Row],[Masa nominal mN]]+(tblBD_PatronMasa[[#This Row],[mpe]]-tblBD_PatronMasa[[#This Row],[Incertidumbre certificado calibración U95=ku(δmc)]])</f>
        <v>20000.912</v>
      </c>
      <c r="T78" s="84">
        <f>tblBD_PatronMasa[[#This Row],[Masa nominal mN]]-(tblBD_PatronMasa[[#This Row],[mpe]]-tblBD_PatronMasa[[#This Row],[Incertidumbre certificado calibración U95=ku(δmc)]])</f>
        <v>19999.088</v>
      </c>
      <c r="U78" s="39"/>
    </row>
    <row r="79" spans="2:63" x14ac:dyDescent="0.3">
      <c r="B79" s="84">
        <v>65</v>
      </c>
      <c r="C79" s="254" t="s">
        <v>524</v>
      </c>
      <c r="D79" s="84" t="s">
        <v>486</v>
      </c>
      <c r="E79" s="253" t="s">
        <v>26</v>
      </c>
      <c r="F79" s="264">
        <v>20000</v>
      </c>
      <c r="G79" s="250">
        <v>-0.104</v>
      </c>
      <c r="H79" s="251">
        <f>tblBD_PatronMasa[[#This Row],[Masa nominal mN]]+tblBD_PatronMasa[[#This Row],[Error certificado calibración δmc]]</f>
        <v>19999.896000000001</v>
      </c>
      <c r="I79" s="250">
        <v>8.7999999999999995E-2</v>
      </c>
      <c r="J79" s="250">
        <f>4*tblBD_PatronMasa[[#This Row],[mpe]]/3</f>
        <v>1.3333333333333333</v>
      </c>
      <c r="K79" s="249">
        <f>tblBD_PatronMasa[[#This Row],[Deriva Dmax=4/3*mpe]]/SQRT(3)</f>
        <v>0.76980035891950105</v>
      </c>
      <c r="L79" s="247"/>
      <c r="M79" s="249">
        <f>INDEX(tolerancia,MATCH(tblBD_PatronMasa[[#This Row],[Masa nominal mN]],Vnominal,0),MATCH(tblBD_PatronMasa[[#This Row],[Clase]],Clases_masas,0))*0.001</f>
        <v>1</v>
      </c>
      <c r="N79" s="248">
        <v>45047</v>
      </c>
      <c r="O79" s="247" t="s">
        <v>494</v>
      </c>
      <c r="P79" s="84" t="s">
        <v>484</v>
      </c>
      <c r="Q79" s="84">
        <f>IFERROR(VLOOKUP(tblBD_PatronMasa[[#This Row],[Material]],tblDensidadPatron[],2,0),0)</f>
        <v>7800</v>
      </c>
      <c r="R79" s="84">
        <f>IFERROR(VLOOKUP(tblBD_PatronMasa[[#This Row],[Material]],tblDensidadPatron[],3,0),0)</f>
        <v>100</v>
      </c>
      <c r="S79" s="84">
        <f>tblBD_PatronMasa[[#This Row],[Masa nominal mN]]+(tblBD_PatronMasa[[#This Row],[mpe]]-tblBD_PatronMasa[[#This Row],[Incertidumbre certificado calibración U95=ku(δmc)]])</f>
        <v>20000.912</v>
      </c>
      <c r="T79" s="84">
        <f>tblBD_PatronMasa[[#This Row],[Masa nominal mN]]-(tblBD_PatronMasa[[#This Row],[mpe]]-tblBD_PatronMasa[[#This Row],[Incertidumbre certificado calibración U95=ku(δmc)]])</f>
        <v>19999.088</v>
      </c>
      <c r="U79" s="39"/>
    </row>
    <row r="80" spans="2:63" x14ac:dyDescent="0.3">
      <c r="B80" s="84">
        <v>66</v>
      </c>
      <c r="C80" s="254" t="s">
        <v>523</v>
      </c>
      <c r="D80" s="84" t="s">
        <v>486</v>
      </c>
      <c r="E80" s="253" t="s">
        <v>26</v>
      </c>
      <c r="F80" s="252">
        <v>20000</v>
      </c>
      <c r="G80" s="250">
        <v>-4.0000000000000001E-3</v>
      </c>
      <c r="H80" s="251">
        <f>tblBD_PatronMasa[[#This Row],[Masa nominal mN]]+tblBD_PatronMasa[[#This Row],[Error certificado calibración δmc]]</f>
        <v>19999.995999999999</v>
      </c>
      <c r="I80" s="250">
        <v>8.7999999999999995E-2</v>
      </c>
      <c r="J80" s="250">
        <f>4*tblBD_PatronMasa[[#This Row],[mpe]]/3</f>
        <v>1.3333333333333333</v>
      </c>
      <c r="K80" s="249">
        <f>tblBD_PatronMasa[[#This Row],[Deriva Dmax=4/3*mpe]]/SQRT(3)</f>
        <v>0.76980035891950105</v>
      </c>
      <c r="L80" s="247"/>
      <c r="M80" s="249">
        <f>INDEX(tolerancia,MATCH(tblBD_PatronMasa[[#This Row],[Masa nominal mN]],Vnominal,0),MATCH(tblBD_PatronMasa[[#This Row],[Clase]],Clases_masas,0))*0.001</f>
        <v>1</v>
      </c>
      <c r="N80" s="248">
        <v>45047</v>
      </c>
      <c r="O80" s="247" t="s">
        <v>494</v>
      </c>
      <c r="P80" s="84" t="s">
        <v>484</v>
      </c>
      <c r="Q80" s="84">
        <f>IFERROR(VLOOKUP(tblBD_PatronMasa[[#This Row],[Material]],tblDensidadPatron[],2,0),0)</f>
        <v>7800</v>
      </c>
      <c r="R80" s="84">
        <f>IFERROR(VLOOKUP(tblBD_PatronMasa[[#This Row],[Material]],tblDensidadPatron[],3,0),0)</f>
        <v>100</v>
      </c>
      <c r="S80" s="84">
        <f>tblBD_PatronMasa[[#This Row],[Masa nominal mN]]+(tblBD_PatronMasa[[#This Row],[mpe]]-tblBD_PatronMasa[[#This Row],[Incertidumbre certificado calibración U95=ku(δmc)]])</f>
        <v>20000.912</v>
      </c>
      <c r="T80" s="84">
        <f>tblBD_PatronMasa[[#This Row],[Masa nominal mN]]-(tblBD_PatronMasa[[#This Row],[mpe]]-tblBD_PatronMasa[[#This Row],[Incertidumbre certificado calibración U95=ku(δmc)]])</f>
        <v>19999.088</v>
      </c>
      <c r="U80" s="39"/>
    </row>
    <row r="81" spans="2:21" x14ac:dyDescent="0.3">
      <c r="B81" s="84">
        <v>67</v>
      </c>
      <c r="C81" s="254" t="s">
        <v>522</v>
      </c>
      <c r="D81" s="84" t="s">
        <v>486</v>
      </c>
      <c r="E81" s="253" t="s">
        <v>26</v>
      </c>
      <c r="F81" s="252">
        <v>20000</v>
      </c>
      <c r="G81" s="250">
        <v>-4.0000000000000001E-3</v>
      </c>
      <c r="H81" s="251">
        <f>tblBD_PatronMasa[[#This Row],[Masa nominal mN]]+tblBD_PatronMasa[[#This Row],[Error certificado calibración δmc]]</f>
        <v>19999.995999999999</v>
      </c>
      <c r="I81" s="250">
        <v>8.7999999999999995E-2</v>
      </c>
      <c r="J81" s="250">
        <f>4*tblBD_PatronMasa[[#This Row],[mpe]]/3</f>
        <v>1.3333333333333333</v>
      </c>
      <c r="K81" s="249">
        <f>tblBD_PatronMasa[[#This Row],[Deriva Dmax=4/3*mpe]]/SQRT(3)</f>
        <v>0.76980035891950105</v>
      </c>
      <c r="L81" s="247"/>
      <c r="M81" s="249">
        <f>INDEX(tolerancia,MATCH(tblBD_PatronMasa[[#This Row],[Masa nominal mN]],Vnominal,0),MATCH(tblBD_PatronMasa[[#This Row],[Clase]],Clases_masas,0))*0.001</f>
        <v>1</v>
      </c>
      <c r="N81" s="248">
        <v>45047</v>
      </c>
      <c r="O81" s="247" t="s">
        <v>494</v>
      </c>
      <c r="P81" s="84" t="s">
        <v>484</v>
      </c>
      <c r="Q81" s="84">
        <f>IFERROR(VLOOKUP(tblBD_PatronMasa[[#This Row],[Material]],tblDensidadPatron[],2,0),0)</f>
        <v>7800</v>
      </c>
      <c r="R81" s="84">
        <f>IFERROR(VLOOKUP(tblBD_PatronMasa[[#This Row],[Material]],tblDensidadPatron[],3,0),0)</f>
        <v>100</v>
      </c>
      <c r="S81" s="84">
        <f>tblBD_PatronMasa[[#This Row],[Masa nominal mN]]+(tblBD_PatronMasa[[#This Row],[mpe]]-tblBD_PatronMasa[[#This Row],[Incertidumbre certificado calibración U95=ku(δmc)]])</f>
        <v>20000.912</v>
      </c>
      <c r="T81" s="84">
        <f>tblBD_PatronMasa[[#This Row],[Masa nominal mN]]-(tblBD_PatronMasa[[#This Row],[mpe]]-tblBD_PatronMasa[[#This Row],[Incertidumbre certificado calibración U95=ku(δmc)]])</f>
        <v>19999.088</v>
      </c>
      <c r="U81" s="39"/>
    </row>
    <row r="82" spans="2:21" x14ac:dyDescent="0.3">
      <c r="B82" s="84">
        <v>68</v>
      </c>
      <c r="C82" s="254" t="s">
        <v>521</v>
      </c>
      <c r="D82" s="84" t="s">
        <v>486</v>
      </c>
      <c r="E82" s="253" t="s">
        <v>26</v>
      </c>
      <c r="F82" s="252">
        <v>20000</v>
      </c>
      <c r="G82" s="250">
        <v>-4.0000000000000001E-3</v>
      </c>
      <c r="H82" s="251">
        <f>tblBD_PatronMasa[[#This Row],[Masa nominal mN]]+tblBD_PatronMasa[[#This Row],[Error certificado calibración δmc]]</f>
        <v>19999.995999999999</v>
      </c>
      <c r="I82" s="250">
        <v>8.7999999999999995E-2</v>
      </c>
      <c r="J82" s="250">
        <f>4*tblBD_PatronMasa[[#This Row],[mpe]]/3</f>
        <v>1.3333333333333333</v>
      </c>
      <c r="K82" s="249">
        <f>tblBD_PatronMasa[[#This Row],[Deriva Dmax=4/3*mpe]]/SQRT(3)</f>
        <v>0.76980035891950105</v>
      </c>
      <c r="L82" s="247"/>
      <c r="M82" s="249">
        <f>INDEX(tolerancia,MATCH(tblBD_PatronMasa[[#This Row],[Masa nominal mN]],Vnominal,0),MATCH(tblBD_PatronMasa[[#This Row],[Clase]],Clases_masas,0))*0.001</f>
        <v>1</v>
      </c>
      <c r="N82" s="248">
        <v>45047</v>
      </c>
      <c r="O82" s="247" t="s">
        <v>494</v>
      </c>
      <c r="P82" s="84" t="s">
        <v>484</v>
      </c>
      <c r="Q82" s="84">
        <f>IFERROR(VLOOKUP(tblBD_PatronMasa[[#This Row],[Material]],tblDensidadPatron[],2,0),0)</f>
        <v>7800</v>
      </c>
      <c r="R82" s="84">
        <f>IFERROR(VLOOKUP(tblBD_PatronMasa[[#This Row],[Material]],tblDensidadPatron[],3,0),0)</f>
        <v>100</v>
      </c>
      <c r="S82" s="84">
        <f>tblBD_PatronMasa[[#This Row],[Masa nominal mN]]+(tblBD_PatronMasa[[#This Row],[mpe]]-tblBD_PatronMasa[[#This Row],[Incertidumbre certificado calibración U95=ku(δmc)]])</f>
        <v>20000.912</v>
      </c>
      <c r="T82" s="84">
        <f>tblBD_PatronMasa[[#This Row],[Masa nominal mN]]-(tblBD_PatronMasa[[#This Row],[mpe]]-tblBD_PatronMasa[[#This Row],[Incertidumbre certificado calibración U95=ku(δmc)]])</f>
        <v>19999.088</v>
      </c>
      <c r="U82" s="39"/>
    </row>
    <row r="83" spans="2:21" x14ac:dyDescent="0.3">
      <c r="B83" s="84">
        <v>69</v>
      </c>
      <c r="C83" s="254" t="s">
        <v>520</v>
      </c>
      <c r="D83" s="84" t="s">
        <v>486</v>
      </c>
      <c r="E83" s="253" t="s">
        <v>26</v>
      </c>
      <c r="F83" s="252">
        <v>20000</v>
      </c>
      <c r="G83" s="250">
        <v>-4.0000000000000001E-3</v>
      </c>
      <c r="H83" s="251">
        <f>tblBD_PatronMasa[[#This Row],[Masa nominal mN]]+tblBD_PatronMasa[[#This Row],[Error certificado calibración δmc]]</f>
        <v>19999.995999999999</v>
      </c>
      <c r="I83" s="250">
        <v>8.7999999999999995E-2</v>
      </c>
      <c r="J83" s="250">
        <f>4*tblBD_PatronMasa[[#This Row],[mpe]]/3</f>
        <v>1.3333333333333333</v>
      </c>
      <c r="K83" s="249">
        <f>tblBD_PatronMasa[[#This Row],[Deriva Dmax=4/3*mpe]]/SQRT(3)</f>
        <v>0.76980035891950105</v>
      </c>
      <c r="L83" s="247"/>
      <c r="M83" s="249">
        <f>INDEX(tolerancia,MATCH(tblBD_PatronMasa[[#This Row],[Masa nominal mN]],Vnominal,0),MATCH(tblBD_PatronMasa[[#This Row],[Clase]],Clases_masas,0))*0.001</f>
        <v>1</v>
      </c>
      <c r="N83" s="248">
        <v>45047</v>
      </c>
      <c r="O83" s="247" t="s">
        <v>494</v>
      </c>
      <c r="P83" s="84" t="s">
        <v>484</v>
      </c>
      <c r="Q83" s="84">
        <f>IFERROR(VLOOKUP(tblBD_PatronMasa[[#This Row],[Material]],tblDensidadPatron[],2,0),0)</f>
        <v>7800</v>
      </c>
      <c r="R83" s="84">
        <f>IFERROR(VLOOKUP(tblBD_PatronMasa[[#This Row],[Material]],tblDensidadPatron[],3,0),0)</f>
        <v>100</v>
      </c>
      <c r="S83" s="84">
        <f>tblBD_PatronMasa[[#This Row],[Masa nominal mN]]+(tblBD_PatronMasa[[#This Row],[mpe]]-tblBD_PatronMasa[[#This Row],[Incertidumbre certificado calibración U95=ku(δmc)]])</f>
        <v>20000.912</v>
      </c>
      <c r="T83" s="84">
        <f>tblBD_PatronMasa[[#This Row],[Masa nominal mN]]-(tblBD_PatronMasa[[#This Row],[mpe]]-tblBD_PatronMasa[[#This Row],[Incertidumbre certificado calibración U95=ku(δmc)]])</f>
        <v>19999.088</v>
      </c>
      <c r="U83" s="39"/>
    </row>
    <row r="84" spans="2:21" x14ac:dyDescent="0.3">
      <c r="B84" s="84">
        <v>70</v>
      </c>
      <c r="C84" s="254" t="s">
        <v>519</v>
      </c>
      <c r="D84" s="84" t="s">
        <v>486</v>
      </c>
      <c r="E84" s="253" t="s">
        <v>26</v>
      </c>
      <c r="F84" s="264">
        <v>20000</v>
      </c>
      <c r="G84" s="250">
        <v>-4.0000000000000001E-3</v>
      </c>
      <c r="H84" s="251">
        <f>tblBD_PatronMasa[[#This Row],[Masa nominal mN]]+tblBD_PatronMasa[[#This Row],[Error certificado calibración δmc]]</f>
        <v>19999.995999999999</v>
      </c>
      <c r="I84" s="250">
        <v>8.7999999999999995E-2</v>
      </c>
      <c r="J84" s="250">
        <f>4*tblBD_PatronMasa[[#This Row],[mpe]]/3</f>
        <v>1.3333333333333333</v>
      </c>
      <c r="K84" s="249">
        <f>tblBD_PatronMasa[[#This Row],[Deriva Dmax=4/3*mpe]]/SQRT(3)</f>
        <v>0.76980035891950105</v>
      </c>
      <c r="L84" s="247"/>
      <c r="M84" s="249">
        <f>INDEX(tolerancia,MATCH(tblBD_PatronMasa[[#This Row],[Masa nominal mN]],Vnominal,0),MATCH(tblBD_PatronMasa[[#This Row],[Clase]],Clases_masas,0))*0.001</f>
        <v>1</v>
      </c>
      <c r="N84" s="248">
        <v>45047</v>
      </c>
      <c r="O84" s="247" t="s">
        <v>494</v>
      </c>
      <c r="P84" s="84" t="s">
        <v>484</v>
      </c>
      <c r="Q84" s="84">
        <f>IFERROR(VLOOKUP(tblBD_PatronMasa[[#This Row],[Material]],tblDensidadPatron[],2,0),0)</f>
        <v>7800</v>
      </c>
      <c r="R84" s="84">
        <f>IFERROR(VLOOKUP(tblBD_PatronMasa[[#This Row],[Material]],tblDensidadPatron[],3,0),0)</f>
        <v>100</v>
      </c>
      <c r="S84" s="84">
        <f>tblBD_PatronMasa[[#This Row],[Masa nominal mN]]+(tblBD_PatronMasa[[#This Row],[mpe]]-tblBD_PatronMasa[[#This Row],[Incertidumbre certificado calibración U95=ku(δmc)]])</f>
        <v>20000.912</v>
      </c>
      <c r="T84" s="84">
        <f>tblBD_PatronMasa[[#This Row],[Masa nominal mN]]-(tblBD_PatronMasa[[#This Row],[mpe]]-tblBD_PatronMasa[[#This Row],[Incertidumbre certificado calibración U95=ku(δmc)]])</f>
        <v>19999.088</v>
      </c>
      <c r="U84" s="39"/>
    </row>
    <row r="85" spans="2:21" x14ac:dyDescent="0.3">
      <c r="B85" s="84">
        <v>71</v>
      </c>
      <c r="C85" s="254" t="s">
        <v>518</v>
      </c>
      <c r="D85" s="84" t="s">
        <v>486</v>
      </c>
      <c r="E85" s="253" t="s">
        <v>26</v>
      </c>
      <c r="F85" s="252">
        <v>20000</v>
      </c>
      <c r="G85" s="250">
        <v>9.6000000000000002E-2</v>
      </c>
      <c r="H85" s="251">
        <f>tblBD_PatronMasa[[#This Row],[Masa nominal mN]]+tblBD_PatronMasa[[#This Row],[Error certificado calibración δmc]]</f>
        <v>20000.096000000001</v>
      </c>
      <c r="I85" s="250">
        <v>8.7999999999999995E-2</v>
      </c>
      <c r="J85" s="250">
        <f>4*tblBD_PatronMasa[[#This Row],[mpe]]/3</f>
        <v>1.3333333333333333</v>
      </c>
      <c r="K85" s="249">
        <f>tblBD_PatronMasa[[#This Row],[Deriva Dmax=4/3*mpe]]/SQRT(3)</f>
        <v>0.76980035891950105</v>
      </c>
      <c r="L85" s="247"/>
      <c r="M85" s="249">
        <f>INDEX(tolerancia,MATCH(tblBD_PatronMasa[[#This Row],[Masa nominal mN]],Vnominal,0),MATCH(tblBD_PatronMasa[[#This Row],[Clase]],Clases_masas,0))*0.001</f>
        <v>1</v>
      </c>
      <c r="N85" s="248">
        <v>45047</v>
      </c>
      <c r="O85" s="247" t="s">
        <v>494</v>
      </c>
      <c r="P85" s="84" t="s">
        <v>484</v>
      </c>
      <c r="Q85" s="84">
        <f>IFERROR(VLOOKUP(tblBD_PatronMasa[[#This Row],[Material]],tblDensidadPatron[],2,0),0)</f>
        <v>7800</v>
      </c>
      <c r="R85" s="84">
        <f>IFERROR(VLOOKUP(tblBD_PatronMasa[[#This Row],[Material]],tblDensidadPatron[],3,0),0)</f>
        <v>100</v>
      </c>
      <c r="S85" s="84">
        <f>tblBD_PatronMasa[[#This Row],[Masa nominal mN]]+(tblBD_PatronMasa[[#This Row],[mpe]]-tblBD_PatronMasa[[#This Row],[Incertidumbre certificado calibración U95=ku(δmc)]])</f>
        <v>20000.912</v>
      </c>
      <c r="T85" s="84">
        <f>tblBD_PatronMasa[[#This Row],[Masa nominal mN]]-(tblBD_PatronMasa[[#This Row],[mpe]]-tblBD_PatronMasa[[#This Row],[Incertidumbre certificado calibración U95=ku(δmc)]])</f>
        <v>19999.088</v>
      </c>
      <c r="U85" s="39"/>
    </row>
    <row r="86" spans="2:21" x14ac:dyDescent="0.3">
      <c r="B86" s="84">
        <v>72</v>
      </c>
      <c r="C86" s="254" t="s">
        <v>517</v>
      </c>
      <c r="D86" s="84" t="s">
        <v>486</v>
      </c>
      <c r="E86" s="253" t="s">
        <v>26</v>
      </c>
      <c r="F86" s="252">
        <v>20000</v>
      </c>
      <c r="G86" s="250">
        <v>-4.0000000000000001E-3</v>
      </c>
      <c r="H86" s="251">
        <f>tblBD_PatronMasa[[#This Row],[Masa nominal mN]]+tblBD_PatronMasa[[#This Row],[Error certificado calibración δmc]]</f>
        <v>19999.995999999999</v>
      </c>
      <c r="I86" s="250">
        <v>8.7999999999999995E-2</v>
      </c>
      <c r="J86" s="250">
        <f>4*tblBD_PatronMasa[[#This Row],[mpe]]/3</f>
        <v>1.3333333333333333</v>
      </c>
      <c r="K86" s="249">
        <f>tblBD_PatronMasa[[#This Row],[Deriva Dmax=4/3*mpe]]/SQRT(3)</f>
        <v>0.76980035891950105</v>
      </c>
      <c r="L86" s="247"/>
      <c r="M86" s="249">
        <f>INDEX(tolerancia,MATCH(tblBD_PatronMasa[[#This Row],[Masa nominal mN]],Vnominal,0),MATCH(tblBD_PatronMasa[[#This Row],[Clase]],Clases_masas,0))*0.001</f>
        <v>1</v>
      </c>
      <c r="N86" s="248">
        <v>45047</v>
      </c>
      <c r="O86" s="247" t="s">
        <v>494</v>
      </c>
      <c r="P86" s="84" t="s">
        <v>484</v>
      </c>
      <c r="Q86" s="84">
        <f>IFERROR(VLOOKUP(tblBD_PatronMasa[[#This Row],[Material]],tblDensidadPatron[],2,0),0)</f>
        <v>7800</v>
      </c>
      <c r="R86" s="84">
        <f>IFERROR(VLOOKUP(tblBD_PatronMasa[[#This Row],[Material]],tblDensidadPatron[],3,0),0)</f>
        <v>100</v>
      </c>
      <c r="S86" s="84">
        <f>tblBD_PatronMasa[[#This Row],[Masa nominal mN]]+(tblBD_PatronMasa[[#This Row],[mpe]]-tblBD_PatronMasa[[#This Row],[Incertidumbre certificado calibración U95=ku(δmc)]])</f>
        <v>20000.912</v>
      </c>
      <c r="T86" s="84">
        <f>tblBD_PatronMasa[[#This Row],[Masa nominal mN]]-(tblBD_PatronMasa[[#This Row],[mpe]]-tblBD_PatronMasa[[#This Row],[Incertidumbre certificado calibración U95=ku(δmc)]])</f>
        <v>19999.088</v>
      </c>
      <c r="U86" s="39"/>
    </row>
    <row r="87" spans="2:21" x14ac:dyDescent="0.3">
      <c r="B87" s="84">
        <v>73</v>
      </c>
      <c r="C87" s="254" t="s">
        <v>516</v>
      </c>
      <c r="D87" s="84" t="s">
        <v>486</v>
      </c>
      <c r="E87" s="253" t="s">
        <v>26</v>
      </c>
      <c r="F87" s="252">
        <v>20000</v>
      </c>
      <c r="G87" s="250">
        <v>-4.0000000000000001E-3</v>
      </c>
      <c r="H87" s="251">
        <f>tblBD_PatronMasa[[#This Row],[Masa nominal mN]]+tblBD_PatronMasa[[#This Row],[Error certificado calibración δmc]]</f>
        <v>19999.995999999999</v>
      </c>
      <c r="I87" s="250">
        <v>8.7999999999999995E-2</v>
      </c>
      <c r="J87" s="250">
        <f>4*tblBD_PatronMasa[[#This Row],[mpe]]/3</f>
        <v>1.3333333333333333</v>
      </c>
      <c r="K87" s="249">
        <f>tblBD_PatronMasa[[#This Row],[Deriva Dmax=4/3*mpe]]/SQRT(3)</f>
        <v>0.76980035891950105</v>
      </c>
      <c r="L87" s="247"/>
      <c r="M87" s="249">
        <f>INDEX(tolerancia,MATCH(tblBD_PatronMasa[[#This Row],[Masa nominal mN]],Vnominal,0),MATCH(tblBD_PatronMasa[[#This Row],[Clase]],Clases_masas,0))*0.001</f>
        <v>1</v>
      </c>
      <c r="N87" s="248">
        <v>45047</v>
      </c>
      <c r="O87" s="247" t="s">
        <v>494</v>
      </c>
      <c r="P87" s="84" t="s">
        <v>484</v>
      </c>
      <c r="Q87" s="84">
        <f>IFERROR(VLOOKUP(tblBD_PatronMasa[[#This Row],[Material]],tblDensidadPatron[],2,0),0)</f>
        <v>7800</v>
      </c>
      <c r="R87" s="84">
        <f>IFERROR(VLOOKUP(tblBD_PatronMasa[[#This Row],[Material]],tblDensidadPatron[],3,0),0)</f>
        <v>100</v>
      </c>
      <c r="S87" s="84">
        <f>tblBD_PatronMasa[[#This Row],[Masa nominal mN]]+(tblBD_PatronMasa[[#This Row],[mpe]]-tblBD_PatronMasa[[#This Row],[Incertidumbre certificado calibración U95=ku(δmc)]])</f>
        <v>20000.912</v>
      </c>
      <c r="T87" s="84">
        <f>tblBD_PatronMasa[[#This Row],[Masa nominal mN]]-(tblBD_PatronMasa[[#This Row],[mpe]]-tblBD_PatronMasa[[#This Row],[Incertidumbre certificado calibración U95=ku(δmc)]])</f>
        <v>19999.088</v>
      </c>
      <c r="U87" s="39"/>
    </row>
    <row r="88" spans="2:21" x14ac:dyDescent="0.3">
      <c r="B88" s="84">
        <v>74</v>
      </c>
      <c r="C88" s="254" t="s">
        <v>515</v>
      </c>
      <c r="D88" s="84" t="s">
        <v>486</v>
      </c>
      <c r="E88" s="253" t="s">
        <v>26</v>
      </c>
      <c r="F88" s="252">
        <v>20000</v>
      </c>
      <c r="G88" s="250">
        <v>-4.0000000000000001E-3</v>
      </c>
      <c r="H88" s="251">
        <f>tblBD_PatronMasa[[#This Row],[Masa nominal mN]]+tblBD_PatronMasa[[#This Row],[Error certificado calibración δmc]]</f>
        <v>19999.995999999999</v>
      </c>
      <c r="I88" s="250">
        <v>8.7999999999999995E-2</v>
      </c>
      <c r="J88" s="250">
        <f>4*tblBD_PatronMasa[[#This Row],[mpe]]/3</f>
        <v>1.3333333333333333</v>
      </c>
      <c r="K88" s="249">
        <f>tblBD_PatronMasa[[#This Row],[Deriva Dmax=4/3*mpe]]/SQRT(3)</f>
        <v>0.76980035891950105</v>
      </c>
      <c r="L88" s="247"/>
      <c r="M88" s="249">
        <f>INDEX(tolerancia,MATCH(tblBD_PatronMasa[[#This Row],[Masa nominal mN]],Vnominal,0),MATCH(tblBD_PatronMasa[[#This Row],[Clase]],Clases_masas,0))*0.001</f>
        <v>1</v>
      </c>
      <c r="N88" s="248">
        <v>45047</v>
      </c>
      <c r="O88" s="247" t="s">
        <v>494</v>
      </c>
      <c r="P88" s="84" t="s">
        <v>484</v>
      </c>
      <c r="Q88" s="84">
        <f>IFERROR(VLOOKUP(tblBD_PatronMasa[[#This Row],[Material]],tblDensidadPatron[],2,0),0)</f>
        <v>7800</v>
      </c>
      <c r="R88" s="84">
        <f>IFERROR(VLOOKUP(tblBD_PatronMasa[[#This Row],[Material]],tblDensidadPatron[],3,0),0)</f>
        <v>100</v>
      </c>
      <c r="S88" s="84">
        <f>tblBD_PatronMasa[[#This Row],[Masa nominal mN]]+(tblBD_PatronMasa[[#This Row],[mpe]]-tblBD_PatronMasa[[#This Row],[Incertidumbre certificado calibración U95=ku(δmc)]])</f>
        <v>20000.912</v>
      </c>
      <c r="T88" s="84">
        <f>tblBD_PatronMasa[[#This Row],[Masa nominal mN]]-(tblBD_PatronMasa[[#This Row],[mpe]]-tblBD_PatronMasa[[#This Row],[Incertidumbre certificado calibración U95=ku(δmc)]])</f>
        <v>19999.088</v>
      </c>
      <c r="U88" s="39"/>
    </row>
    <row r="89" spans="2:21" x14ac:dyDescent="0.3">
      <c r="B89" s="84">
        <v>75</v>
      </c>
      <c r="C89" s="254" t="s">
        <v>514</v>
      </c>
      <c r="D89" s="84" t="s">
        <v>486</v>
      </c>
      <c r="E89" s="253" t="s">
        <v>26</v>
      </c>
      <c r="F89" s="252">
        <v>20000</v>
      </c>
      <c r="G89" s="250">
        <v>-4.0000000000000001E-3</v>
      </c>
      <c r="H89" s="251">
        <f>tblBD_PatronMasa[[#This Row],[Masa nominal mN]]+tblBD_PatronMasa[[#This Row],[Error certificado calibración δmc]]</f>
        <v>19999.995999999999</v>
      </c>
      <c r="I89" s="250">
        <v>8.7999999999999995E-2</v>
      </c>
      <c r="J89" s="250">
        <f>4*tblBD_PatronMasa[[#This Row],[mpe]]/3</f>
        <v>1.3333333333333333</v>
      </c>
      <c r="K89" s="249">
        <f>tblBD_PatronMasa[[#This Row],[Deriva Dmax=4/3*mpe]]/SQRT(3)</f>
        <v>0.76980035891950105</v>
      </c>
      <c r="L89" s="247"/>
      <c r="M89" s="249">
        <f>INDEX(tolerancia,MATCH(tblBD_PatronMasa[[#This Row],[Masa nominal mN]],Vnominal,0),MATCH(tblBD_PatronMasa[[#This Row],[Clase]],Clases_masas,0))*0.001</f>
        <v>1</v>
      </c>
      <c r="N89" s="248">
        <v>45047</v>
      </c>
      <c r="O89" s="247" t="s">
        <v>494</v>
      </c>
      <c r="P89" s="84" t="s">
        <v>484</v>
      </c>
      <c r="Q89" s="84">
        <f>IFERROR(VLOOKUP(tblBD_PatronMasa[[#This Row],[Material]],tblDensidadPatron[],2,0),0)</f>
        <v>7800</v>
      </c>
      <c r="R89" s="84">
        <f>IFERROR(VLOOKUP(tblBD_PatronMasa[[#This Row],[Material]],tblDensidadPatron[],3,0),0)</f>
        <v>100</v>
      </c>
      <c r="S89" s="84">
        <f>tblBD_PatronMasa[[#This Row],[Masa nominal mN]]+(tblBD_PatronMasa[[#This Row],[mpe]]-tblBD_PatronMasa[[#This Row],[Incertidumbre certificado calibración U95=ku(δmc)]])</f>
        <v>20000.912</v>
      </c>
      <c r="T89" s="84">
        <f>tblBD_PatronMasa[[#This Row],[Masa nominal mN]]-(tblBD_PatronMasa[[#This Row],[mpe]]-tblBD_PatronMasa[[#This Row],[Incertidumbre certificado calibración U95=ku(δmc)]])</f>
        <v>19999.088</v>
      </c>
      <c r="U89" s="39"/>
    </row>
    <row r="90" spans="2:21" x14ac:dyDescent="0.3">
      <c r="B90" s="84">
        <v>76</v>
      </c>
      <c r="C90" s="254" t="s">
        <v>513</v>
      </c>
      <c r="D90" s="84" t="s">
        <v>486</v>
      </c>
      <c r="E90" s="253" t="s">
        <v>26</v>
      </c>
      <c r="F90" s="252">
        <v>20000</v>
      </c>
      <c r="G90" s="250">
        <v>-4.0000000000000001E-3</v>
      </c>
      <c r="H90" s="251">
        <f>tblBD_PatronMasa[[#This Row],[Masa nominal mN]]+tblBD_PatronMasa[[#This Row],[Error certificado calibración δmc]]</f>
        <v>19999.995999999999</v>
      </c>
      <c r="I90" s="250">
        <v>8.7999999999999995E-2</v>
      </c>
      <c r="J90" s="250">
        <f>4*tblBD_PatronMasa[[#This Row],[mpe]]/3</f>
        <v>1.3333333333333333</v>
      </c>
      <c r="K90" s="249">
        <f>tblBD_PatronMasa[[#This Row],[Deriva Dmax=4/3*mpe]]/SQRT(3)</f>
        <v>0.76980035891950105</v>
      </c>
      <c r="L90" s="247"/>
      <c r="M90" s="249">
        <f>INDEX(tolerancia,MATCH(tblBD_PatronMasa[[#This Row],[Masa nominal mN]],Vnominal,0),MATCH(tblBD_PatronMasa[[#This Row],[Clase]],Clases_masas,0))*0.001</f>
        <v>1</v>
      </c>
      <c r="N90" s="248">
        <v>45047</v>
      </c>
      <c r="O90" s="247" t="s">
        <v>494</v>
      </c>
      <c r="P90" s="84" t="s">
        <v>484</v>
      </c>
      <c r="Q90" s="84">
        <f>IFERROR(VLOOKUP(tblBD_PatronMasa[[#This Row],[Material]],tblDensidadPatron[],2,0),0)</f>
        <v>7800</v>
      </c>
      <c r="R90" s="84">
        <f>IFERROR(VLOOKUP(tblBD_PatronMasa[[#This Row],[Material]],tblDensidadPatron[],3,0),0)</f>
        <v>100</v>
      </c>
      <c r="S90" s="84">
        <f>tblBD_PatronMasa[[#This Row],[Masa nominal mN]]+(tblBD_PatronMasa[[#This Row],[mpe]]-tblBD_PatronMasa[[#This Row],[Incertidumbre certificado calibración U95=ku(δmc)]])</f>
        <v>20000.912</v>
      </c>
      <c r="T90" s="84">
        <f>tblBD_PatronMasa[[#This Row],[Masa nominal mN]]-(tblBD_PatronMasa[[#This Row],[mpe]]-tblBD_PatronMasa[[#This Row],[Incertidumbre certificado calibración U95=ku(δmc)]])</f>
        <v>19999.088</v>
      </c>
      <c r="U90" s="39"/>
    </row>
    <row r="91" spans="2:21" x14ac:dyDescent="0.3">
      <c r="B91" s="84">
        <v>77</v>
      </c>
      <c r="C91" s="254" t="s">
        <v>512</v>
      </c>
      <c r="D91" s="84" t="s">
        <v>486</v>
      </c>
      <c r="E91" s="253" t="s">
        <v>26</v>
      </c>
      <c r="F91" s="252">
        <v>20000</v>
      </c>
      <c r="G91" s="250">
        <v>-4.0000000000000001E-3</v>
      </c>
      <c r="H91" s="251">
        <f>tblBD_PatronMasa[[#This Row],[Masa nominal mN]]+tblBD_PatronMasa[[#This Row],[Error certificado calibración δmc]]</f>
        <v>19999.995999999999</v>
      </c>
      <c r="I91" s="250">
        <v>8.7999999999999995E-2</v>
      </c>
      <c r="J91" s="250">
        <f>4*tblBD_PatronMasa[[#This Row],[mpe]]/3</f>
        <v>1.3333333333333333</v>
      </c>
      <c r="K91" s="249">
        <f>tblBD_PatronMasa[[#This Row],[Deriva Dmax=4/3*mpe]]/SQRT(3)</f>
        <v>0.76980035891950105</v>
      </c>
      <c r="L91" s="247"/>
      <c r="M91" s="249">
        <f>INDEX(tolerancia,MATCH(tblBD_PatronMasa[[#This Row],[Masa nominal mN]],Vnominal,0),MATCH(tblBD_PatronMasa[[#This Row],[Clase]],Clases_masas,0))*0.001</f>
        <v>1</v>
      </c>
      <c r="N91" s="248">
        <v>45047</v>
      </c>
      <c r="O91" s="247" t="s">
        <v>494</v>
      </c>
      <c r="P91" s="84" t="s">
        <v>484</v>
      </c>
      <c r="Q91" s="84">
        <f>IFERROR(VLOOKUP(tblBD_PatronMasa[[#This Row],[Material]],tblDensidadPatron[],2,0),0)</f>
        <v>7800</v>
      </c>
      <c r="R91" s="84">
        <f>IFERROR(VLOOKUP(tblBD_PatronMasa[[#This Row],[Material]],tblDensidadPatron[],3,0),0)</f>
        <v>100</v>
      </c>
      <c r="S91" s="84">
        <f>tblBD_PatronMasa[[#This Row],[Masa nominal mN]]+(tblBD_PatronMasa[[#This Row],[mpe]]-tblBD_PatronMasa[[#This Row],[Incertidumbre certificado calibración U95=ku(δmc)]])</f>
        <v>20000.912</v>
      </c>
      <c r="T91" s="84">
        <f>tblBD_PatronMasa[[#This Row],[Masa nominal mN]]-(tblBD_PatronMasa[[#This Row],[mpe]]-tblBD_PatronMasa[[#This Row],[Incertidumbre certificado calibración U95=ku(δmc)]])</f>
        <v>19999.088</v>
      </c>
      <c r="U91" s="39"/>
    </row>
    <row r="92" spans="2:21" x14ac:dyDescent="0.3">
      <c r="B92" s="84">
        <v>78</v>
      </c>
      <c r="C92" s="254" t="s">
        <v>511</v>
      </c>
      <c r="D92" s="84" t="s">
        <v>486</v>
      </c>
      <c r="E92" s="253" t="s">
        <v>26</v>
      </c>
      <c r="F92" s="252">
        <v>20000</v>
      </c>
      <c r="G92" s="250">
        <v>-4.0000000000000001E-3</v>
      </c>
      <c r="H92" s="251">
        <f>tblBD_PatronMasa[[#This Row],[Masa nominal mN]]+tblBD_PatronMasa[[#This Row],[Error certificado calibración δmc]]</f>
        <v>19999.995999999999</v>
      </c>
      <c r="I92" s="250">
        <v>8.7999999999999995E-2</v>
      </c>
      <c r="J92" s="250">
        <f>4*tblBD_PatronMasa[[#This Row],[mpe]]/3</f>
        <v>1.3333333333333333</v>
      </c>
      <c r="K92" s="249">
        <f>tblBD_PatronMasa[[#This Row],[Deriva Dmax=4/3*mpe]]/SQRT(3)</f>
        <v>0.76980035891950105</v>
      </c>
      <c r="L92" s="247"/>
      <c r="M92" s="249">
        <f>INDEX(tolerancia,MATCH(tblBD_PatronMasa[[#This Row],[Masa nominal mN]],Vnominal,0),MATCH(tblBD_PatronMasa[[#This Row],[Clase]],Clases_masas,0))*0.001</f>
        <v>1</v>
      </c>
      <c r="N92" s="248">
        <v>45047</v>
      </c>
      <c r="O92" s="247" t="s">
        <v>494</v>
      </c>
      <c r="P92" s="84" t="s">
        <v>484</v>
      </c>
      <c r="Q92" s="84">
        <f>IFERROR(VLOOKUP(tblBD_PatronMasa[[#This Row],[Material]],tblDensidadPatron[],2,0),0)</f>
        <v>7800</v>
      </c>
      <c r="R92" s="84">
        <f>IFERROR(VLOOKUP(tblBD_PatronMasa[[#This Row],[Material]],tblDensidadPatron[],3,0),0)</f>
        <v>100</v>
      </c>
      <c r="S92" s="84">
        <f>tblBD_PatronMasa[[#This Row],[Masa nominal mN]]+(tblBD_PatronMasa[[#This Row],[mpe]]-tblBD_PatronMasa[[#This Row],[Incertidumbre certificado calibración U95=ku(δmc)]])</f>
        <v>20000.912</v>
      </c>
      <c r="T92" s="84">
        <f>tblBD_PatronMasa[[#This Row],[Masa nominal mN]]-(tblBD_PatronMasa[[#This Row],[mpe]]-tblBD_PatronMasa[[#This Row],[Incertidumbre certificado calibración U95=ku(δmc)]])</f>
        <v>19999.088</v>
      </c>
      <c r="U92" s="39"/>
    </row>
    <row r="93" spans="2:21" x14ac:dyDescent="0.3">
      <c r="B93" s="84">
        <v>79</v>
      </c>
      <c r="C93" s="254" t="s">
        <v>510</v>
      </c>
      <c r="D93" s="84" t="s">
        <v>486</v>
      </c>
      <c r="E93" s="253" t="s">
        <v>26</v>
      </c>
      <c r="F93" s="252">
        <v>20000</v>
      </c>
      <c r="G93" s="250">
        <v>-4.0000000000000001E-3</v>
      </c>
      <c r="H93" s="251">
        <f>tblBD_PatronMasa[[#This Row],[Masa nominal mN]]+tblBD_PatronMasa[[#This Row],[Error certificado calibración δmc]]</f>
        <v>19999.995999999999</v>
      </c>
      <c r="I93" s="250">
        <v>8.7999999999999995E-2</v>
      </c>
      <c r="J93" s="250">
        <f>4*tblBD_PatronMasa[[#This Row],[mpe]]/3</f>
        <v>1.3333333333333333</v>
      </c>
      <c r="K93" s="249">
        <f>tblBD_PatronMasa[[#This Row],[Deriva Dmax=4/3*mpe]]/SQRT(3)</f>
        <v>0.76980035891950105</v>
      </c>
      <c r="L93" s="247"/>
      <c r="M93" s="249">
        <f>INDEX(tolerancia,MATCH(tblBD_PatronMasa[[#This Row],[Masa nominal mN]],Vnominal,0),MATCH(tblBD_PatronMasa[[#This Row],[Clase]],Clases_masas,0))*0.001</f>
        <v>1</v>
      </c>
      <c r="N93" s="248">
        <v>45047</v>
      </c>
      <c r="O93" s="247" t="s">
        <v>494</v>
      </c>
      <c r="P93" s="84" t="s">
        <v>484</v>
      </c>
      <c r="Q93" s="84">
        <f>IFERROR(VLOOKUP(tblBD_PatronMasa[[#This Row],[Material]],tblDensidadPatron[],2,0),0)</f>
        <v>7800</v>
      </c>
      <c r="R93" s="84">
        <f>IFERROR(VLOOKUP(tblBD_PatronMasa[[#This Row],[Material]],tblDensidadPatron[],3,0),0)</f>
        <v>100</v>
      </c>
      <c r="S93" s="84">
        <f>tblBD_PatronMasa[[#This Row],[Masa nominal mN]]+(tblBD_PatronMasa[[#This Row],[mpe]]-tblBD_PatronMasa[[#This Row],[Incertidumbre certificado calibración U95=ku(δmc)]])</f>
        <v>20000.912</v>
      </c>
      <c r="T93" s="84">
        <f>tblBD_PatronMasa[[#This Row],[Masa nominal mN]]-(tblBD_PatronMasa[[#This Row],[mpe]]-tblBD_PatronMasa[[#This Row],[Incertidumbre certificado calibración U95=ku(δmc)]])</f>
        <v>19999.088</v>
      </c>
      <c r="U93" s="39"/>
    </row>
    <row r="94" spans="2:21" x14ac:dyDescent="0.3">
      <c r="B94" s="84">
        <v>80</v>
      </c>
      <c r="C94" s="254" t="s">
        <v>509</v>
      </c>
      <c r="D94" s="84" t="s">
        <v>486</v>
      </c>
      <c r="E94" s="253" t="s">
        <v>26</v>
      </c>
      <c r="F94" s="252">
        <v>20000</v>
      </c>
      <c r="G94" s="250">
        <v>-4.0000000000000001E-3</v>
      </c>
      <c r="H94" s="251">
        <f>tblBD_PatronMasa[[#This Row],[Masa nominal mN]]+tblBD_PatronMasa[[#This Row],[Error certificado calibración δmc]]</f>
        <v>19999.995999999999</v>
      </c>
      <c r="I94" s="250">
        <v>8.7999999999999995E-2</v>
      </c>
      <c r="J94" s="250">
        <f>4*tblBD_PatronMasa[[#This Row],[mpe]]/3</f>
        <v>1.3333333333333333</v>
      </c>
      <c r="K94" s="249">
        <f>tblBD_PatronMasa[[#This Row],[Deriva Dmax=4/3*mpe]]/SQRT(3)</f>
        <v>0.76980035891950105</v>
      </c>
      <c r="L94" s="247"/>
      <c r="M94" s="249">
        <f>INDEX(tolerancia,MATCH(tblBD_PatronMasa[[#This Row],[Masa nominal mN]],Vnominal,0),MATCH(tblBD_PatronMasa[[#This Row],[Clase]],Clases_masas,0))*0.001</f>
        <v>1</v>
      </c>
      <c r="N94" s="248">
        <v>45047</v>
      </c>
      <c r="O94" s="247" t="s">
        <v>494</v>
      </c>
      <c r="P94" s="84" t="s">
        <v>484</v>
      </c>
      <c r="Q94" s="84">
        <f>IFERROR(VLOOKUP(tblBD_PatronMasa[[#This Row],[Material]],tblDensidadPatron[],2,0),0)</f>
        <v>7800</v>
      </c>
      <c r="R94" s="84">
        <f>IFERROR(VLOOKUP(tblBD_PatronMasa[[#This Row],[Material]],tblDensidadPatron[],3,0),0)</f>
        <v>100</v>
      </c>
      <c r="S94" s="84">
        <f>tblBD_PatronMasa[[#This Row],[Masa nominal mN]]+(tblBD_PatronMasa[[#This Row],[mpe]]-tblBD_PatronMasa[[#This Row],[Incertidumbre certificado calibración U95=ku(δmc)]])</f>
        <v>20000.912</v>
      </c>
      <c r="T94" s="84">
        <f>tblBD_PatronMasa[[#This Row],[Masa nominal mN]]-(tblBD_PatronMasa[[#This Row],[mpe]]-tblBD_PatronMasa[[#This Row],[Incertidumbre certificado calibración U95=ku(δmc)]])</f>
        <v>19999.088</v>
      </c>
      <c r="U94" s="39"/>
    </row>
    <row r="95" spans="2:21" x14ac:dyDescent="0.3">
      <c r="B95" s="84">
        <v>81</v>
      </c>
      <c r="C95" s="254" t="s">
        <v>508</v>
      </c>
      <c r="D95" s="84" t="s">
        <v>486</v>
      </c>
      <c r="E95" s="253" t="s">
        <v>26</v>
      </c>
      <c r="F95" s="252">
        <v>20000</v>
      </c>
      <c r="G95" s="250">
        <v>-4.0000000000000001E-3</v>
      </c>
      <c r="H95" s="251">
        <f>tblBD_PatronMasa[[#This Row],[Masa nominal mN]]+tblBD_PatronMasa[[#This Row],[Error certificado calibración δmc]]</f>
        <v>19999.995999999999</v>
      </c>
      <c r="I95" s="250">
        <v>8.7999999999999995E-2</v>
      </c>
      <c r="J95" s="250">
        <f>4*tblBD_PatronMasa[[#This Row],[mpe]]/3</f>
        <v>1.3333333333333333</v>
      </c>
      <c r="K95" s="249">
        <f>tblBD_PatronMasa[[#This Row],[Deriva Dmax=4/3*mpe]]/SQRT(3)</f>
        <v>0.76980035891950105</v>
      </c>
      <c r="L95" s="247"/>
      <c r="M95" s="249">
        <f>INDEX(tolerancia,MATCH(tblBD_PatronMasa[[#This Row],[Masa nominal mN]],Vnominal,0),MATCH(tblBD_PatronMasa[[#This Row],[Clase]],Clases_masas,0))*0.001</f>
        <v>1</v>
      </c>
      <c r="N95" s="248">
        <v>45047</v>
      </c>
      <c r="O95" s="247" t="s">
        <v>494</v>
      </c>
      <c r="P95" s="84" t="s">
        <v>484</v>
      </c>
      <c r="Q95" s="84">
        <f>IFERROR(VLOOKUP(tblBD_PatronMasa[[#This Row],[Material]],tblDensidadPatron[],2,0),0)</f>
        <v>7800</v>
      </c>
      <c r="R95" s="84">
        <f>IFERROR(VLOOKUP(tblBD_PatronMasa[[#This Row],[Material]],tblDensidadPatron[],3,0),0)</f>
        <v>100</v>
      </c>
      <c r="S95" s="84">
        <f>tblBD_PatronMasa[[#This Row],[Masa nominal mN]]+(tblBD_PatronMasa[[#This Row],[mpe]]-tblBD_PatronMasa[[#This Row],[Incertidumbre certificado calibración U95=ku(δmc)]])</f>
        <v>20000.912</v>
      </c>
      <c r="T95" s="84">
        <f>tblBD_PatronMasa[[#This Row],[Masa nominal mN]]-(tblBD_PatronMasa[[#This Row],[mpe]]-tblBD_PatronMasa[[#This Row],[Incertidumbre certificado calibración U95=ku(δmc)]])</f>
        <v>19999.088</v>
      </c>
      <c r="U95" s="39"/>
    </row>
    <row r="96" spans="2:21" x14ac:dyDescent="0.3">
      <c r="B96" s="84">
        <v>82</v>
      </c>
      <c r="C96" s="254" t="s">
        <v>507</v>
      </c>
      <c r="D96" s="84" t="s">
        <v>486</v>
      </c>
      <c r="E96" s="253" t="s">
        <v>26</v>
      </c>
      <c r="F96" s="252">
        <v>20000</v>
      </c>
      <c r="G96" s="250">
        <v>9.6000000000000002E-2</v>
      </c>
      <c r="H96" s="251">
        <f>tblBD_PatronMasa[[#This Row],[Masa nominal mN]]+tblBD_PatronMasa[[#This Row],[Error certificado calibración δmc]]</f>
        <v>20000.096000000001</v>
      </c>
      <c r="I96" s="250">
        <v>8.7999999999999995E-2</v>
      </c>
      <c r="J96" s="250">
        <f>4*tblBD_PatronMasa[[#This Row],[mpe]]/3</f>
        <v>1.3333333333333333</v>
      </c>
      <c r="K96" s="249">
        <f>tblBD_PatronMasa[[#This Row],[Deriva Dmax=4/3*mpe]]/SQRT(3)</f>
        <v>0.76980035891950105</v>
      </c>
      <c r="L96" s="247"/>
      <c r="M96" s="249">
        <f>INDEX(tolerancia,MATCH(tblBD_PatronMasa[[#This Row],[Masa nominal mN]],Vnominal,0),MATCH(tblBD_PatronMasa[[#This Row],[Clase]],Clases_masas,0))*0.001</f>
        <v>1</v>
      </c>
      <c r="N96" s="248">
        <v>45047</v>
      </c>
      <c r="O96" s="247" t="s">
        <v>494</v>
      </c>
      <c r="P96" s="84" t="s">
        <v>484</v>
      </c>
      <c r="Q96" s="84">
        <f>IFERROR(VLOOKUP(tblBD_PatronMasa[[#This Row],[Material]],tblDensidadPatron[],2,0),0)</f>
        <v>7800</v>
      </c>
      <c r="R96" s="84">
        <f>IFERROR(VLOOKUP(tblBD_PatronMasa[[#This Row],[Material]],tblDensidadPatron[],3,0),0)</f>
        <v>100</v>
      </c>
      <c r="S96" s="84">
        <f>tblBD_PatronMasa[[#This Row],[Masa nominal mN]]+(tblBD_PatronMasa[[#This Row],[mpe]]-tblBD_PatronMasa[[#This Row],[Incertidumbre certificado calibración U95=ku(δmc)]])</f>
        <v>20000.912</v>
      </c>
      <c r="T96" s="84">
        <f>tblBD_PatronMasa[[#This Row],[Masa nominal mN]]-(tblBD_PatronMasa[[#This Row],[mpe]]-tblBD_PatronMasa[[#This Row],[Incertidumbre certificado calibración U95=ku(δmc)]])</f>
        <v>19999.088</v>
      </c>
      <c r="U96" s="39"/>
    </row>
    <row r="97" spans="2:83" x14ac:dyDescent="0.3">
      <c r="B97" s="84">
        <v>83</v>
      </c>
      <c r="C97" s="254" t="s">
        <v>506</v>
      </c>
      <c r="D97" s="84" t="s">
        <v>486</v>
      </c>
      <c r="E97" s="253" t="s">
        <v>26</v>
      </c>
      <c r="F97" s="252">
        <v>20000</v>
      </c>
      <c r="G97" s="250">
        <v>-4.0000000000000001E-3</v>
      </c>
      <c r="H97" s="251">
        <f>tblBD_PatronMasa[[#This Row],[Masa nominal mN]]+tblBD_PatronMasa[[#This Row],[Error certificado calibración δmc]]</f>
        <v>19999.995999999999</v>
      </c>
      <c r="I97" s="250">
        <v>8.7999999999999995E-2</v>
      </c>
      <c r="J97" s="250">
        <f>4*tblBD_PatronMasa[[#This Row],[mpe]]/3</f>
        <v>1.3333333333333333</v>
      </c>
      <c r="K97" s="249">
        <f>tblBD_PatronMasa[[#This Row],[Deriva Dmax=4/3*mpe]]/SQRT(3)</f>
        <v>0.76980035891950105</v>
      </c>
      <c r="L97" s="247"/>
      <c r="M97" s="249">
        <f>INDEX(tolerancia,MATCH(tblBD_PatronMasa[[#This Row],[Masa nominal mN]],Vnominal,0),MATCH(tblBD_PatronMasa[[#This Row],[Clase]],Clases_masas,0))*0.001</f>
        <v>1</v>
      </c>
      <c r="N97" s="248">
        <v>45047</v>
      </c>
      <c r="O97" s="247" t="s">
        <v>494</v>
      </c>
      <c r="P97" s="84" t="s">
        <v>484</v>
      </c>
      <c r="Q97" s="84">
        <f>IFERROR(VLOOKUP(tblBD_PatronMasa[[#This Row],[Material]],tblDensidadPatron[],2,0),0)</f>
        <v>7800</v>
      </c>
      <c r="R97" s="84">
        <f>IFERROR(VLOOKUP(tblBD_PatronMasa[[#This Row],[Material]],tblDensidadPatron[],3,0),0)</f>
        <v>100</v>
      </c>
      <c r="S97" s="84">
        <f>tblBD_PatronMasa[[#This Row],[Masa nominal mN]]+(tblBD_PatronMasa[[#This Row],[mpe]]-tblBD_PatronMasa[[#This Row],[Incertidumbre certificado calibración U95=ku(δmc)]])</f>
        <v>20000.912</v>
      </c>
      <c r="T97" s="84">
        <f>tblBD_PatronMasa[[#This Row],[Masa nominal mN]]-(tblBD_PatronMasa[[#This Row],[mpe]]-tblBD_PatronMasa[[#This Row],[Incertidumbre certificado calibración U95=ku(δmc)]])</f>
        <v>19999.088</v>
      </c>
      <c r="U97" s="39"/>
    </row>
    <row r="98" spans="2:83" x14ac:dyDescent="0.3">
      <c r="B98" s="84">
        <v>84</v>
      </c>
      <c r="C98" s="254" t="s">
        <v>505</v>
      </c>
      <c r="D98" s="84" t="s">
        <v>486</v>
      </c>
      <c r="E98" s="253" t="s">
        <v>26</v>
      </c>
      <c r="F98" s="252">
        <v>20000</v>
      </c>
      <c r="G98" s="250">
        <v>9.6000000000000002E-2</v>
      </c>
      <c r="H98" s="251">
        <f>tblBD_PatronMasa[[#This Row],[Masa nominal mN]]+tblBD_PatronMasa[[#This Row],[Error certificado calibración δmc]]</f>
        <v>20000.096000000001</v>
      </c>
      <c r="I98" s="250">
        <v>8.7999999999999995E-2</v>
      </c>
      <c r="J98" s="250">
        <f>4*tblBD_PatronMasa[[#This Row],[mpe]]/3</f>
        <v>1.3333333333333333</v>
      </c>
      <c r="K98" s="249">
        <f>tblBD_PatronMasa[[#This Row],[Deriva Dmax=4/3*mpe]]/SQRT(3)</f>
        <v>0.76980035891950105</v>
      </c>
      <c r="L98" s="247"/>
      <c r="M98" s="249">
        <f>INDEX(tolerancia,MATCH(tblBD_PatronMasa[[#This Row],[Masa nominal mN]],Vnominal,0),MATCH(tblBD_PatronMasa[[#This Row],[Clase]],Clases_masas,0))*0.001</f>
        <v>1</v>
      </c>
      <c r="N98" s="248">
        <v>45047</v>
      </c>
      <c r="O98" s="247" t="s">
        <v>494</v>
      </c>
      <c r="P98" s="84" t="s">
        <v>484</v>
      </c>
      <c r="Q98" s="84">
        <f>IFERROR(VLOOKUP(tblBD_PatronMasa[[#This Row],[Material]],tblDensidadPatron[],2,0),0)</f>
        <v>7800</v>
      </c>
      <c r="R98" s="84">
        <f>IFERROR(VLOOKUP(tblBD_PatronMasa[[#This Row],[Material]],tblDensidadPatron[],3,0),0)</f>
        <v>100</v>
      </c>
      <c r="S98" s="84">
        <f>tblBD_PatronMasa[[#This Row],[Masa nominal mN]]+(tblBD_PatronMasa[[#This Row],[mpe]]-tblBD_PatronMasa[[#This Row],[Incertidumbre certificado calibración U95=ku(δmc)]])</f>
        <v>20000.912</v>
      </c>
      <c r="T98" s="84">
        <f>tblBD_PatronMasa[[#This Row],[Masa nominal mN]]-(tblBD_PatronMasa[[#This Row],[mpe]]-tblBD_PatronMasa[[#This Row],[Incertidumbre certificado calibración U95=ku(δmc)]])</f>
        <v>19999.088</v>
      </c>
      <c r="U98" s="39"/>
    </row>
    <row r="99" spans="2:83" x14ac:dyDescent="0.3">
      <c r="B99" s="84">
        <v>85</v>
      </c>
      <c r="C99" s="254" t="s">
        <v>504</v>
      </c>
      <c r="D99" s="84" t="s">
        <v>486</v>
      </c>
      <c r="E99" s="253" t="s">
        <v>26</v>
      </c>
      <c r="F99" s="252">
        <v>20000</v>
      </c>
      <c r="G99" s="250">
        <v>-0.104</v>
      </c>
      <c r="H99" s="251">
        <f>tblBD_PatronMasa[[#This Row],[Masa nominal mN]]+tblBD_PatronMasa[[#This Row],[Error certificado calibración δmc]]</f>
        <v>19999.896000000001</v>
      </c>
      <c r="I99" s="250">
        <v>8.7999999999999995E-2</v>
      </c>
      <c r="J99" s="250">
        <f>4*tblBD_PatronMasa[[#This Row],[mpe]]/3</f>
        <v>1.3333333333333333</v>
      </c>
      <c r="K99" s="249">
        <f>tblBD_PatronMasa[[#This Row],[Deriva Dmax=4/3*mpe]]/SQRT(3)</f>
        <v>0.76980035891950105</v>
      </c>
      <c r="L99" s="247"/>
      <c r="M99" s="249">
        <f>INDEX(tolerancia,MATCH(tblBD_PatronMasa[[#This Row],[Masa nominal mN]],Vnominal,0),MATCH(tblBD_PatronMasa[[#This Row],[Clase]],Clases_masas,0))*0.001</f>
        <v>1</v>
      </c>
      <c r="N99" s="248">
        <v>45047</v>
      </c>
      <c r="O99" s="247" t="s">
        <v>494</v>
      </c>
      <c r="P99" s="84" t="s">
        <v>484</v>
      </c>
      <c r="Q99" s="84">
        <f>IFERROR(VLOOKUP(tblBD_PatronMasa[[#This Row],[Material]],tblDensidadPatron[],2,0),0)</f>
        <v>7800</v>
      </c>
      <c r="R99" s="84">
        <f>IFERROR(VLOOKUP(tblBD_PatronMasa[[#This Row],[Material]],tblDensidadPatron[],3,0),0)</f>
        <v>100</v>
      </c>
      <c r="S99" s="84">
        <f>tblBD_PatronMasa[[#This Row],[Masa nominal mN]]+(tblBD_PatronMasa[[#This Row],[mpe]]-tblBD_PatronMasa[[#This Row],[Incertidumbre certificado calibración U95=ku(δmc)]])</f>
        <v>20000.912</v>
      </c>
      <c r="T99" s="84">
        <f>tblBD_PatronMasa[[#This Row],[Masa nominal mN]]-(tblBD_PatronMasa[[#This Row],[mpe]]-tblBD_PatronMasa[[#This Row],[Incertidumbre certificado calibración U95=ku(δmc)]])</f>
        <v>19999.088</v>
      </c>
      <c r="U99" s="39"/>
    </row>
    <row r="100" spans="2:83" x14ac:dyDescent="0.3">
      <c r="B100" s="84">
        <v>86</v>
      </c>
      <c r="C100" s="254" t="s">
        <v>503</v>
      </c>
      <c r="D100" s="84" t="s">
        <v>486</v>
      </c>
      <c r="E100" s="253" t="s">
        <v>26</v>
      </c>
      <c r="F100" s="252">
        <v>20000</v>
      </c>
      <c r="G100" s="250">
        <v>-4.0000000000000001E-3</v>
      </c>
      <c r="H100" s="251">
        <f>tblBD_PatronMasa[[#This Row],[Masa nominal mN]]+tblBD_PatronMasa[[#This Row],[Error certificado calibración δmc]]</f>
        <v>19999.995999999999</v>
      </c>
      <c r="I100" s="250">
        <v>8.7999999999999995E-2</v>
      </c>
      <c r="J100" s="250">
        <f>4*tblBD_PatronMasa[[#This Row],[mpe]]/3</f>
        <v>1.3333333333333333</v>
      </c>
      <c r="K100" s="249">
        <f>tblBD_PatronMasa[[#This Row],[Deriva Dmax=4/3*mpe]]/SQRT(3)</f>
        <v>0.76980035891950105</v>
      </c>
      <c r="L100" s="247"/>
      <c r="M100" s="249">
        <f>INDEX(tolerancia,MATCH(tblBD_PatronMasa[[#This Row],[Masa nominal mN]],Vnominal,0),MATCH(tblBD_PatronMasa[[#This Row],[Clase]],Clases_masas,0))*0.001</f>
        <v>1</v>
      </c>
      <c r="N100" s="248">
        <v>45047</v>
      </c>
      <c r="O100" s="247" t="s">
        <v>494</v>
      </c>
      <c r="P100" s="84" t="s">
        <v>484</v>
      </c>
      <c r="Q100" s="84">
        <f>IFERROR(VLOOKUP(tblBD_PatronMasa[[#This Row],[Material]],tblDensidadPatron[],2,0),0)</f>
        <v>7800</v>
      </c>
      <c r="R100" s="84">
        <f>IFERROR(VLOOKUP(tblBD_PatronMasa[[#This Row],[Material]],tblDensidadPatron[],3,0),0)</f>
        <v>100</v>
      </c>
      <c r="S100" s="84">
        <f>tblBD_PatronMasa[[#This Row],[Masa nominal mN]]+(tblBD_PatronMasa[[#This Row],[mpe]]-tblBD_PatronMasa[[#This Row],[Incertidumbre certificado calibración U95=ku(δmc)]])</f>
        <v>20000.912</v>
      </c>
      <c r="T100" s="84">
        <f>tblBD_PatronMasa[[#This Row],[Masa nominal mN]]-(tblBD_PatronMasa[[#This Row],[mpe]]-tblBD_PatronMasa[[#This Row],[Incertidumbre certificado calibración U95=ku(δmc)]])</f>
        <v>19999.088</v>
      </c>
      <c r="U100" s="39"/>
    </row>
    <row r="101" spans="2:83" x14ac:dyDescent="0.3">
      <c r="B101" s="84">
        <v>87</v>
      </c>
      <c r="C101" s="254" t="s">
        <v>502</v>
      </c>
      <c r="D101" s="84" t="s">
        <v>486</v>
      </c>
      <c r="E101" s="253" t="s">
        <v>26</v>
      </c>
      <c r="F101" s="252">
        <v>20000</v>
      </c>
      <c r="G101" s="250">
        <v>9.6000000000000002E-2</v>
      </c>
      <c r="H101" s="251">
        <f>tblBD_PatronMasa[[#This Row],[Masa nominal mN]]+tblBD_PatronMasa[[#This Row],[Error certificado calibración δmc]]</f>
        <v>20000.096000000001</v>
      </c>
      <c r="I101" s="250">
        <v>8.7999999999999995E-2</v>
      </c>
      <c r="J101" s="250">
        <f>4*tblBD_PatronMasa[[#This Row],[mpe]]/3</f>
        <v>1.3333333333333333</v>
      </c>
      <c r="K101" s="249">
        <f>tblBD_PatronMasa[[#This Row],[Deriva Dmax=4/3*mpe]]/SQRT(3)</f>
        <v>0.76980035891950105</v>
      </c>
      <c r="L101" s="247"/>
      <c r="M101" s="249">
        <f>INDEX(tolerancia,MATCH(tblBD_PatronMasa[[#This Row],[Masa nominal mN]],Vnominal,0),MATCH(tblBD_PatronMasa[[#This Row],[Clase]],Clases_masas,0))*0.001</f>
        <v>1</v>
      </c>
      <c r="N101" s="248">
        <v>45047</v>
      </c>
      <c r="O101" s="247" t="s">
        <v>494</v>
      </c>
      <c r="P101" s="84" t="s">
        <v>484</v>
      </c>
      <c r="Q101" s="84">
        <f>IFERROR(VLOOKUP(tblBD_PatronMasa[[#This Row],[Material]],tblDensidadPatron[],2,0),0)</f>
        <v>7800</v>
      </c>
      <c r="R101" s="84">
        <f>IFERROR(VLOOKUP(tblBD_PatronMasa[[#This Row],[Material]],tblDensidadPatron[],3,0),0)</f>
        <v>100</v>
      </c>
      <c r="S101" s="84">
        <f>tblBD_PatronMasa[[#This Row],[Masa nominal mN]]+(tblBD_PatronMasa[[#This Row],[mpe]]-tblBD_PatronMasa[[#This Row],[Incertidumbre certificado calibración U95=ku(δmc)]])</f>
        <v>20000.912</v>
      </c>
      <c r="T101" s="84">
        <f>tblBD_PatronMasa[[#This Row],[Masa nominal mN]]-(tblBD_PatronMasa[[#This Row],[mpe]]-tblBD_PatronMasa[[#This Row],[Incertidumbre certificado calibración U95=ku(δmc)]])</f>
        <v>19999.088</v>
      </c>
      <c r="U101" s="39"/>
      <c r="CD101" s="1" t="s">
        <v>501</v>
      </c>
      <c r="CE101" t="s">
        <v>500</v>
      </c>
    </row>
    <row r="102" spans="2:83" x14ac:dyDescent="0.3">
      <c r="B102" s="84">
        <v>88</v>
      </c>
      <c r="C102" s="254" t="s">
        <v>499</v>
      </c>
      <c r="D102" s="84" t="s">
        <v>486</v>
      </c>
      <c r="E102" s="253" t="s">
        <v>26</v>
      </c>
      <c r="F102" s="252">
        <v>20000</v>
      </c>
      <c r="G102" s="250">
        <v>-4.0000000000000001E-3</v>
      </c>
      <c r="H102" s="251">
        <f>tblBD_PatronMasa[[#This Row],[Masa nominal mN]]+tblBD_PatronMasa[[#This Row],[Error certificado calibración δmc]]</f>
        <v>19999.995999999999</v>
      </c>
      <c r="I102" s="250">
        <v>8.7999999999999995E-2</v>
      </c>
      <c r="J102" s="250">
        <f>4*tblBD_PatronMasa[[#This Row],[mpe]]/3</f>
        <v>1.3333333333333333</v>
      </c>
      <c r="K102" s="249">
        <f>tblBD_PatronMasa[[#This Row],[Deriva Dmax=4/3*mpe]]/SQRT(3)</f>
        <v>0.76980035891950105</v>
      </c>
      <c r="L102" s="247"/>
      <c r="M102" s="249">
        <f>INDEX(tolerancia,MATCH(tblBD_PatronMasa[[#This Row],[Masa nominal mN]],Vnominal,0),MATCH(tblBD_PatronMasa[[#This Row],[Clase]],Clases_masas,0))*0.001</f>
        <v>1</v>
      </c>
      <c r="N102" s="248">
        <v>45047</v>
      </c>
      <c r="O102" s="247" t="s">
        <v>494</v>
      </c>
      <c r="P102" s="84" t="s">
        <v>484</v>
      </c>
      <c r="Q102" s="84">
        <f>IFERROR(VLOOKUP(tblBD_PatronMasa[[#This Row],[Material]],tblDensidadPatron[],2,0),0)</f>
        <v>7800</v>
      </c>
      <c r="R102" s="84">
        <f>IFERROR(VLOOKUP(tblBD_PatronMasa[[#This Row],[Material]],tblDensidadPatron[],3,0),0)</f>
        <v>100</v>
      </c>
      <c r="S102" s="84">
        <f>tblBD_PatronMasa[[#This Row],[Masa nominal mN]]+(tblBD_PatronMasa[[#This Row],[mpe]]-tblBD_PatronMasa[[#This Row],[Incertidumbre certificado calibración U95=ku(δmc)]])</f>
        <v>20000.912</v>
      </c>
      <c r="T102" s="84">
        <f>tblBD_PatronMasa[[#This Row],[Masa nominal mN]]-(tblBD_PatronMasa[[#This Row],[mpe]]-tblBD_PatronMasa[[#This Row],[Incertidumbre certificado calibración U95=ku(δmc)]])</f>
        <v>19999.088</v>
      </c>
      <c r="U102" s="39"/>
      <c r="CD102" s="1" t="s">
        <v>498</v>
      </c>
      <c r="CE102" t="s">
        <v>497</v>
      </c>
    </row>
    <row r="103" spans="2:83" x14ac:dyDescent="0.3">
      <c r="B103" s="84">
        <v>89</v>
      </c>
      <c r="C103" s="254" t="s">
        <v>496</v>
      </c>
      <c r="D103" s="84" t="s">
        <v>486</v>
      </c>
      <c r="E103" s="253" t="s">
        <v>26</v>
      </c>
      <c r="F103" s="252">
        <v>20000</v>
      </c>
      <c r="G103" s="250">
        <v>-4.0000000000000001E-3</v>
      </c>
      <c r="H103" s="251">
        <f>tblBD_PatronMasa[[#This Row],[Masa nominal mN]]+tblBD_PatronMasa[[#This Row],[Error certificado calibración δmc]]</f>
        <v>19999.995999999999</v>
      </c>
      <c r="I103" s="250">
        <v>8.7999999999999995E-2</v>
      </c>
      <c r="J103" s="250">
        <f>4*tblBD_PatronMasa[[#This Row],[mpe]]/3</f>
        <v>1.3333333333333333</v>
      </c>
      <c r="K103" s="249">
        <f>tblBD_PatronMasa[[#This Row],[Deriva Dmax=4/3*mpe]]/SQRT(3)</f>
        <v>0.76980035891950105</v>
      </c>
      <c r="L103" s="247"/>
      <c r="M103" s="249">
        <f>INDEX(tolerancia,MATCH(tblBD_PatronMasa[[#This Row],[Masa nominal mN]],Vnominal,0),MATCH(tblBD_PatronMasa[[#This Row],[Clase]],Clases_masas,0))*0.001</f>
        <v>1</v>
      </c>
      <c r="N103" s="248">
        <v>45047</v>
      </c>
      <c r="O103" s="247" t="s">
        <v>494</v>
      </c>
      <c r="P103" s="84" t="s">
        <v>484</v>
      </c>
      <c r="Q103" s="84">
        <f>IFERROR(VLOOKUP(tblBD_PatronMasa[[#This Row],[Material]],tblDensidadPatron[],2,0),0)</f>
        <v>7800</v>
      </c>
      <c r="R103" s="84">
        <f>IFERROR(VLOOKUP(tblBD_PatronMasa[[#This Row],[Material]],tblDensidadPatron[],3,0),0)</f>
        <v>100</v>
      </c>
      <c r="S103" s="84">
        <f>tblBD_PatronMasa[[#This Row],[Masa nominal mN]]+(tblBD_PatronMasa[[#This Row],[mpe]]-tblBD_PatronMasa[[#This Row],[Incertidumbre certificado calibración U95=ku(δmc)]])</f>
        <v>20000.912</v>
      </c>
      <c r="T103" s="84">
        <f>tblBD_PatronMasa[[#This Row],[Masa nominal mN]]-(tblBD_PatronMasa[[#This Row],[mpe]]-tblBD_PatronMasa[[#This Row],[Incertidumbre certificado calibración U95=ku(δmc)]])</f>
        <v>19999.088</v>
      </c>
      <c r="U103" s="39"/>
    </row>
    <row r="104" spans="2:83" x14ac:dyDescent="0.3">
      <c r="B104" s="84">
        <v>90</v>
      </c>
      <c r="C104" s="254" t="s">
        <v>495</v>
      </c>
      <c r="D104" s="84" t="s">
        <v>486</v>
      </c>
      <c r="E104" s="253" t="s">
        <v>26</v>
      </c>
      <c r="F104" s="252">
        <v>20000</v>
      </c>
      <c r="G104" s="250">
        <v>-4.0000000000000001E-3</v>
      </c>
      <c r="H104" s="251">
        <f>tblBD_PatronMasa[[#This Row],[Masa nominal mN]]+tblBD_PatronMasa[[#This Row],[Error certificado calibración δmc]]</f>
        <v>19999.995999999999</v>
      </c>
      <c r="I104" s="250">
        <v>8.7999999999999995E-2</v>
      </c>
      <c r="J104" s="250">
        <f>4*tblBD_PatronMasa[[#This Row],[mpe]]/3</f>
        <v>1.3333333333333333</v>
      </c>
      <c r="K104" s="249">
        <f>tblBD_PatronMasa[[#This Row],[Deriva Dmax=4/3*mpe]]/SQRT(3)</f>
        <v>0.76980035891950105</v>
      </c>
      <c r="L104" s="247"/>
      <c r="M104" s="249">
        <f>INDEX(tolerancia,MATCH(tblBD_PatronMasa[[#This Row],[Masa nominal mN]],Vnominal,0),MATCH(tblBD_PatronMasa[[#This Row],[Clase]],Clases_masas,0))*0.001</f>
        <v>1</v>
      </c>
      <c r="N104" s="248">
        <v>45047</v>
      </c>
      <c r="O104" s="247" t="s">
        <v>494</v>
      </c>
      <c r="P104" s="84" t="s">
        <v>484</v>
      </c>
      <c r="Q104" s="84">
        <f>IFERROR(VLOOKUP(tblBD_PatronMasa[[#This Row],[Material]],tblDensidadPatron[],2,0),0)</f>
        <v>7800</v>
      </c>
      <c r="R104" s="84">
        <f>IFERROR(VLOOKUP(tblBD_PatronMasa[[#This Row],[Material]],tblDensidadPatron[],3,0),0)</f>
        <v>100</v>
      </c>
      <c r="S104" s="84">
        <f>tblBD_PatronMasa[[#This Row],[Masa nominal mN]]+(tblBD_PatronMasa[[#This Row],[mpe]]-tblBD_PatronMasa[[#This Row],[Incertidumbre certificado calibración U95=ku(δmc)]])</f>
        <v>20000.912</v>
      </c>
      <c r="T104" s="84">
        <f>tblBD_PatronMasa[[#This Row],[Masa nominal mN]]-(tblBD_PatronMasa[[#This Row],[mpe]]-tblBD_PatronMasa[[#This Row],[Incertidumbre certificado calibración U95=ku(δmc)]])</f>
        <v>19999.088</v>
      </c>
      <c r="U104" s="39"/>
    </row>
    <row r="105" spans="2:83" x14ac:dyDescent="0.3">
      <c r="B105" s="84">
        <v>91</v>
      </c>
      <c r="C105" s="254" t="s">
        <v>493</v>
      </c>
      <c r="D105" s="84" t="s">
        <v>482</v>
      </c>
      <c r="E105" s="253" t="s">
        <v>29</v>
      </c>
      <c r="F105" s="252">
        <v>100</v>
      </c>
      <c r="G105" s="250">
        <v>3.1399999999999999E-4</v>
      </c>
      <c r="H105" s="251">
        <f>tblBD_PatronMasa[[#This Row],[Masa nominal mN]]+tblBD_PatronMasa[[#This Row],[Error certificado calibración δmc]]</f>
        <v>100.000314</v>
      </c>
      <c r="I105" s="250">
        <v>1.1900000000000001E-4</v>
      </c>
      <c r="J105" s="250">
        <f>4*tblBD_PatronMasa[[#This Row],[mpe]]/3</f>
        <v>6.6666666666666664E-4</v>
      </c>
      <c r="K105" s="249">
        <f>tblBD_PatronMasa[[#This Row],[Deriva Dmax=4/3*mpe]]/SQRT(3)</f>
        <v>3.8490017945975053E-4</v>
      </c>
      <c r="L105" s="247"/>
      <c r="M105" s="249">
        <f>INDEX(tolerancia,MATCH(tblBD_PatronMasa[[#This Row],[Masa nominal mN]],Vnominal,0),MATCH(tblBD_PatronMasa[[#This Row],[Clase]],Clases_masas,0))*0.001</f>
        <v>5.0000000000000001E-4</v>
      </c>
      <c r="N105" s="248">
        <v>45127</v>
      </c>
      <c r="O105" s="247" t="s">
        <v>481</v>
      </c>
      <c r="P105" s="84" t="s">
        <v>480</v>
      </c>
      <c r="Q105" s="84">
        <f>IFERROR(VLOOKUP(tblBD_PatronMasa[[#This Row],[Material]],tblDensidadPatron[],2,0),0)</f>
        <v>7950</v>
      </c>
      <c r="R105" s="84">
        <f>IFERROR(VLOOKUP(tblBD_PatronMasa[[#This Row],[Material]],tblDensidadPatron[],3,0),0)</f>
        <v>70</v>
      </c>
      <c r="S105" s="84">
        <f>tblBD_PatronMasa[[#This Row],[Masa nominal mN]]+(tblBD_PatronMasa[[#This Row],[mpe]]-tblBD_PatronMasa[[#This Row],[Incertidumbre certificado calibración U95=ku(δmc)]])</f>
        <v>100.000381</v>
      </c>
      <c r="T105" s="84">
        <f>tblBD_PatronMasa[[#This Row],[Masa nominal mN]]-(tblBD_PatronMasa[[#This Row],[mpe]]-tblBD_PatronMasa[[#This Row],[Incertidumbre certificado calibración U95=ku(δmc)]])</f>
        <v>99.999618999999996</v>
      </c>
    </row>
    <row r="106" spans="2:83" x14ac:dyDescent="0.3">
      <c r="B106" s="84">
        <v>92</v>
      </c>
      <c r="C106" s="254" t="s">
        <v>492</v>
      </c>
      <c r="D106" s="84" t="s">
        <v>482</v>
      </c>
      <c r="E106" s="253" t="s">
        <v>29</v>
      </c>
      <c r="F106" s="252">
        <v>50</v>
      </c>
      <c r="G106" s="250">
        <v>1.27E-4</v>
      </c>
      <c r="H106" s="251">
        <f>tblBD_PatronMasa[[#This Row],[Masa nominal mN]]+tblBD_PatronMasa[[#This Row],[Error certificado calibración δmc]]</f>
        <v>50.000126999999999</v>
      </c>
      <c r="I106" s="250">
        <v>6.0999999999999999E-5</v>
      </c>
      <c r="J106" s="250">
        <f>4*tblBD_PatronMasa[[#This Row],[mpe]]/3</f>
        <v>3.9999999999999996E-4</v>
      </c>
      <c r="K106" s="263">
        <f>tblBD_PatronMasa[[#This Row],[Deriva Dmax=4/3*mpe]]/SQRT(3)</f>
        <v>2.3094010767585029E-4</v>
      </c>
      <c r="L106" s="257"/>
      <c r="M106" s="262">
        <f>INDEX(tolerancia,MATCH(tblBD_PatronMasa[[#This Row],[Masa nominal mN]],Vnominal,0),MATCH(tblBD_PatronMasa[[#This Row],[Clase]],Clases_masas,0))*0.001</f>
        <v>2.9999999999999997E-4</v>
      </c>
      <c r="N106" s="248">
        <v>45127</v>
      </c>
      <c r="O106" s="247" t="s">
        <v>481</v>
      </c>
      <c r="P106" s="84" t="s">
        <v>480</v>
      </c>
      <c r="Q106" s="84">
        <f>IFERROR(VLOOKUP(tblBD_PatronMasa[[#This Row],[Material]],tblDensidadPatron[],2,0),0)</f>
        <v>7950</v>
      </c>
      <c r="R106" s="84">
        <f>IFERROR(VLOOKUP(tblBD_PatronMasa[[#This Row],[Material]],tblDensidadPatron[],3,0),0)</f>
        <v>70</v>
      </c>
      <c r="S106" s="255">
        <f>tblBD_PatronMasa[[#This Row],[Masa nominal mN]]+(tblBD_PatronMasa[[#This Row],[mpe]]-tblBD_PatronMasa[[#This Row],[Incertidumbre certificado calibración U95=ku(δmc)]])</f>
        <v>50.000239000000001</v>
      </c>
      <c r="T106" s="255">
        <f>tblBD_PatronMasa[[#This Row],[Masa nominal mN]]-(tblBD_PatronMasa[[#This Row],[mpe]]-tblBD_PatronMasa[[#This Row],[Incertidumbre certificado calibración U95=ku(δmc)]])</f>
        <v>49.999760999999999</v>
      </c>
    </row>
    <row r="107" spans="2:83" x14ac:dyDescent="0.3">
      <c r="B107" s="84">
        <v>93</v>
      </c>
      <c r="C107" s="254" t="s">
        <v>491</v>
      </c>
      <c r="D107" s="84" t="s">
        <v>482</v>
      </c>
      <c r="E107" s="253" t="s">
        <v>29</v>
      </c>
      <c r="F107" s="252">
        <v>10000</v>
      </c>
      <c r="G107" s="250">
        <v>-8.9999999999999993E-3</v>
      </c>
      <c r="H107" s="251">
        <f>tblBD_PatronMasa[[#This Row],[Masa nominal mN]]+tblBD_PatronMasa[[#This Row],[Error certificado calibración δmc]]</f>
        <v>9999.991</v>
      </c>
      <c r="I107" s="250">
        <v>1.4999999999999999E-2</v>
      </c>
      <c r="J107" s="250">
        <f>4*tblBD_PatronMasa[[#This Row],[mpe]]/3</f>
        <v>6.6666666666666666E-2</v>
      </c>
      <c r="K107" s="249">
        <f>tblBD_PatronMasa[[#This Row],[Deriva Dmax=4/3*mpe]]/SQRT(3)</f>
        <v>3.849001794597505E-2</v>
      </c>
      <c r="L107" s="247"/>
      <c r="M107" s="249">
        <f>INDEX(tolerancia,MATCH(tblBD_PatronMasa[[#This Row],[Masa nominal mN]],Vnominal,0),MATCH(tblBD_PatronMasa[[#This Row],[Clase]],Clases_masas,0))*0.001</f>
        <v>0.05</v>
      </c>
      <c r="N107" s="248">
        <v>45128</v>
      </c>
      <c r="O107" s="247" t="s">
        <v>490</v>
      </c>
      <c r="P107" s="84" t="s">
        <v>480</v>
      </c>
      <c r="Q107" s="84">
        <f>IFERROR(VLOOKUP(tblBD_PatronMasa[[#This Row],[Material]],tblDensidadPatron[],2,0),0)</f>
        <v>7950</v>
      </c>
      <c r="R107" s="84">
        <f>IFERROR(VLOOKUP(tblBD_PatronMasa[[#This Row],[Material]],tblDensidadPatron[],3,0),0)</f>
        <v>70</v>
      </c>
      <c r="S107" s="261">
        <f>tblBD_PatronMasa[[#This Row],[Masa nominal mN]]+(tblBD_PatronMasa[[#This Row],[mpe]]-tblBD_PatronMasa[[#This Row],[Incertidumbre certificado calibración U95=ku(δmc)]])</f>
        <v>10000.035</v>
      </c>
      <c r="T107" s="255">
        <f>tblBD_PatronMasa[[#This Row],[Masa nominal mN]]-(tblBD_PatronMasa[[#This Row],[mpe]]-tblBD_PatronMasa[[#This Row],[Incertidumbre certificado calibración U95=ku(δmc)]])</f>
        <v>9999.9650000000001</v>
      </c>
    </row>
    <row r="108" spans="2:83" x14ac:dyDescent="0.3">
      <c r="B108" s="84">
        <v>94</v>
      </c>
      <c r="C108" s="254" t="s">
        <v>489</v>
      </c>
      <c r="D108" s="84" t="s">
        <v>482</v>
      </c>
      <c r="E108" s="253" t="s">
        <v>29</v>
      </c>
      <c r="F108" s="252">
        <v>20000</v>
      </c>
      <c r="G108" s="250">
        <v>-1.9E-2</v>
      </c>
      <c r="H108" s="251">
        <f>tblBD_PatronMasa[[#This Row],[Masa nominal mN]]+tblBD_PatronMasa[[#This Row],[Error certificado calibración δmc]]</f>
        <v>19999.981</v>
      </c>
      <c r="I108" s="250">
        <v>0.03</v>
      </c>
      <c r="J108" s="250">
        <f>4*tblBD_PatronMasa[[#This Row],[mpe]]/3</f>
        <v>0.13333333333333333</v>
      </c>
      <c r="K108" s="249">
        <f>tblBD_PatronMasa[[#This Row],[Deriva Dmax=4/3*mpe]]/SQRT(3)</f>
        <v>7.6980035891950099E-2</v>
      </c>
      <c r="L108" s="247"/>
      <c r="M108" s="249">
        <f>INDEX(tolerancia,MATCH(tblBD_PatronMasa[[#This Row],[Masa nominal mN]],Vnominal,0),MATCH(tblBD_PatronMasa[[#This Row],[Clase]],Clases_masas,0))*0.001</f>
        <v>0.1</v>
      </c>
      <c r="N108" s="248">
        <v>45125</v>
      </c>
      <c r="O108" s="247" t="s">
        <v>488</v>
      </c>
      <c r="P108" s="84" t="s">
        <v>480</v>
      </c>
      <c r="Q108" s="84">
        <f>IFERROR(VLOOKUP(tblBD_PatronMasa[[#This Row],[Material]],tblDensidadPatron[],2,0),0)</f>
        <v>7950</v>
      </c>
      <c r="R108" s="84">
        <f>IFERROR(VLOOKUP(tblBD_PatronMasa[[#This Row],[Material]],tblDensidadPatron[],3,0),0)</f>
        <v>70</v>
      </c>
      <c r="S108" s="261">
        <f>tblBD_PatronMasa[[#This Row],[Masa nominal mN]]+(tblBD_PatronMasa[[#This Row],[mpe]]-tblBD_PatronMasa[[#This Row],[Incertidumbre certificado calibración U95=ku(δmc)]])</f>
        <v>20000.07</v>
      </c>
      <c r="T108" s="255">
        <f>tblBD_PatronMasa[[#This Row],[Masa nominal mN]]-(tblBD_PatronMasa[[#This Row],[mpe]]-tblBD_PatronMasa[[#This Row],[Incertidumbre certificado calibración U95=ku(δmc)]])</f>
        <v>19999.93</v>
      </c>
    </row>
    <row r="109" spans="2:83" x14ac:dyDescent="0.3">
      <c r="B109" s="84">
        <v>95</v>
      </c>
      <c r="C109" s="254" t="s">
        <v>487</v>
      </c>
      <c r="D109" s="84" t="s">
        <v>486</v>
      </c>
      <c r="E109" s="253" t="s">
        <v>26</v>
      </c>
      <c r="F109" s="260">
        <v>10000</v>
      </c>
      <c r="G109" s="250">
        <v>-3.0000000000000001E-3</v>
      </c>
      <c r="H109" s="259">
        <f>tblBD_PatronMasa[[#This Row],[Masa nominal mN]]+tblBD_PatronMasa[[#This Row],[Error certificado calibración δmc]]</f>
        <v>9999.9969999999994</v>
      </c>
      <c r="I109" s="250">
        <v>8.3000000000000004E-2</v>
      </c>
      <c r="J109" s="250">
        <f>4*tblBD_PatronMasa[[#This Row],[mpe]]/3</f>
        <v>0.66666666666666663</v>
      </c>
      <c r="K109" s="258">
        <f>tblBD_PatronMasa[[#This Row],[Deriva Dmax=4/3*mpe]]/SQRT(3)</f>
        <v>0.38490017945975052</v>
      </c>
      <c r="L109" s="257"/>
      <c r="M109" s="256">
        <f>INDEX(tolerancia,MATCH(tblBD_PatronMasa[[#This Row],[Masa nominal mN]],Vnominal,0),MATCH(tblBD_PatronMasa[[#This Row],[Clase]],Clases_masas,0))*0.001</f>
        <v>0.5</v>
      </c>
      <c r="N109" s="248">
        <v>43599</v>
      </c>
      <c r="O109" s="247" t="s">
        <v>485</v>
      </c>
      <c r="P109" s="84" t="s">
        <v>484</v>
      </c>
      <c r="Q109" s="84">
        <f>IFERROR(VLOOKUP(tblBD_PatronMasa[[#This Row],[Material]],tblDensidadPatron[],2,0),0)</f>
        <v>7800</v>
      </c>
      <c r="R109" s="84">
        <f>IFERROR(VLOOKUP(tblBD_PatronMasa[[#This Row],[Material]],tblDensidadPatron[],3,0),0)</f>
        <v>100</v>
      </c>
      <c r="S109" s="84">
        <f>tblBD_PatronMasa[[#This Row],[Masa nominal mN]]+(tblBD_PatronMasa[[#This Row],[mpe]]-tblBD_PatronMasa[[#This Row],[Incertidumbre certificado calibración U95=ku(δmc)]])</f>
        <v>10000.416999999999</v>
      </c>
      <c r="T109" s="255">
        <f>tblBD_PatronMasa[[#This Row],[Masa nominal mN]]-(tblBD_PatronMasa[[#This Row],[mpe]]-tblBD_PatronMasa[[#This Row],[Incertidumbre certificado calibración U95=ku(δmc)]])</f>
        <v>9999.5830000000005</v>
      </c>
    </row>
    <row r="110" spans="2:83" x14ac:dyDescent="0.3">
      <c r="B110" s="84">
        <v>96</v>
      </c>
      <c r="C110" s="254" t="s">
        <v>483</v>
      </c>
      <c r="D110" s="84" t="s">
        <v>482</v>
      </c>
      <c r="E110" s="253" t="s">
        <v>29</v>
      </c>
      <c r="F110" s="252">
        <v>500</v>
      </c>
      <c r="G110" s="250">
        <v>2.03E-4</v>
      </c>
      <c r="H110" s="251">
        <f>tblBD_PatronMasa[[#This Row],[Masa nominal mN]]+tblBD_PatronMasa[[#This Row],[Error certificado calibración δmc]]</f>
        <v>500.000203</v>
      </c>
      <c r="I110" s="250">
        <v>5.9000000000000003E-4</v>
      </c>
      <c r="J110" s="250">
        <f>4*tblBD_PatronMasa[[#This Row],[mpe]]/3</f>
        <v>3.3333333333333335E-3</v>
      </c>
      <c r="K110" s="249">
        <f>tblBD_PatronMasa[[#This Row],[Deriva Dmax=4/3*mpe]]/SQRT(3)</f>
        <v>1.9245008972987529E-3</v>
      </c>
      <c r="L110" s="247"/>
      <c r="M110" s="249">
        <f>INDEX(tolerancia,MATCH(tblBD_PatronMasa[[#This Row],[Masa nominal mN]],Vnominal,0),MATCH(tblBD_PatronMasa[[#This Row],[Clase]],Clases_masas,0))*0.001</f>
        <v>2.5000000000000001E-3</v>
      </c>
      <c r="N110" s="248">
        <v>45127</v>
      </c>
      <c r="O110" s="247" t="s">
        <v>481</v>
      </c>
      <c r="P110" s="84" t="s">
        <v>480</v>
      </c>
      <c r="Q110" s="84">
        <f>IFERROR(VLOOKUP(tblBD_PatronMasa[[#This Row],[Material]],tblDensidadPatron[],2,0),0)</f>
        <v>7950</v>
      </c>
      <c r="R110" s="84">
        <f>IFERROR(VLOOKUP(tblBD_PatronMasa[[#This Row],[Material]],tblDensidadPatron[],3,0),0)</f>
        <v>70</v>
      </c>
      <c r="S110" s="84">
        <f>tblBD_PatronMasa[[#This Row],[Masa nominal mN]]+(tblBD_PatronMasa[[#This Row],[mpe]]-tblBD_PatronMasa[[#This Row],[Incertidumbre certificado calibración U95=ku(δmc)]])</f>
        <v>500.00191000000001</v>
      </c>
      <c r="T110" s="84">
        <f>tblBD_PatronMasa[[#This Row],[Masa nominal mN]]-(tblBD_PatronMasa[[#This Row],[mpe]]-tblBD_PatronMasa[[#This Row],[Incertidumbre certificado calibración U95=ku(δmc)]])</f>
        <v>499.99808999999999</v>
      </c>
    </row>
  </sheetData>
  <mergeCells count="10">
    <mergeCell ref="AL15:AL16"/>
    <mergeCell ref="AM15:AT15"/>
    <mergeCell ref="W14:AD14"/>
    <mergeCell ref="W15:W16"/>
    <mergeCell ref="X15:AD15"/>
    <mergeCell ref="H4:I4"/>
    <mergeCell ref="AL14:AT14"/>
    <mergeCell ref="L4:L5"/>
    <mergeCell ref="J4:K4"/>
    <mergeCell ref="M4:O5"/>
  </mergeCells>
  <conditionalFormatting sqref="H15:H108">
    <cfRule type="cellIs" dxfId="29" priority="4" operator="lessThan">
      <formula>T15</formula>
    </cfRule>
    <cfRule type="cellIs" dxfId="28" priority="5" operator="greaterThan">
      <formula>S15</formula>
    </cfRule>
  </conditionalFormatting>
  <conditionalFormatting sqref="H110">
    <cfRule type="cellIs" dxfId="27" priority="1" operator="lessThan">
      <formula>T110</formula>
    </cfRule>
    <cfRule type="cellIs" dxfId="26" priority="2" operator="greaterThan">
      <formula>S110</formula>
    </cfRule>
  </conditionalFormatting>
  <conditionalFormatting sqref="J15:J110">
    <cfRule type="expression" dxfId="25" priority="3">
      <formula>J15&gt;M15</formula>
    </cfRule>
  </conditionalFormatting>
  <dataValidations count="1">
    <dataValidation type="list" allowBlank="1" showInputMessage="1" showErrorMessage="1" sqref="J106" xr:uid="{00000000-0002-0000-0900-000000000000}">
      <formula1>Clases_masas</formula1>
    </dataValidation>
  </dataValidations>
  <pageMargins left="0.7" right="0.7" top="0.75" bottom="0.75" header="0.3" footer="0.3"/>
  <pageSetup orientation="portrait" horizontalDpi="1200" verticalDpi="1200" r:id="rId1"/>
  <drawing r:id="rId2"/>
  <tableParts count="2">
    <tablePart r:id="rId3"/>
    <tablePart r:id="rId4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3785F8-02F5-46AD-A96C-47AC20EDB39D}">
  <dimension ref="A1:AO93"/>
  <sheetViews>
    <sheetView zoomScale="70" zoomScaleNormal="70" workbookViewId="0">
      <selection activeCell="K27" sqref="K27"/>
    </sheetView>
  </sheetViews>
  <sheetFormatPr baseColWidth="10" defaultColWidth="8.88671875" defaultRowHeight="14.4" x14ac:dyDescent="0.3"/>
  <cols>
    <col min="1" max="1" width="1.6640625" customWidth="1"/>
    <col min="2" max="2" width="28.33203125" customWidth="1"/>
    <col min="3" max="3" width="18.5546875" bestFit="1" customWidth="1"/>
    <col min="4" max="4" width="9.6640625" customWidth="1"/>
    <col min="5" max="7" width="8.33203125" customWidth="1"/>
    <col min="8" max="8" width="9.5546875" customWidth="1"/>
    <col min="9" max="17" width="9.6640625" customWidth="1"/>
    <col min="18" max="18" width="3.88671875" customWidth="1"/>
    <col min="19" max="19" width="9.33203125" customWidth="1"/>
    <col min="20" max="20" width="12" bestFit="1" customWidth="1"/>
    <col min="21" max="21" width="12.33203125" bestFit="1" customWidth="1"/>
    <col min="22" max="22" width="12" bestFit="1" customWidth="1"/>
    <col min="23" max="23" width="8.5546875" bestFit="1" customWidth="1"/>
    <col min="24" max="24" width="12" bestFit="1" customWidth="1"/>
    <col min="25" max="25" width="10.33203125" customWidth="1"/>
    <col min="27" max="27" width="4" customWidth="1"/>
    <col min="28" max="28" width="25.88671875" bestFit="1" customWidth="1"/>
    <col min="29" max="29" width="8.44140625" bestFit="1" customWidth="1"/>
    <col min="30" max="30" width="8.6640625" bestFit="1" customWidth="1"/>
    <col min="31" max="31" width="10.44140625" bestFit="1" customWidth="1"/>
    <col min="32" max="32" width="9.5546875" bestFit="1" customWidth="1"/>
    <col min="33" max="33" width="12.6640625" bestFit="1" customWidth="1"/>
    <col min="34" max="34" width="9.33203125" bestFit="1" customWidth="1"/>
    <col min="35" max="35" width="11.33203125" bestFit="1" customWidth="1"/>
    <col min="37" max="37" width="9.6640625" bestFit="1" customWidth="1"/>
    <col min="41" max="41" width="8.88671875" style="1"/>
  </cols>
  <sheetData>
    <row r="1" spans="1:37" ht="14.4" customHeight="1" x14ac:dyDescent="0.3">
      <c r="B1" s="8"/>
      <c r="C1" s="10" t="s">
        <v>424</v>
      </c>
      <c r="F1" s="8" t="s">
        <v>423</v>
      </c>
      <c r="G1" s="8"/>
      <c r="I1" s="8" t="s">
        <v>422</v>
      </c>
      <c r="J1" s="8"/>
      <c r="K1" s="8"/>
      <c r="L1" s="8"/>
      <c r="M1" s="8"/>
      <c r="N1" s="8"/>
      <c r="O1" s="8"/>
      <c r="P1" s="8"/>
      <c r="Q1" s="8"/>
      <c r="S1" s="4" t="s">
        <v>421</v>
      </c>
      <c r="T1" s="4"/>
      <c r="U1" s="4"/>
      <c r="V1" s="4"/>
    </row>
    <row r="2" spans="1:37" ht="14.4" customHeight="1" x14ac:dyDescent="0.3">
      <c r="B2" s="220" t="s">
        <v>420</v>
      </c>
      <c r="C2" s="112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S2" s="219"/>
      <c r="T2" s="218" t="s">
        <v>419</v>
      </c>
      <c r="U2" s="217"/>
      <c r="V2" s="217"/>
      <c r="W2" s="216"/>
      <c r="X2" s="215" t="s">
        <v>314</v>
      </c>
      <c r="Y2" s="214" t="s">
        <v>162</v>
      </c>
    </row>
    <row r="3" spans="1:37" ht="14.4" customHeight="1" x14ac:dyDescent="0.3">
      <c r="B3" s="12" t="s">
        <v>419</v>
      </c>
      <c r="C3" s="12" t="s">
        <v>363</v>
      </c>
      <c r="D3" s="12" t="s">
        <v>162</v>
      </c>
      <c r="E3" s="12" t="s">
        <v>314</v>
      </c>
      <c r="F3" s="8"/>
      <c r="G3" s="8"/>
      <c r="H3" s="8"/>
      <c r="I3" s="213" t="s">
        <v>418</v>
      </c>
      <c r="J3" s="213" t="s">
        <v>417</v>
      </c>
      <c r="K3" s="8"/>
      <c r="L3" s="8"/>
      <c r="M3" s="8"/>
      <c r="N3" s="8"/>
      <c r="O3" s="8"/>
      <c r="P3" s="8"/>
      <c r="Q3" s="213" t="s">
        <v>416</v>
      </c>
      <c r="S3" s="196" t="s">
        <v>415</v>
      </c>
      <c r="T3" s="188"/>
      <c r="U3" s="188"/>
      <c r="V3" s="188"/>
      <c r="W3" s="99"/>
      <c r="X3" s="212">
        <v>1.2</v>
      </c>
      <c r="Y3" s="186" t="s">
        <v>375</v>
      </c>
    </row>
    <row r="4" spans="1:37" ht="14.4" customHeight="1" x14ac:dyDescent="0.3">
      <c r="B4" s="201" t="s">
        <v>414</v>
      </c>
      <c r="C4" s="170" t="s">
        <v>413</v>
      </c>
      <c r="D4" s="58" t="str">
        <f>UnidadEscala</f>
        <v>g</v>
      </c>
      <c r="E4" s="58">
        <f>Calibración!C16</f>
        <v>0.1</v>
      </c>
      <c r="F4" s="211" t="s">
        <v>412</v>
      </c>
      <c r="G4" s="194">
        <f>LEN(MOD(ABS(E4),1))-1-(MOD(E4,1)&gt;0)</f>
        <v>1</v>
      </c>
      <c r="H4" s="8"/>
      <c r="I4" s="210" t="s">
        <v>411</v>
      </c>
      <c r="J4" s="210" t="s">
        <v>410</v>
      </c>
      <c r="K4" s="154" t="s">
        <v>409</v>
      </c>
      <c r="L4" s="154"/>
      <c r="M4" s="154"/>
      <c r="N4" s="154"/>
      <c r="O4" s="154"/>
      <c r="P4" s="8"/>
      <c r="Q4" s="209">
        <f>($X$8-$X$3)/$X$3</f>
        <v>-1.7492344201052723E-2</v>
      </c>
      <c r="S4" s="196" t="s">
        <v>408</v>
      </c>
      <c r="T4" s="188"/>
      <c r="U4" s="188"/>
      <c r="V4" s="188"/>
      <c r="W4" s="99"/>
      <c r="X4" s="197">
        <v>8000</v>
      </c>
      <c r="Y4" s="186" t="s">
        <v>375</v>
      </c>
    </row>
    <row r="5" spans="1:37" ht="14.4" customHeight="1" x14ac:dyDescent="0.3">
      <c r="B5" s="201" t="s">
        <v>407</v>
      </c>
      <c r="C5" s="170" t="s">
        <v>406</v>
      </c>
      <c r="D5" s="58" t="str">
        <f>D4</f>
        <v>g</v>
      </c>
      <c r="E5" s="58">
        <f>E4</f>
        <v>0.1</v>
      </c>
      <c r="F5" s="8"/>
      <c r="G5" s="8"/>
      <c r="H5" s="8"/>
      <c r="I5" s="208" t="str">
        <f t="array" ref="I5">IFERROR(SKEW(IF('kU(E)'!$H$20:$Q$20&lt;&gt;0,'kU(E)'!$H$20:$Q$20)),"")</f>
        <v/>
      </c>
      <c r="J5" s="208" t="str">
        <f t="array" ref="J5">IFERROR(KURT(IF('kU(E)'!$H$20:$Q$20&lt;&gt;0,'kU(E)'!$H$20:$Q$20)),"")</f>
        <v/>
      </c>
      <c r="K5" s="1"/>
      <c r="L5" s="207" t="s">
        <v>405</v>
      </c>
      <c r="M5" s="207"/>
      <c r="N5" s="207"/>
      <c r="O5" s="207"/>
      <c r="P5" s="8"/>
      <c r="Q5" s="8"/>
      <c r="S5" s="198" t="s">
        <v>404</v>
      </c>
      <c r="T5" s="188"/>
      <c r="U5" s="188"/>
      <c r="V5" s="188"/>
      <c r="W5" s="99"/>
      <c r="X5" s="197">
        <f>CertPres</f>
        <v>1001</v>
      </c>
      <c r="Y5" s="170" t="s">
        <v>382</v>
      </c>
      <c r="AA5" s="4" t="s">
        <v>403</v>
      </c>
      <c r="AB5" s="4"/>
      <c r="AC5" s="4"/>
      <c r="AD5" s="4"/>
      <c r="AE5" s="4"/>
      <c r="AF5" s="206" t="s">
        <v>402</v>
      </c>
      <c r="AG5" s="4"/>
    </row>
    <row r="6" spans="1:37" ht="14.4" customHeight="1" x14ac:dyDescent="0.3">
      <c r="B6" s="201" t="s">
        <v>401</v>
      </c>
      <c r="C6" s="200" t="s">
        <v>400</v>
      </c>
      <c r="D6" s="191" t="s">
        <v>378</v>
      </c>
      <c r="E6" s="199">
        <v>0</v>
      </c>
      <c r="F6" s="8"/>
      <c r="G6" s="8"/>
      <c r="H6" s="205"/>
      <c r="I6" s="8"/>
      <c r="J6" s="8"/>
      <c r="K6" s="204"/>
      <c r="L6" s="8"/>
      <c r="M6" s="8"/>
      <c r="N6" s="8"/>
      <c r="O6" s="8"/>
      <c r="P6" s="8"/>
      <c r="Q6" s="8"/>
      <c r="S6" s="198" t="s">
        <v>399</v>
      </c>
      <c r="T6" s="188"/>
      <c r="U6" s="188"/>
      <c r="V6" s="188"/>
      <c r="W6" s="99"/>
      <c r="X6" s="197">
        <f>CertHR</f>
        <v>49.35</v>
      </c>
      <c r="Y6" s="3" t="s">
        <v>380</v>
      </c>
      <c r="AA6" s="203" t="s">
        <v>185</v>
      </c>
      <c r="AB6" s="203" t="s">
        <v>398</v>
      </c>
      <c r="AC6" s="202" t="s">
        <v>397</v>
      </c>
      <c r="AD6" s="203" t="s">
        <v>396</v>
      </c>
      <c r="AE6" s="202" t="s">
        <v>395</v>
      </c>
      <c r="AF6" s="203" t="s">
        <v>394</v>
      </c>
      <c r="AG6" s="203" t="s">
        <v>393</v>
      </c>
      <c r="AH6" s="203" t="s">
        <v>392</v>
      </c>
      <c r="AI6" s="202" t="s">
        <v>391</v>
      </c>
      <c r="AJ6" s="202" t="s">
        <v>390</v>
      </c>
      <c r="AK6" s="202" t="s">
        <v>389</v>
      </c>
    </row>
    <row r="7" spans="1:37" ht="14.4" customHeight="1" x14ac:dyDescent="0.3">
      <c r="B7" s="201" t="s">
        <v>388</v>
      </c>
      <c r="C7" s="200" t="s">
        <v>387</v>
      </c>
      <c r="D7" s="191" t="s">
        <v>386</v>
      </c>
      <c r="E7" s="199">
        <v>30</v>
      </c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S7" s="198" t="s">
        <v>385</v>
      </c>
      <c r="T7" s="188"/>
      <c r="U7" s="188"/>
      <c r="V7" s="188"/>
      <c r="W7" s="99"/>
      <c r="X7" s="197">
        <f>CertTempC</f>
        <v>21.3</v>
      </c>
      <c r="Y7" s="191" t="s">
        <v>378</v>
      </c>
      <c r="AA7" s="131">
        <v>1</v>
      </c>
      <c r="AB7" s="131" t="str">
        <f>Calibración!CS6</f>
        <v/>
      </c>
      <c r="AC7" s="131" t="str">
        <f>IFERROR(VLOOKUP(AB7,tblBD_PatronMasa[[Código Patrón]:[mN-(mpe–U95)]],4,FALSE)/1000,"")</f>
        <v/>
      </c>
      <c r="AD7" s="146" t="str">
        <f>IFERROR(VLOOKUP(AB7,tblBD_PatronMasa[[Código Patrón]:[mN-(mpe–U95)]],11,FALSE)/1000000,"")</f>
        <v/>
      </c>
      <c r="AE7" s="146" t="str">
        <f t="shared" ref="AE7:AE38" si="0">IFERROR((0.1*$X$3/$X$4+AD7/(4*AC7))/SQRT(3),"")</f>
        <v/>
      </c>
      <c r="AF7" s="131" t="str">
        <f>IFERROR(VLOOKUP(AB7,tblBD_PatronMasa[[Código Patrón]:[Incertidumbre estándar u(ρ) (kg/m³)]],15,0),"")</f>
        <v/>
      </c>
      <c r="AG7" s="131" t="str">
        <f>IFERROR(VLOOKUP(AB7,tblBD_PatronMasa[[Código Patrón]:[Incertidumbre estándar u(ρ) (kg/m³)]],16,0),"")</f>
        <v/>
      </c>
      <c r="AH7" s="146" t="str">
        <f t="shared" ref="AH7:AH38" si="1">IFERROR(-AC7*($X$8-$X$3)/AF7,"")</f>
        <v/>
      </c>
      <c r="AI7" s="146" t="str">
        <f t="shared" ref="AI7:AI38" si="2">IFERROR(SQRT(POWER($X$12,2)/POWER(AF7,2)+POWER($X$8-$X$3,2)*POWER(AG7,2)/POWER(AF7,4)),"")</f>
        <v/>
      </c>
      <c r="AJ7" s="146" t="str">
        <f t="shared" ref="AJ7:AJ38" si="3">IFERROR(AH7*AE7,"")</f>
        <v/>
      </c>
      <c r="AK7" s="146" t="str">
        <f t="shared" ref="AK7:AK38" si="4">IFERROR(AH7*AI7,"")</f>
        <v/>
      </c>
    </row>
    <row r="8" spans="1:37" ht="14.4" customHeight="1" x14ac:dyDescent="0.3"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S8" s="196" t="s">
        <v>384</v>
      </c>
      <c r="T8" s="188"/>
      <c r="U8" s="188"/>
      <c r="V8" s="188"/>
      <c r="W8" s="99"/>
      <c r="X8" s="195">
        <f>IFERROR((0.348444*X5-X6*(0.00252*X7-0.020582))/(273.15+X7),"")</f>
        <v>1.1790091869587367</v>
      </c>
      <c r="Y8" s="186" t="s">
        <v>375</v>
      </c>
      <c r="AA8" s="131">
        <v>2</v>
      </c>
      <c r="AB8" s="131" t="str">
        <f>Calibración!CS7</f>
        <v/>
      </c>
      <c r="AC8" s="131" t="str">
        <f>IFERROR(VLOOKUP(AB8,tblBD_PatronMasa[[Código Patrón]:[mN-(mpe–U95)]],4,FALSE)/1000,"")</f>
        <v/>
      </c>
      <c r="AD8" s="146" t="str">
        <f>IFERROR(VLOOKUP(AB8,tblBD_PatronMasa[[Código Patrón]:[mN-(mpe–U95)]],11,FALSE)/1000000,"")</f>
        <v/>
      </c>
      <c r="AE8" s="146" t="str">
        <f t="shared" si="0"/>
        <v/>
      </c>
      <c r="AF8" s="131" t="str">
        <f>IFERROR(VLOOKUP(AB8,tblBD_PatronMasa[[Código Patrón]:[Incertidumbre estándar u(ρ) (kg/m³)]],15,0),"")</f>
        <v/>
      </c>
      <c r="AG8" s="131" t="str">
        <f>IFERROR(VLOOKUP(AB8,tblBD_PatronMasa[[Código Patrón]:[Incertidumbre estándar u(ρ) (kg/m³)]],16,0),"")</f>
        <v/>
      </c>
      <c r="AH8" s="146" t="str">
        <f t="shared" si="1"/>
        <v/>
      </c>
      <c r="AI8" s="146" t="str">
        <f t="shared" si="2"/>
        <v/>
      </c>
      <c r="AJ8" s="146" t="str">
        <f t="shared" si="3"/>
        <v/>
      </c>
      <c r="AK8" s="146" t="str">
        <f t="shared" si="4"/>
        <v/>
      </c>
    </row>
    <row r="9" spans="1:37" ht="14.4" customHeight="1" x14ac:dyDescent="0.3"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S9" s="193" t="s">
        <v>383</v>
      </c>
      <c r="T9" s="188"/>
      <c r="U9" s="188"/>
      <c r="V9" s="188"/>
      <c r="W9" s="99"/>
      <c r="X9" s="192">
        <f>ABS(General!I16-General!I17)/SQRT(12)</f>
        <v>0</v>
      </c>
      <c r="Y9" s="170" t="s">
        <v>382</v>
      </c>
      <c r="AA9" s="131">
        <v>3</v>
      </c>
      <c r="AB9" s="131" t="str">
        <f>Calibración!CS8</f>
        <v/>
      </c>
      <c r="AC9" s="131" t="str">
        <f>IFERROR(VLOOKUP(AB9,tblBD_PatronMasa[[Código Patrón]:[mN-(mpe–U95)]],4,FALSE)/1000,"")</f>
        <v/>
      </c>
      <c r="AD9" s="146" t="str">
        <f>IFERROR(VLOOKUP(AB9,tblBD_PatronMasa[[Código Patrón]:[mN-(mpe–U95)]],11,FALSE)/1000000,"")</f>
        <v/>
      </c>
      <c r="AE9" s="146" t="str">
        <f t="shared" si="0"/>
        <v/>
      </c>
      <c r="AF9" s="131" t="str">
        <f>IFERROR(VLOOKUP(AB9,tblBD_PatronMasa[[Código Patrón]:[Incertidumbre estándar u(ρ) (kg/m³)]],15,0),"")</f>
        <v/>
      </c>
      <c r="AG9" s="131" t="str">
        <f>IFERROR(VLOOKUP(AB9,tblBD_PatronMasa[[Código Patrón]:[Incertidumbre estándar u(ρ) (kg/m³)]],16,0),"")</f>
        <v/>
      </c>
      <c r="AH9" s="146" t="str">
        <f t="shared" si="1"/>
        <v/>
      </c>
      <c r="AI9" s="146" t="str">
        <f t="shared" si="2"/>
        <v/>
      </c>
      <c r="AJ9" s="146" t="str">
        <f t="shared" si="3"/>
        <v/>
      </c>
      <c r="AK9" s="146" t="str">
        <f t="shared" si="4"/>
        <v/>
      </c>
    </row>
    <row r="10" spans="1:37" ht="14.4" customHeight="1" x14ac:dyDescent="0.35">
      <c r="B10" s="179" t="s">
        <v>366</v>
      </c>
      <c r="C10" s="112"/>
      <c r="D10" s="112"/>
      <c r="E10" s="112"/>
      <c r="F10" s="112"/>
      <c r="G10" s="8"/>
      <c r="H10" s="127" t="str">
        <f>IFERROR(CONCATENATE(FIXED(IF(UnidadEscala="g",punto1,IF(UnidadEscala="kg",punto1/1000,punto1/453.592)),decim),UnidadEscala),"")</f>
        <v>0.0g</v>
      </c>
      <c r="I10" s="127" t="str">
        <f>IFERROR(CONCATENATE(FIXED(IF(UnidadEscala="g",punto2,IF(UnidadEscala="kg",punto2/1000,punto2/453.592)),decim),UnidadEscala),"")</f>
        <v>0.0g</v>
      </c>
      <c r="J10" s="127" t="str">
        <f>IFERROR(CONCATENATE(FIXED(IF(UnidadEscala="g",punto3,IF(UnidadEscala="kg",punto3/1000,punto3/453.592)),decim),UnidadEscala),"")</f>
        <v>0.0g</v>
      </c>
      <c r="K10" s="127" t="str">
        <f>IFERROR(CONCATENATE(FIXED(IF(UnidadEscala="g",punto4,IF(UnidadEscala="kg",punto4/1000,punto4/453.592)),decim),UnidadEscala),"")</f>
        <v>0.0g</v>
      </c>
      <c r="L10" s="127" t="str">
        <f>IFERROR(CONCATENATE(FIXED(IF(UnidadEscala="g",punto5,IF(UnidadEscala="kg",punto5/1000,punto5/453.592)),decim),UnidadEscala),"")</f>
        <v>0.0g</v>
      </c>
      <c r="M10" s="127" t="str">
        <f>IFERROR(CONCATENATE(FIXED(IF(UnidadEscala="g",punto6,IF(UnidadEscala="kg",punto6/1000,punto6/453.592)),decim),UnidadEscala),"")</f>
        <v>0.0g</v>
      </c>
      <c r="N10" s="127" t="str">
        <f>IFERROR(CONCATENATE(FIXED(IF(UnidadEscala="g",punto7,IF(UnidadEscala="kg",punto7/1000,punto7/453.592)),decim),UnidadEscala),"")</f>
        <v>0.0g</v>
      </c>
      <c r="O10" s="127" t="str">
        <f>IFERROR(CONCATENATE(FIXED(IF(UnidadEscala="g",punto8,IF(UnidadEscala="kg",punto8/1000,punto8/453.592)),decim),UnidadEscala),"")</f>
        <v>0.0g</v>
      </c>
      <c r="P10" s="127" t="str">
        <f>IFERROR(CONCATENATE(FIXED(IF(UnidadEscala="g",punto9,IF(UnidadEscala="kg",punto9/1000,punto9/453.592)),decim),UnidadEscala),"")</f>
        <v>0.0g</v>
      </c>
      <c r="Q10" s="127" t="str">
        <f>IFERROR(CONCATENATE(FIXED(IF(UnidadEscala="g",punto10,IF(UnidadEscala="kg",punto10/1000,punto10/453.592)),decim),UnidadEscala),"")</f>
        <v>0.0g</v>
      </c>
      <c r="S10" s="193" t="s">
        <v>381</v>
      </c>
      <c r="T10" s="188"/>
      <c r="U10" s="188"/>
      <c r="V10" s="188"/>
      <c r="W10" s="99"/>
      <c r="X10" s="192">
        <f>ABS(General!I11-General!I12)/SQRT(12)</f>
        <v>0.14433756729740646</v>
      </c>
      <c r="Y10" s="3" t="s">
        <v>380</v>
      </c>
      <c r="AA10" s="131">
        <v>4</v>
      </c>
      <c r="AB10" s="131" t="str">
        <f>Calibración!CS9</f>
        <v/>
      </c>
      <c r="AC10" s="131" t="str">
        <f>IFERROR(VLOOKUP(AB10,tblBD_PatronMasa[[Código Patrón]:[mN-(mpe–U95)]],4,FALSE)/1000,"")</f>
        <v/>
      </c>
      <c r="AD10" s="146" t="str">
        <f>IFERROR(VLOOKUP(AB10,tblBD_PatronMasa[[Código Patrón]:[mN-(mpe–U95)]],11,FALSE)/1000000,"")</f>
        <v/>
      </c>
      <c r="AE10" s="146" t="str">
        <f t="shared" si="0"/>
        <v/>
      </c>
      <c r="AF10" s="131" t="str">
        <f>IFERROR(VLOOKUP(AB10,tblBD_PatronMasa[[Código Patrón]:[Incertidumbre estándar u(ρ) (kg/m³)]],15,0),"")</f>
        <v/>
      </c>
      <c r="AG10" s="131" t="str">
        <f>IFERROR(VLOOKUP(AB10,tblBD_PatronMasa[[Código Patrón]:[Incertidumbre estándar u(ρ) (kg/m³)]],16,0),"")</f>
        <v/>
      </c>
      <c r="AH10" s="146" t="str">
        <f t="shared" si="1"/>
        <v/>
      </c>
      <c r="AI10" s="146" t="str">
        <f t="shared" si="2"/>
        <v/>
      </c>
      <c r="AJ10" s="146" t="str">
        <f t="shared" si="3"/>
        <v/>
      </c>
      <c r="AK10" s="146" t="str">
        <f t="shared" si="4"/>
        <v/>
      </c>
    </row>
    <row r="11" spans="1:37" ht="14.4" customHeight="1" x14ac:dyDescent="0.3">
      <c r="A11" s="194" t="s">
        <v>6</v>
      </c>
      <c r="B11" s="12" t="s">
        <v>365</v>
      </c>
      <c r="C11" s="12" t="s">
        <v>364</v>
      </c>
      <c r="D11" s="12" t="s">
        <v>363</v>
      </c>
      <c r="E11" s="12" t="s">
        <v>362</v>
      </c>
      <c r="F11" s="12" t="s">
        <v>361</v>
      </c>
      <c r="G11" s="12" t="s">
        <v>360</v>
      </c>
      <c r="H11" s="203" t="s">
        <v>359</v>
      </c>
      <c r="I11" s="203" t="s">
        <v>358</v>
      </c>
      <c r="J11" s="203" t="s">
        <v>178</v>
      </c>
      <c r="K11" s="203" t="s">
        <v>357</v>
      </c>
      <c r="L11" s="203" t="s">
        <v>177</v>
      </c>
      <c r="M11" s="203" t="s">
        <v>176</v>
      </c>
      <c r="N11" s="203" t="s">
        <v>356</v>
      </c>
      <c r="O11" s="203" t="s">
        <v>355</v>
      </c>
      <c r="P11" s="203" t="s">
        <v>354</v>
      </c>
      <c r="Q11" s="203" t="s">
        <v>353</v>
      </c>
      <c r="S11" s="193" t="s">
        <v>379</v>
      </c>
      <c r="T11" s="188"/>
      <c r="U11" s="188"/>
      <c r="V11" s="188"/>
      <c r="W11" s="99"/>
      <c r="X11" s="192">
        <f>ABS(General!I6-General!I7)/SQRT(12)</f>
        <v>0.11547005383792475</v>
      </c>
      <c r="Y11" s="191" t="s">
        <v>378</v>
      </c>
      <c r="AA11" s="131">
        <v>5</v>
      </c>
      <c r="AB11" s="131" t="str">
        <f>Calibración!CS10</f>
        <v/>
      </c>
      <c r="AC11" s="131" t="str">
        <f>IFERROR(VLOOKUP(AB11,tblBD_PatronMasa[[Código Patrón]:[mN-(mpe–U95)]],4,FALSE)/1000,"")</f>
        <v/>
      </c>
      <c r="AD11" s="146" t="str">
        <f>IFERROR(VLOOKUP(AB11,tblBD_PatronMasa[[Código Patrón]:[mN-(mpe–U95)]],11,FALSE)/1000000,"")</f>
        <v/>
      </c>
      <c r="AE11" s="146" t="str">
        <f t="shared" si="0"/>
        <v/>
      </c>
      <c r="AF11" s="131" t="str">
        <f>IFERROR(VLOOKUP(AB11,tblBD_PatronMasa[[Código Patrón]:[Incertidumbre estándar u(ρ) (kg/m³)]],15,0),"")</f>
        <v/>
      </c>
      <c r="AG11" s="131" t="str">
        <f>IFERROR(VLOOKUP(AB11,tblBD_PatronMasa[[Código Patrón]:[Incertidumbre estándar u(ρ) (kg/m³)]],16,0),"")</f>
        <v/>
      </c>
      <c r="AH11" s="146" t="str">
        <f t="shared" si="1"/>
        <v/>
      </c>
      <c r="AI11" s="146" t="str">
        <f t="shared" si="2"/>
        <v/>
      </c>
      <c r="AJ11" s="146" t="str">
        <f t="shared" si="3"/>
        <v/>
      </c>
      <c r="AK11" s="146" t="str">
        <f t="shared" si="4"/>
        <v/>
      </c>
    </row>
    <row r="12" spans="1:37" ht="14.4" customHeight="1" x14ac:dyDescent="0.3">
      <c r="B12" s="339" t="s">
        <v>352</v>
      </c>
      <c r="C12" s="171" t="s">
        <v>351</v>
      </c>
      <c r="D12" s="181" t="s">
        <v>377</v>
      </c>
      <c r="E12" s="169" t="s">
        <v>327</v>
      </c>
      <c r="F12" s="178">
        <f>2*SQRT(3)</f>
        <v>3.4641016151377544</v>
      </c>
      <c r="G12" s="167">
        <v>1</v>
      </c>
      <c r="H12" s="190">
        <f t="shared" ref="H12:Q12" si="5">IF(H16=0,0,IF(UnidadPatron="","unidad?",IF(UnidadPatron="g",($E$4/SQRT(12))*0.001,IF(UnidadPatron="kg",$E$4/SQRT(12),($E$4/SQRT(12))*0.453592))))</f>
        <v>0</v>
      </c>
      <c r="I12" s="190">
        <f t="shared" si="5"/>
        <v>0</v>
      </c>
      <c r="J12" s="190">
        <f t="shared" si="5"/>
        <v>0</v>
      </c>
      <c r="K12" s="190">
        <f t="shared" si="5"/>
        <v>0</v>
      </c>
      <c r="L12" s="190">
        <f t="shared" si="5"/>
        <v>0</v>
      </c>
      <c r="M12" s="190">
        <f t="shared" si="5"/>
        <v>0</v>
      </c>
      <c r="N12" s="190">
        <f t="shared" si="5"/>
        <v>0</v>
      </c>
      <c r="O12" s="190">
        <f t="shared" si="5"/>
        <v>0</v>
      </c>
      <c r="P12" s="190">
        <f t="shared" si="5"/>
        <v>0</v>
      </c>
      <c r="Q12" s="190">
        <f t="shared" si="5"/>
        <v>0</v>
      </c>
      <c r="S12" s="189" t="s">
        <v>376</v>
      </c>
      <c r="T12" s="188"/>
      <c r="U12" s="188"/>
      <c r="V12" s="188"/>
      <c r="W12" s="99"/>
      <c r="X12" s="187">
        <f>IFERROR(SQRT((POWER(X9/X5,2)+POWER(X10/X6,2)+POWER(X11/X7,2))*POWER(X8,2)),"")</f>
        <v>7.262442239065311E-3</v>
      </c>
      <c r="Y12" s="186" t="s">
        <v>375</v>
      </c>
      <c r="AA12" s="131">
        <v>6</v>
      </c>
      <c r="AB12" s="131" t="str">
        <f>Calibración!CS11</f>
        <v/>
      </c>
      <c r="AC12" s="131" t="str">
        <f>IFERROR(VLOOKUP(AB12,tblBD_PatronMasa[[Código Patrón]:[mN-(mpe–U95)]],4,FALSE)/1000,"")</f>
        <v/>
      </c>
      <c r="AD12" s="146" t="str">
        <f>IFERROR(VLOOKUP(AB12,tblBD_PatronMasa[[Código Patrón]:[mN-(mpe–U95)]],11,FALSE)/1000000,"")</f>
        <v/>
      </c>
      <c r="AE12" s="146" t="str">
        <f t="shared" si="0"/>
        <v/>
      </c>
      <c r="AF12" s="131" t="str">
        <f>IFERROR(VLOOKUP(AB12,tblBD_PatronMasa[[Código Patrón]:[Incertidumbre estándar u(ρ) (kg/m³)]],15,0),"")</f>
        <v/>
      </c>
      <c r="AG12" s="131" t="str">
        <f>IFERROR(VLOOKUP(AB12,tblBD_PatronMasa[[Código Patrón]:[Incertidumbre estándar u(ρ) (kg/m³)]],16,0),"")</f>
        <v/>
      </c>
      <c r="AH12" s="146" t="str">
        <f t="shared" si="1"/>
        <v/>
      </c>
      <c r="AI12" s="146" t="str">
        <f t="shared" si="2"/>
        <v/>
      </c>
      <c r="AJ12" s="146" t="str">
        <f t="shared" si="3"/>
        <v/>
      </c>
      <c r="AK12" s="146" t="str">
        <f t="shared" si="4"/>
        <v/>
      </c>
    </row>
    <row r="13" spans="1:37" ht="14.4" customHeight="1" x14ac:dyDescent="0.3">
      <c r="B13" s="339" t="s">
        <v>349</v>
      </c>
      <c r="C13" s="171" t="s">
        <v>348</v>
      </c>
      <c r="D13" s="181" t="s">
        <v>374</v>
      </c>
      <c r="E13" s="169" t="s">
        <v>327</v>
      </c>
      <c r="F13" s="178">
        <f>SQRT(48)</f>
        <v>6.9282032302755088</v>
      </c>
      <c r="G13" s="167">
        <v>1</v>
      </c>
      <c r="H13" s="182">
        <f t="shared" ref="H13:Q13" si="6">IF(H16=0,0,IF(UnidadPatron="","unidad?",IF(UnidadPatron="g",($E$5/SQRT(48))*0.001,IF(UnidadPatron="kg",$E$5/SQRT(48),($E$5/SQRT(48))*0.453592))))</f>
        <v>0</v>
      </c>
      <c r="I13" s="182">
        <f t="shared" si="6"/>
        <v>0</v>
      </c>
      <c r="J13" s="182">
        <f t="shared" si="6"/>
        <v>0</v>
      </c>
      <c r="K13" s="182">
        <f t="shared" si="6"/>
        <v>0</v>
      </c>
      <c r="L13" s="182">
        <f t="shared" si="6"/>
        <v>0</v>
      </c>
      <c r="M13" s="182">
        <f t="shared" si="6"/>
        <v>0</v>
      </c>
      <c r="N13" s="182">
        <f t="shared" si="6"/>
        <v>0</v>
      </c>
      <c r="O13" s="182">
        <f t="shared" si="6"/>
        <v>0</v>
      </c>
      <c r="P13" s="182">
        <f t="shared" si="6"/>
        <v>0</v>
      </c>
      <c r="Q13" s="182">
        <f t="shared" si="6"/>
        <v>0</v>
      </c>
      <c r="AA13" s="131">
        <v>7</v>
      </c>
      <c r="AB13" s="131" t="str">
        <f>Calibración!CS12</f>
        <v/>
      </c>
      <c r="AC13" s="131" t="str">
        <f>IFERROR(VLOOKUP(AB13,tblBD_PatronMasa[[Código Patrón]:[mN-(mpe–U95)]],4,FALSE)/1000,"")</f>
        <v/>
      </c>
      <c r="AD13" s="146" t="str">
        <f>IFERROR(VLOOKUP(AB13,tblBD_PatronMasa[[Código Patrón]:[mN-(mpe–U95)]],11,FALSE)/1000000,"")</f>
        <v/>
      </c>
      <c r="AE13" s="146" t="str">
        <f t="shared" si="0"/>
        <v/>
      </c>
      <c r="AF13" s="131" t="str">
        <f>IFERROR(VLOOKUP(AB13,tblBD_PatronMasa[[Código Patrón]:[Incertidumbre estándar u(ρ) (kg/m³)]],15,0),"")</f>
        <v/>
      </c>
      <c r="AG13" s="131" t="str">
        <f>IFERROR(VLOOKUP(AB13,tblBD_PatronMasa[[Código Patrón]:[Incertidumbre estándar u(ρ) (kg/m³)]],16,0),"")</f>
        <v/>
      </c>
      <c r="AH13" s="146" t="str">
        <f t="shared" si="1"/>
        <v/>
      </c>
      <c r="AI13" s="146" t="str">
        <f t="shared" si="2"/>
        <v/>
      </c>
      <c r="AJ13" s="146" t="str">
        <f t="shared" si="3"/>
        <v/>
      </c>
      <c r="AK13" s="146" t="str">
        <f t="shared" si="4"/>
        <v/>
      </c>
    </row>
    <row r="14" spans="1:37" ht="14.4" customHeight="1" x14ac:dyDescent="0.3">
      <c r="B14" s="339" t="s">
        <v>346</v>
      </c>
      <c r="C14" s="171" t="s">
        <v>345</v>
      </c>
      <c r="D14" s="181" t="s">
        <v>373</v>
      </c>
      <c r="E14" s="169" t="s">
        <v>343</v>
      </c>
      <c r="F14" s="168">
        <v>1</v>
      </c>
      <c r="G14" s="167">
        <v>1</v>
      </c>
      <c r="H14" s="182">
        <f t="shared" ref="H14:Q14" si="7">IF(H16=0,0,IFERROR(IF(UnidadPatron="","unidad?",IF(UnidadPatron="g",u_rep/1000,IF(UnidadPatron="kg",u_rep,u_rep*0.453592))),0))</f>
        <v>0</v>
      </c>
      <c r="I14" s="182">
        <f t="shared" si="7"/>
        <v>0</v>
      </c>
      <c r="J14" s="182">
        <f t="shared" si="7"/>
        <v>0</v>
      </c>
      <c r="K14" s="182">
        <f t="shared" si="7"/>
        <v>0</v>
      </c>
      <c r="L14" s="182">
        <f t="shared" si="7"/>
        <v>0</v>
      </c>
      <c r="M14" s="182">
        <f t="shared" si="7"/>
        <v>0</v>
      </c>
      <c r="N14" s="182">
        <f t="shared" si="7"/>
        <v>0</v>
      </c>
      <c r="O14" s="182">
        <f t="shared" si="7"/>
        <v>0</v>
      </c>
      <c r="P14" s="182">
        <f t="shared" si="7"/>
        <v>0</v>
      </c>
      <c r="Q14" s="182">
        <f t="shared" si="7"/>
        <v>0</v>
      </c>
      <c r="AA14" s="131">
        <v>8</v>
      </c>
      <c r="AB14" s="131" t="str">
        <f>Calibración!CS13</f>
        <v/>
      </c>
      <c r="AC14" s="131" t="str">
        <f>IFERROR(VLOOKUP(AB14,tblBD_PatronMasa[[Código Patrón]:[mN-(mpe–U95)]],4,FALSE)/1000,"")</f>
        <v/>
      </c>
      <c r="AD14" s="146" t="str">
        <f>IFERROR(VLOOKUP(AB14,tblBD_PatronMasa[[Código Patrón]:[mN-(mpe–U95)]],11,FALSE)/1000000,"")</f>
        <v/>
      </c>
      <c r="AE14" s="146" t="str">
        <f t="shared" si="0"/>
        <v/>
      </c>
      <c r="AF14" s="131" t="str">
        <f>IFERROR(VLOOKUP(AB14,tblBD_PatronMasa[[Código Patrón]:[Incertidumbre estándar u(ρ) (kg/m³)]],15,0),"")</f>
        <v/>
      </c>
      <c r="AG14" s="131" t="str">
        <f>IFERROR(VLOOKUP(AB14,tblBD_PatronMasa[[Código Patrón]:[Incertidumbre estándar u(ρ) (kg/m³)]],16,0),"")</f>
        <v/>
      </c>
      <c r="AH14" s="146" t="str">
        <f t="shared" si="1"/>
        <v/>
      </c>
      <c r="AI14" s="146" t="str">
        <f t="shared" si="2"/>
        <v/>
      </c>
      <c r="AJ14" s="146" t="str">
        <f t="shared" si="3"/>
        <v/>
      </c>
      <c r="AK14" s="146" t="str">
        <f t="shared" si="4"/>
        <v/>
      </c>
    </row>
    <row r="15" spans="1:37" ht="14.4" customHeight="1" x14ac:dyDescent="0.3">
      <c r="B15" s="339" t="s">
        <v>342</v>
      </c>
      <c r="C15" s="177" t="s">
        <v>341</v>
      </c>
      <c r="D15" s="181" t="s">
        <v>372</v>
      </c>
      <c r="E15" s="169" t="s">
        <v>327</v>
      </c>
      <c r="F15" s="168">
        <v>1</v>
      </c>
      <c r="G15" s="167">
        <v>1</v>
      </c>
      <c r="H15" s="182">
        <f t="shared" ref="H15:Q15" si="8">IF(H16=0,0,IFERROR(IF(UnidadPatron="","unidad?",IF(UnidadPatron="g",u_ecc/1000,IF(UnidadPatron="kg",u_ecc,u_ecc*0.453592))),0))</f>
        <v>0</v>
      </c>
      <c r="I15" s="182">
        <f t="shared" si="8"/>
        <v>0</v>
      </c>
      <c r="J15" s="182">
        <f t="shared" si="8"/>
        <v>0</v>
      </c>
      <c r="K15" s="182">
        <f t="shared" si="8"/>
        <v>0</v>
      </c>
      <c r="L15" s="182">
        <f t="shared" si="8"/>
        <v>0</v>
      </c>
      <c r="M15" s="182">
        <f t="shared" si="8"/>
        <v>0</v>
      </c>
      <c r="N15" s="182">
        <f t="shared" si="8"/>
        <v>0</v>
      </c>
      <c r="O15" s="182">
        <f t="shared" si="8"/>
        <v>0</v>
      </c>
      <c r="P15" s="182">
        <f t="shared" si="8"/>
        <v>0</v>
      </c>
      <c r="Q15" s="182">
        <f t="shared" si="8"/>
        <v>0</v>
      </c>
      <c r="Z15" s="185"/>
      <c r="AA15" s="131">
        <v>9</v>
      </c>
      <c r="AB15" s="131" t="str">
        <f>Calibración!CS14</f>
        <v/>
      </c>
      <c r="AC15" s="131" t="str">
        <f>IFERROR(VLOOKUP(AB15,tblBD_PatronMasa[[Código Patrón]:[mN-(mpe–U95)]],4,FALSE)/1000,"")</f>
        <v/>
      </c>
      <c r="AD15" s="146" t="str">
        <f>IFERROR(VLOOKUP(AB15,tblBD_PatronMasa[[Código Patrón]:[mN-(mpe–U95)]],11,FALSE)/1000000,"")</f>
        <v/>
      </c>
      <c r="AE15" s="146" t="str">
        <f t="shared" si="0"/>
        <v/>
      </c>
      <c r="AF15" s="131" t="str">
        <f>IFERROR(VLOOKUP(AB15,tblBD_PatronMasa[[Código Patrón]:[Incertidumbre estándar u(ρ) (kg/m³)]],15,0),"")</f>
        <v/>
      </c>
      <c r="AG15" s="131" t="str">
        <f>IFERROR(VLOOKUP(AB15,tblBD_PatronMasa[[Código Patrón]:[Incertidumbre estándar u(ρ) (kg/m³)]],16,0),"")</f>
        <v/>
      </c>
      <c r="AH15" s="146" t="str">
        <f t="shared" si="1"/>
        <v/>
      </c>
      <c r="AI15" s="146" t="str">
        <f t="shared" si="2"/>
        <v/>
      </c>
      <c r="AJ15" s="146" t="str">
        <f t="shared" si="3"/>
        <v/>
      </c>
      <c r="AK15" s="146" t="str">
        <f t="shared" si="4"/>
        <v/>
      </c>
    </row>
    <row r="16" spans="1:37" ht="14.4" customHeight="1" x14ac:dyDescent="0.3">
      <c r="B16" s="339" t="s">
        <v>339</v>
      </c>
      <c r="C16" s="176" t="s">
        <v>338</v>
      </c>
      <c r="D16" s="181" t="s">
        <v>371</v>
      </c>
      <c r="E16" s="169" t="s">
        <v>327</v>
      </c>
      <c r="F16" s="168">
        <v>2</v>
      </c>
      <c r="G16" s="167">
        <v>1</v>
      </c>
      <c r="H16" s="180">
        <f>IF(UnidadPatron="","unidad?",(sigma_c1/2)*0.001)</f>
        <v>0</v>
      </c>
      <c r="I16" s="180">
        <f>IF(UnidadPatron="","unidad?",(sigma_c2/2)*0.001)</f>
        <v>0</v>
      </c>
      <c r="J16" s="180">
        <f>IF(UnidadPatron="","unidad?",(sigma_c3/2)*0.001)</f>
        <v>0</v>
      </c>
      <c r="K16" s="180">
        <f>IF(UnidadPatron="","unidad?",(sigma_c4/2)*0.001)</f>
        <v>0</v>
      </c>
      <c r="L16" s="180">
        <f>IF(UnidadPatron="","unidad?",(sigma_c5/2)*0.001)</f>
        <v>0</v>
      </c>
      <c r="M16" s="180">
        <f>IF(UnidadPatron="","unidad?",(sigma_c6/2)*0.001)</f>
        <v>0</v>
      </c>
      <c r="N16" s="180">
        <f>IF(UnidadPatron="","unidad?",(sigma_c7/2)*0.001)</f>
        <v>0</v>
      </c>
      <c r="O16" s="180">
        <f>IF(UnidadPatron="","unidad?",(sigma_c8/2)*0.001)</f>
        <v>0</v>
      </c>
      <c r="P16" s="180">
        <f>IF(UnidadPatron="","unidad?",(sigma_c9/2)*0.001)</f>
        <v>0</v>
      </c>
      <c r="Q16" s="180">
        <f>IF(UnidadPatron="","unidad?",(sigma_c10/2)*0.001)</f>
        <v>0</v>
      </c>
      <c r="R16" s="184"/>
      <c r="AA16" s="131">
        <v>10</v>
      </c>
      <c r="AB16" s="131" t="str">
        <f>Calibración!CS15</f>
        <v/>
      </c>
      <c r="AC16" s="131" t="str">
        <f>IFERROR(VLOOKUP(AB16,tblBD_PatronMasa[[Código Patrón]:[mN-(mpe–U95)]],4,FALSE)/1000,"")</f>
        <v/>
      </c>
      <c r="AD16" s="146" t="str">
        <f>IFERROR(VLOOKUP(AB16,tblBD_PatronMasa[[Código Patrón]:[mN-(mpe–U95)]],11,FALSE)/1000000,"")</f>
        <v/>
      </c>
      <c r="AE16" s="146" t="str">
        <f t="shared" si="0"/>
        <v/>
      </c>
      <c r="AF16" s="131" t="str">
        <f>IFERROR(VLOOKUP(AB16,tblBD_PatronMasa[[Código Patrón]:[Incertidumbre estándar u(ρ) (kg/m³)]],15,0),"")</f>
        <v/>
      </c>
      <c r="AG16" s="131" t="str">
        <f>IFERROR(VLOOKUP(AB16,tblBD_PatronMasa[[Código Patrón]:[Incertidumbre estándar u(ρ) (kg/m³)]],16,0),"")</f>
        <v/>
      </c>
      <c r="AH16" s="146" t="str">
        <f t="shared" si="1"/>
        <v/>
      </c>
      <c r="AI16" s="146" t="str">
        <f t="shared" si="2"/>
        <v/>
      </c>
      <c r="AJ16" s="146" t="str">
        <f t="shared" si="3"/>
        <v/>
      </c>
      <c r="AK16" s="146" t="str">
        <f t="shared" si="4"/>
        <v/>
      </c>
    </row>
    <row r="17" spans="2:37" ht="14.4" customHeight="1" x14ac:dyDescent="0.3">
      <c r="B17" s="339" t="s">
        <v>336</v>
      </c>
      <c r="C17" s="171" t="s">
        <v>335</v>
      </c>
      <c r="D17" s="181" t="s">
        <v>370</v>
      </c>
      <c r="E17" s="169" t="s">
        <v>327</v>
      </c>
      <c r="F17" s="178">
        <f>SQRT(3)</f>
        <v>1.7320508075688772</v>
      </c>
      <c r="G17" s="167">
        <v>1</v>
      </c>
      <c r="H17" s="182">
        <f>IF(UnidadPatron="","unidad?",sigma_D1*0.001)</f>
        <v>0</v>
      </c>
      <c r="I17" s="182">
        <f>IF(UnidadPatron="","unidad?",sigma_D2*0.001)</f>
        <v>0</v>
      </c>
      <c r="J17" s="182">
        <f>IF(UnidadPatron="","unidad?",sigma_D3*0.001)</f>
        <v>0</v>
      </c>
      <c r="K17" s="182">
        <f>IF(UnidadPatron="","unidad?",sigma_D4*0.001)</f>
        <v>0</v>
      </c>
      <c r="L17" s="182">
        <f>IF(UnidadPatron="","unidad?",sigma_D5*0.001)</f>
        <v>0</v>
      </c>
      <c r="M17" s="182">
        <f>IF(UnidadPatron="","unidad?",sigma_D6*0.001)</f>
        <v>0</v>
      </c>
      <c r="N17" s="182">
        <f>IF(UnidadPatron="","unidad?",sigma_D7*0.001)</f>
        <v>0</v>
      </c>
      <c r="O17" s="182">
        <f>IF(UnidadPatron="","unidad?",sigma_D8*0.001)</f>
        <v>0</v>
      </c>
      <c r="P17" s="182">
        <f>IF(UnidadPatron="","unidad?",sigma_D9*0.001)</f>
        <v>0</v>
      </c>
      <c r="Q17" s="182">
        <f>IF(UnidadPatron="","unidad?",sigma_D10*0.001)</f>
        <v>0</v>
      </c>
      <c r="X17" s="183"/>
      <c r="AA17" s="131">
        <v>11</v>
      </c>
      <c r="AB17" s="131" t="str">
        <f>Calibración!CS16</f>
        <v/>
      </c>
      <c r="AC17" s="131" t="str">
        <f>IFERROR(VLOOKUP(AB17,tblBD_PatronMasa[[Código Patrón]:[mN-(mpe–U95)]],4,FALSE)/1000,"")</f>
        <v/>
      </c>
      <c r="AD17" s="146" t="str">
        <f>IFERROR(VLOOKUP(AB17,tblBD_PatronMasa[[Código Patrón]:[mN-(mpe–U95)]],11,FALSE)/1000000,"")</f>
        <v/>
      </c>
      <c r="AE17" s="146" t="str">
        <f t="shared" si="0"/>
        <v/>
      </c>
      <c r="AF17" s="131" t="str">
        <f>IFERROR(VLOOKUP(AB17,tblBD_PatronMasa[[Código Patrón]:[Incertidumbre estándar u(ρ) (kg/m³)]],15,0),"")</f>
        <v/>
      </c>
      <c r="AG17" s="131" t="str">
        <f>IFERROR(VLOOKUP(AB17,tblBD_PatronMasa[[Código Patrón]:[Incertidumbre estándar u(ρ) (kg/m³)]],16,0),"")</f>
        <v/>
      </c>
      <c r="AH17" s="146" t="str">
        <f t="shared" si="1"/>
        <v/>
      </c>
      <c r="AI17" s="146" t="str">
        <f t="shared" si="2"/>
        <v/>
      </c>
      <c r="AJ17" s="146" t="str">
        <f t="shared" si="3"/>
        <v/>
      </c>
      <c r="AK17" s="146" t="str">
        <f t="shared" si="4"/>
        <v/>
      </c>
    </row>
    <row r="18" spans="2:37" ht="14.4" customHeight="1" x14ac:dyDescent="0.3">
      <c r="B18" s="339" t="s">
        <v>333</v>
      </c>
      <c r="C18" s="175" t="s">
        <v>332</v>
      </c>
      <c r="D18" s="181" t="s">
        <v>369</v>
      </c>
      <c r="E18" s="169" t="s">
        <v>327</v>
      </c>
      <c r="F18" s="168">
        <v>1</v>
      </c>
      <c r="G18" s="167">
        <v>1</v>
      </c>
      <c r="H18" s="182">
        <f>IF(UnidadPatron="","unidad?",sigma_b1*0.001)</f>
        <v>0</v>
      </c>
      <c r="I18" s="182">
        <f>IF(UnidadPatron="","unidad?",sigma_b2*0.001)</f>
        <v>0</v>
      </c>
      <c r="J18" s="182">
        <f>IF(UnidadPatron="","unidad?",sigma_b3*0.001)</f>
        <v>0</v>
      </c>
      <c r="K18" s="182">
        <f>IF(UnidadPatron="","unidad?",sigma_b4*0.001)</f>
        <v>0</v>
      </c>
      <c r="L18" s="182">
        <f>IF(UnidadPatron="","unidad?",sigma_b5*0.001)</f>
        <v>0</v>
      </c>
      <c r="M18" s="182">
        <f>IF(UnidadPatron="","unidad?",sigma_b6*0.001)</f>
        <v>0</v>
      </c>
      <c r="N18" s="182">
        <f>IF(UnidadPatron="","unidad?",sigma_b7*0.001)</f>
        <v>0</v>
      </c>
      <c r="O18" s="182">
        <f>IF(UnidadPatron="","unidad?",sigma_b8*0.001)</f>
        <v>0</v>
      </c>
      <c r="P18" s="182">
        <f>IF(UnidadPatron="","unidad?",sigma_b9*0.001)</f>
        <v>0</v>
      </c>
      <c r="Q18" s="182">
        <f>IF(UnidadPatron="","unidad?",sigma_b10*0.001)</f>
        <v>0</v>
      </c>
      <c r="AA18" s="131">
        <v>12</v>
      </c>
      <c r="AB18" s="131" t="str">
        <f>Calibración!CS17</f>
        <v/>
      </c>
      <c r="AC18" s="131" t="str">
        <f>IFERROR(VLOOKUP(AB18,tblBD_PatronMasa[[Código Patrón]:[mN-(mpe–U95)]],4,FALSE)/1000,"")</f>
        <v/>
      </c>
      <c r="AD18" s="146" t="str">
        <f>IFERROR(VLOOKUP(AB18,tblBD_PatronMasa[[Código Patrón]:[mN-(mpe–U95)]],11,FALSE)/1000000,"")</f>
        <v/>
      </c>
      <c r="AE18" s="146" t="str">
        <f t="shared" si="0"/>
        <v/>
      </c>
      <c r="AF18" s="131" t="str">
        <f>IFERROR(VLOOKUP(AB18,tblBD_PatronMasa[[Código Patrón]:[Incertidumbre estándar u(ρ) (kg/m³)]],15,0),"")</f>
        <v/>
      </c>
      <c r="AG18" s="131" t="str">
        <f>IFERROR(VLOOKUP(AB18,tblBD_PatronMasa[[Código Patrón]:[Incertidumbre estándar u(ρ) (kg/m³)]],16,0),"")</f>
        <v/>
      </c>
      <c r="AH18" s="146" t="str">
        <f t="shared" si="1"/>
        <v/>
      </c>
      <c r="AI18" s="146" t="str">
        <f t="shared" si="2"/>
        <v/>
      </c>
      <c r="AJ18" s="146" t="str">
        <f t="shared" si="3"/>
        <v/>
      </c>
      <c r="AK18" s="146" t="str">
        <f t="shared" si="4"/>
        <v/>
      </c>
    </row>
    <row r="19" spans="2:37" ht="14.4" customHeight="1" x14ac:dyDescent="0.3">
      <c r="B19" s="339" t="s">
        <v>330</v>
      </c>
      <c r="C19" s="171" t="s">
        <v>329</v>
      </c>
      <c r="D19" s="181" t="s">
        <v>368</v>
      </c>
      <c r="E19" s="169" t="s">
        <v>327</v>
      </c>
      <c r="F19" s="178">
        <f>SQRT(3)</f>
        <v>1.7320508075688772</v>
      </c>
      <c r="G19" s="167">
        <v>1</v>
      </c>
      <c r="H19" s="180">
        <f>IF($E$6&lt;&gt;0,IF(UnidadPatron="","unidad?",sigma_conv1*0.001),0)</f>
        <v>0</v>
      </c>
      <c r="I19" s="180">
        <f>IF($E$6&lt;&gt;0,IF(UnidadPatron="","unidad?",sigma_conv2*0.001),0)</f>
        <v>0</v>
      </c>
      <c r="J19" s="180">
        <f>IF($E$6&lt;&gt;0,IF(UnidadPatron="","unidad?",sigma_conv3*0.001),0)</f>
        <v>0</v>
      </c>
      <c r="K19" s="180">
        <f>IF($E$6&lt;&gt;0,IF(UnidadPatron="","unidad?",sigma_conv4*0.001),0)</f>
        <v>0</v>
      </c>
      <c r="L19" s="180">
        <f>IF($E$6&lt;&gt;0,IF(UnidadPatron="","unidad?",sigma_conv5*0.001),0)</f>
        <v>0</v>
      </c>
      <c r="M19" s="180">
        <f>IF($E$6&lt;&gt;0,IF(UnidadPatron="","unidad?",sigma_conv6*0.001),0)</f>
        <v>0</v>
      </c>
      <c r="N19" s="180">
        <f>IF($E$6&lt;&gt;0,IF(UnidadPatron="","unidad?",sigma_conv7*0.001),0)</f>
        <v>0</v>
      </c>
      <c r="O19" s="180">
        <f>IF($E$6&lt;&gt;0,IF(UnidadPatron="","unidad?",sigma_conv8*0.001),0)</f>
        <v>0</v>
      </c>
      <c r="P19" s="180">
        <f>IF($E$6&lt;&gt;0,IF(UnidadPatron="","unidad?",sigma_conv9*0.001),0)</f>
        <v>0</v>
      </c>
      <c r="Q19" s="180">
        <f>IF($E$6&lt;&gt;0,IF(UnidadPatron="","unidad?",sigma_conv10*0.001),0)</f>
        <v>0</v>
      </c>
      <c r="S19" s="4" t="s">
        <v>323</v>
      </c>
      <c r="T19" s="4"/>
      <c r="U19" s="4"/>
      <c r="V19" s="112" t="str">
        <f>CONCATENATE("Todo en [",UnidadEscala,"]")</f>
        <v>Todo en [g]</v>
      </c>
      <c r="W19" s="4"/>
      <c r="AA19" s="131">
        <v>13</v>
      </c>
      <c r="AB19" s="131" t="str">
        <f>Calibración!CS18</f>
        <v/>
      </c>
      <c r="AC19" s="131" t="str">
        <f>IFERROR(VLOOKUP(AB19,tblBD_PatronMasa[[Código Patrón]:[mN-(mpe–U95)]],4,FALSE)/1000,"")</f>
        <v/>
      </c>
      <c r="AD19" s="146" t="str">
        <f>IFERROR(VLOOKUP(AB19,tblBD_PatronMasa[[Código Patrón]:[mN-(mpe–U95)]],11,FALSE)/1000000,"")</f>
        <v/>
      </c>
      <c r="AE19" s="146" t="str">
        <f t="shared" si="0"/>
        <v/>
      </c>
      <c r="AF19" s="131" t="str">
        <f>IFERROR(VLOOKUP(AB19,tblBD_PatronMasa[[Código Patrón]:[Incertidumbre estándar u(ρ) (kg/m³)]],15,0),"")</f>
        <v/>
      </c>
      <c r="AG19" s="131" t="str">
        <f>IFERROR(VLOOKUP(AB19,tblBD_PatronMasa[[Código Patrón]:[Incertidumbre estándar u(ρ) (kg/m³)]],16,0),"")</f>
        <v/>
      </c>
      <c r="AH19" s="146" t="str">
        <f t="shared" si="1"/>
        <v/>
      </c>
      <c r="AI19" s="146" t="str">
        <f t="shared" si="2"/>
        <v/>
      </c>
      <c r="AJ19" s="146" t="str">
        <f t="shared" si="3"/>
        <v/>
      </c>
      <c r="AK19" s="146" t="str">
        <f t="shared" si="4"/>
        <v/>
      </c>
    </row>
    <row r="20" spans="2:37" ht="14.4" customHeight="1" x14ac:dyDescent="0.3">
      <c r="B20" s="339" t="s">
        <v>326</v>
      </c>
      <c r="C20" s="340" t="s">
        <v>325</v>
      </c>
      <c r="D20" s="341" t="s">
        <v>324</v>
      </c>
      <c r="E20" s="342" t="s">
        <v>322</v>
      </c>
      <c r="F20" s="343" t="s">
        <v>367</v>
      </c>
      <c r="G20" s="289"/>
      <c r="H20" s="344">
        <f>SQRT(SUMSQ('kU(E)'!$H$12:$H$19))</f>
        <v>0</v>
      </c>
      <c r="I20" s="344">
        <f>SQRT(SUMSQ('kU(E)'!$I$12:$I$19))</f>
        <v>0</v>
      </c>
      <c r="J20" s="344">
        <f>SQRT(SUMSQ('kU(E)'!$J$12:$J$19))</f>
        <v>0</v>
      </c>
      <c r="K20" s="344">
        <f>SQRT(SUMSQ('kU(E)'!$K$12:$K$19))</f>
        <v>0</v>
      </c>
      <c r="L20" s="344">
        <f>SQRT(SUMSQ('kU(E)'!$L$12:$L$19))</f>
        <v>0</v>
      </c>
      <c r="M20" s="344">
        <f>SQRT(SUMSQ('kU(E)'!$M$12:$M$19))</f>
        <v>0</v>
      </c>
      <c r="N20" s="344">
        <f>SQRT(SUMSQ('kU(E)'!$N$12:$N$19))</f>
        <v>0</v>
      </c>
      <c r="O20" s="344">
        <f>SQRT(SUMSQ('kU(E)'!$O$12:$O$19))</f>
        <v>0</v>
      </c>
      <c r="P20" s="344">
        <f>SQRT(SUMSQ('kU(E)'!$P$12:$P$19))</f>
        <v>0</v>
      </c>
      <c r="Q20" s="344">
        <f>SQRT(SUMSQ('kU(E)'!$Q$12:$Q$19))</f>
        <v>0</v>
      </c>
      <c r="S20" s="163" t="s">
        <v>146</v>
      </c>
      <c r="T20" s="164" t="s">
        <v>321</v>
      </c>
      <c r="U20" s="164" t="s">
        <v>320</v>
      </c>
      <c r="V20" s="164" t="s">
        <v>319</v>
      </c>
      <c r="W20" s="164" t="s">
        <v>270</v>
      </c>
      <c r="X20" s="164" t="s">
        <v>318</v>
      </c>
      <c r="Y20" s="163" t="s">
        <v>317</v>
      </c>
      <c r="AA20" s="131">
        <v>14</v>
      </c>
      <c r="AB20" s="131" t="str">
        <f>Calibración!CS19</f>
        <v/>
      </c>
      <c r="AC20" s="131" t="str">
        <f>IFERROR(VLOOKUP(AB20,tblBD_PatronMasa[[Código Patrón]:[mN-(mpe–U95)]],4,FALSE)/1000,"")</f>
        <v/>
      </c>
      <c r="AD20" s="146" t="str">
        <f>IFERROR(VLOOKUP(AB20,tblBD_PatronMasa[[Código Patrón]:[mN-(mpe–U95)]],11,FALSE)/1000000,"")</f>
        <v/>
      </c>
      <c r="AE20" s="146" t="str">
        <f t="shared" si="0"/>
        <v/>
      </c>
      <c r="AF20" s="131" t="str">
        <f>IFERROR(VLOOKUP(AB20,tblBD_PatronMasa[[Código Patrón]:[Incertidumbre estándar u(ρ) (kg/m³)]],15,0),"")</f>
        <v/>
      </c>
      <c r="AG20" s="131" t="str">
        <f>IFERROR(VLOOKUP(AB20,tblBD_PatronMasa[[Código Patrón]:[Incertidumbre estándar u(ρ) (kg/m³)]],16,0),"")</f>
        <v/>
      </c>
      <c r="AH20" s="146" t="str">
        <f t="shared" si="1"/>
        <v/>
      </c>
      <c r="AI20" s="146" t="str">
        <f t="shared" si="2"/>
        <v/>
      </c>
      <c r="AJ20" s="146" t="str">
        <f t="shared" si="3"/>
        <v/>
      </c>
      <c r="AK20" s="146" t="str">
        <f t="shared" si="4"/>
        <v/>
      </c>
    </row>
    <row r="21" spans="2:37" ht="14.4" customHeight="1" x14ac:dyDescent="0.3"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S21" s="131" t="s">
        <v>174</v>
      </c>
      <c r="T21" s="152">
        <f>Calibración!C23</f>
        <v>0</v>
      </c>
      <c r="U21" s="152">
        <f>Calibración!F23</f>
        <v>0</v>
      </c>
      <c r="V21" s="174">
        <f t="shared" ref="V21:V31" si="9">IFERROR(U21-T21,"")</f>
        <v>0</v>
      </c>
      <c r="W21" s="173">
        <f>IFERROR(IF(U21="","",H51),2)</f>
        <v>2</v>
      </c>
      <c r="X21" s="172">
        <f>IFERROR(IF(UnidadPatron="g",'kU(E)'!$H$20*1000,IF(UnidadPatron="lb",'kU(E)'!$H$20*2.20462,'kU(E)'!$H$20))*W21,"")</f>
        <v>0</v>
      </c>
      <c r="Y21" s="151">
        <f>IFERROR(IF(UnidadPatron="g",CMC!M16,IF(UnidadPatron="lb",CMC!M16*0.0022,CMC!M16/1000)),"")</f>
        <v>0</v>
      </c>
      <c r="AA21" s="131">
        <v>15</v>
      </c>
      <c r="AB21" s="131" t="str">
        <f>Calibración!CS20</f>
        <v/>
      </c>
      <c r="AC21" s="131" t="str">
        <f>IFERROR(VLOOKUP(AB21,tblBD_PatronMasa[[Código Patrón]:[mN-(mpe–U95)]],4,FALSE)/1000,"")</f>
        <v/>
      </c>
      <c r="AD21" s="146" t="str">
        <f>IFERROR(VLOOKUP(AB21,tblBD_PatronMasa[[Código Patrón]:[mN-(mpe–U95)]],11,FALSE)/1000000,"")</f>
        <v/>
      </c>
      <c r="AE21" s="146" t="str">
        <f t="shared" si="0"/>
        <v/>
      </c>
      <c r="AF21" s="131" t="str">
        <f>IFERROR(VLOOKUP(AB21,tblBD_PatronMasa[[Código Patrón]:[Incertidumbre estándar u(ρ) (kg/m³)]],15,0),"")</f>
        <v/>
      </c>
      <c r="AG21" s="131" t="str">
        <f>IFERROR(VLOOKUP(AB21,tblBD_PatronMasa[[Código Patrón]:[Incertidumbre estándar u(ρ) (kg/m³)]],16,0),"")</f>
        <v/>
      </c>
      <c r="AH21" s="146" t="str">
        <f t="shared" si="1"/>
        <v/>
      </c>
      <c r="AI21" s="146" t="str">
        <f t="shared" si="2"/>
        <v/>
      </c>
      <c r="AJ21" s="146" t="str">
        <f t="shared" si="3"/>
        <v/>
      </c>
      <c r="AK21" s="146" t="str">
        <f t="shared" si="4"/>
        <v/>
      </c>
    </row>
    <row r="22" spans="2:37" ht="14.4" customHeight="1" x14ac:dyDescent="0.3"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S22" s="131" t="s">
        <v>172</v>
      </c>
      <c r="T22" s="152">
        <f>Calibración!C24</f>
        <v>0</v>
      </c>
      <c r="U22" s="152" t="str">
        <f>Calibración!F24</f>
        <v/>
      </c>
      <c r="V22" s="174" t="str">
        <f t="shared" si="9"/>
        <v/>
      </c>
      <c r="W22" s="173" t="str">
        <f t="shared" ref="W22:W31" si="10">IFERROR(IF(U22="","",H51),2)</f>
        <v/>
      </c>
      <c r="X22" s="172">
        <f>IFERROR(IF(UnidadPatron="g",'kU(E)'!$H$20*1000,IF(UnidadPatron="lb",'kU(E)'!$H$20*2.20462,'kU(E)'!$H$20))*W21,"")</f>
        <v>0</v>
      </c>
      <c r="Y22" s="151">
        <f>IFERROR(IF(UnidadPatron="g",CMC!M17,IF(UnidadPatron="lb",CMC!M17*0.0022,CMC!M17/1000)),"")</f>
        <v>0</v>
      </c>
      <c r="AA22" s="131">
        <v>16</v>
      </c>
      <c r="AB22" s="131" t="str">
        <f>Calibración!CS21</f>
        <v/>
      </c>
      <c r="AC22" s="131" t="str">
        <f>IFERROR(VLOOKUP(AB22,tblBD_PatronMasa[[Código Patrón]:[mN-(mpe–U95)]],4,FALSE)/1000,"")</f>
        <v/>
      </c>
      <c r="AD22" s="146" t="str">
        <f>IFERROR(VLOOKUP(AB22,tblBD_PatronMasa[[Código Patrón]:[mN-(mpe–U95)]],11,FALSE)/1000000,"")</f>
        <v/>
      </c>
      <c r="AE22" s="146" t="str">
        <f t="shared" si="0"/>
        <v/>
      </c>
      <c r="AF22" s="131" t="str">
        <f>IFERROR(VLOOKUP(AB22,tblBD_PatronMasa[[Código Patrón]:[Incertidumbre estándar u(ρ) (kg/m³)]],15,0),"")</f>
        <v/>
      </c>
      <c r="AG22" s="131" t="str">
        <f>IFERROR(VLOOKUP(AB22,tblBD_PatronMasa[[Código Patrón]:[Incertidumbre estándar u(ρ) (kg/m³)]],16,0),"")</f>
        <v/>
      </c>
      <c r="AH22" s="146" t="str">
        <f t="shared" si="1"/>
        <v/>
      </c>
      <c r="AI22" s="146" t="str">
        <f t="shared" si="2"/>
        <v/>
      </c>
      <c r="AJ22" s="146" t="str">
        <f t="shared" si="3"/>
        <v/>
      </c>
      <c r="AK22" s="146" t="str">
        <f t="shared" si="4"/>
        <v/>
      </c>
    </row>
    <row r="23" spans="2:37" ht="14.4" customHeight="1" x14ac:dyDescent="0.3">
      <c r="B23" s="179" t="s">
        <v>366</v>
      </c>
      <c r="C23" s="112"/>
      <c r="D23" s="112"/>
      <c r="E23" s="112"/>
      <c r="F23" s="112"/>
      <c r="G23" s="8"/>
      <c r="H23" s="127" t="str">
        <f t="shared" ref="H23:Q23" si="11">H10</f>
        <v>0.0g</v>
      </c>
      <c r="I23" s="127" t="str">
        <f t="shared" si="11"/>
        <v>0.0g</v>
      </c>
      <c r="J23" s="127" t="str">
        <f t="shared" si="11"/>
        <v>0.0g</v>
      </c>
      <c r="K23" s="127" t="str">
        <f t="shared" si="11"/>
        <v>0.0g</v>
      </c>
      <c r="L23" s="127" t="str">
        <f t="shared" si="11"/>
        <v>0.0g</v>
      </c>
      <c r="M23" s="127" t="str">
        <f t="shared" si="11"/>
        <v>0.0g</v>
      </c>
      <c r="N23" s="127" t="str">
        <f t="shared" si="11"/>
        <v>0.0g</v>
      </c>
      <c r="O23" s="127" t="str">
        <f t="shared" si="11"/>
        <v>0.0g</v>
      </c>
      <c r="P23" s="127" t="str">
        <f t="shared" si="11"/>
        <v>0.0g</v>
      </c>
      <c r="Q23" s="127" t="str">
        <f t="shared" si="11"/>
        <v>0.0g</v>
      </c>
      <c r="S23" s="131" t="s">
        <v>169</v>
      </c>
      <c r="T23" s="152">
        <f>Calibración!C25</f>
        <v>0</v>
      </c>
      <c r="U23" s="152" t="str">
        <f>Calibración!F25</f>
        <v/>
      </c>
      <c r="V23" s="174" t="str">
        <f t="shared" si="9"/>
        <v/>
      </c>
      <c r="W23" s="173" t="str">
        <f t="shared" si="10"/>
        <v/>
      </c>
      <c r="X23" s="172" t="str">
        <f>IFERROR(IF(UnidadPatron="g",'kU(E)'!$I$20*1000,IF(UnidadPatron="lb",'kU(E)'!$I$20*2.20462,'kU(E)'!$I$20))*W22,"")</f>
        <v/>
      </c>
      <c r="Y23" s="151">
        <f>IFERROR(IF(UnidadPatron="g",CMC!M18,IF(UnidadPatron="lb",CMC!M18*0.0022,CMC!M18/1000)),"")</f>
        <v>0</v>
      </c>
      <c r="AA23" s="131">
        <v>17</v>
      </c>
      <c r="AB23" s="131" t="str">
        <f>Calibración!CS22</f>
        <v/>
      </c>
      <c r="AC23" s="131" t="str">
        <f>IFERROR(VLOOKUP(AB23,tblBD_PatronMasa[[Código Patrón]:[mN-(mpe–U95)]],4,FALSE)/1000,"")</f>
        <v/>
      </c>
      <c r="AD23" s="146" t="str">
        <f>IFERROR(VLOOKUP(AB23,tblBD_PatronMasa[[Código Patrón]:[mN-(mpe–U95)]],11,FALSE)/1000000,"")</f>
        <v/>
      </c>
      <c r="AE23" s="146" t="str">
        <f t="shared" si="0"/>
        <v/>
      </c>
      <c r="AF23" s="131" t="str">
        <f>IFERROR(VLOOKUP(AB23,tblBD_PatronMasa[[Código Patrón]:[Incertidumbre estándar u(ρ) (kg/m³)]],15,0),"")</f>
        <v/>
      </c>
      <c r="AG23" s="131" t="str">
        <f>IFERROR(VLOOKUP(AB23,tblBD_PatronMasa[[Código Patrón]:[Incertidumbre estándar u(ρ) (kg/m³)]],16,0),"")</f>
        <v/>
      </c>
      <c r="AH23" s="146" t="str">
        <f t="shared" si="1"/>
        <v/>
      </c>
      <c r="AI23" s="146" t="str">
        <f t="shared" si="2"/>
        <v/>
      </c>
      <c r="AJ23" s="146" t="str">
        <f t="shared" si="3"/>
        <v/>
      </c>
      <c r="AK23" s="146" t="str">
        <f t="shared" si="4"/>
        <v/>
      </c>
    </row>
    <row r="24" spans="2:37" ht="15" x14ac:dyDescent="0.3">
      <c r="B24" s="12" t="s">
        <v>365</v>
      </c>
      <c r="C24" s="12" t="s">
        <v>364</v>
      </c>
      <c r="D24" s="12" t="s">
        <v>363</v>
      </c>
      <c r="E24" s="12" t="s">
        <v>362</v>
      </c>
      <c r="F24" s="12" t="s">
        <v>361</v>
      </c>
      <c r="G24" s="12" t="s">
        <v>360</v>
      </c>
      <c r="H24" s="203" t="s">
        <v>359</v>
      </c>
      <c r="I24" s="203" t="s">
        <v>358</v>
      </c>
      <c r="J24" s="203" t="s">
        <v>178</v>
      </c>
      <c r="K24" s="203" t="s">
        <v>357</v>
      </c>
      <c r="L24" s="203" t="s">
        <v>177</v>
      </c>
      <c r="M24" s="203" t="s">
        <v>176</v>
      </c>
      <c r="N24" s="203" t="s">
        <v>356</v>
      </c>
      <c r="O24" s="203" t="s">
        <v>355</v>
      </c>
      <c r="P24" s="203" t="s">
        <v>354</v>
      </c>
      <c r="Q24" s="203" t="s">
        <v>353</v>
      </c>
      <c r="S24" s="131" t="s">
        <v>167</v>
      </c>
      <c r="T24" s="152">
        <f>Calibración!C26</f>
        <v>0</v>
      </c>
      <c r="U24" s="152" t="str">
        <f>Calibración!F26</f>
        <v/>
      </c>
      <c r="V24" s="174" t="str">
        <f t="shared" si="9"/>
        <v/>
      </c>
      <c r="W24" s="173" t="str">
        <f t="shared" si="10"/>
        <v/>
      </c>
      <c r="X24" s="172" t="str">
        <f>IFERROR(IF(UnidadPatron="g",'kU(E)'!$J$20*1000,IF(UnidadPatron="lb",'kU(E)'!$J$20*2.20462,'kU(E)'!$J$20))*W23,"")</f>
        <v/>
      </c>
      <c r="Y24" s="151">
        <f>IFERROR(IF(UnidadPatron="g",CMC!M19,IF(UnidadPatron="lb",CMC!M19*0.0022,CMC!M19/1000)),"")</f>
        <v>0</v>
      </c>
      <c r="AA24" s="131">
        <v>18</v>
      </c>
      <c r="AB24" s="131" t="str">
        <f>Calibración!CS23</f>
        <v/>
      </c>
      <c r="AC24" s="131" t="str">
        <f>IFERROR(VLOOKUP(AB24,tblBD_PatronMasa[[Código Patrón]:[mN-(mpe–U95)]],4,FALSE)/1000,"")</f>
        <v/>
      </c>
      <c r="AD24" s="146" t="str">
        <f>IFERROR(VLOOKUP(AB24,tblBD_PatronMasa[[Código Patrón]:[mN-(mpe–U95)]],11,FALSE)/1000000,"")</f>
        <v/>
      </c>
      <c r="AE24" s="146" t="str">
        <f t="shared" si="0"/>
        <v/>
      </c>
      <c r="AF24" s="131" t="str">
        <f>IFERROR(VLOOKUP(AB24,tblBD_PatronMasa[[Código Patrón]:[Incertidumbre estándar u(ρ) (kg/m³)]],15,0),"")</f>
        <v/>
      </c>
      <c r="AG24" s="131" t="str">
        <f>IFERROR(VLOOKUP(AB24,tblBD_PatronMasa[[Código Patrón]:[Incertidumbre estándar u(ρ) (kg/m³)]],16,0),"")</f>
        <v/>
      </c>
      <c r="AH24" s="146" t="str">
        <f t="shared" si="1"/>
        <v/>
      </c>
      <c r="AI24" s="146" t="str">
        <f t="shared" si="2"/>
        <v/>
      </c>
      <c r="AJ24" s="146" t="str">
        <f t="shared" si="3"/>
        <v/>
      </c>
      <c r="AK24" s="146" t="str">
        <f t="shared" si="4"/>
        <v/>
      </c>
    </row>
    <row r="25" spans="2:37" ht="15.6" x14ac:dyDescent="0.3">
      <c r="B25" s="339" t="s">
        <v>352</v>
      </c>
      <c r="C25" s="171" t="s">
        <v>351</v>
      </c>
      <c r="D25" s="170" t="s">
        <v>350</v>
      </c>
      <c r="E25" s="169" t="s">
        <v>327</v>
      </c>
      <c r="F25" s="178">
        <f>2*SQRT(3)</f>
        <v>3.4641016151377544</v>
      </c>
      <c r="G25" s="167">
        <v>1</v>
      </c>
      <c r="H25" s="166">
        <f t="array" ref="H25">IFERROR(ABS(H12)/SUM(ABS('kU(E)'!$H$12:$H$19)),0)</f>
        <v>0</v>
      </c>
      <c r="I25" s="166">
        <f t="array" ref="I25">IFERROR(ABS(I12)/SUM(ABS('kU(E)'!$I$12:$I$19)),0)</f>
        <v>0</v>
      </c>
      <c r="J25" s="166">
        <f t="array" ref="J25">IFERROR(ABS(J12)/SUM(ABS('kU(E)'!$J$12:$J$19)),0)</f>
        <v>0</v>
      </c>
      <c r="K25" s="166">
        <f t="array" ref="K25">IFERROR(ABS(K12)/SUM(ABS('kU(E)'!$K$12:$K$19)),0)</f>
        <v>0</v>
      </c>
      <c r="L25" s="166">
        <f t="array" ref="L25">IFERROR(ABS(L12)/SUM(ABS('kU(E)'!$L$12:$L$19)),0)</f>
        <v>0</v>
      </c>
      <c r="M25" s="166">
        <f t="array" ref="M25">IFERROR(ABS(M12)/SUM(ABS('kU(E)'!$M$12:$M$19)),0)</f>
        <v>0</v>
      </c>
      <c r="N25" s="166">
        <f t="array" ref="N25">IFERROR(ABS(N12)/SUM(ABS('kU(E)'!$N$12:$N$19)),0)</f>
        <v>0</v>
      </c>
      <c r="O25" s="166">
        <f t="array" ref="O25">IFERROR(ABS(O12)/SUM(ABS('kU(E)'!$O$12:$O$19)),0)</f>
        <v>0</v>
      </c>
      <c r="P25" s="166">
        <f t="array" ref="P25">IFERROR(ABS(P12)/SUM(ABS('kU(E)'!$P$12:$P$19)),0)</f>
        <v>0</v>
      </c>
      <c r="Q25" s="166">
        <f t="array" ref="Q25">IFERROR(ABS(Q12)/SUM(ABS('kU(E)'!$Q$12:$Q$19)),0)</f>
        <v>0</v>
      </c>
      <c r="S25" s="131" t="s">
        <v>165</v>
      </c>
      <c r="T25" s="152">
        <f>Calibración!C27</f>
        <v>0</v>
      </c>
      <c r="U25" s="152" t="str">
        <f>Calibración!F27</f>
        <v/>
      </c>
      <c r="V25" s="174" t="str">
        <f t="shared" si="9"/>
        <v/>
      </c>
      <c r="W25" s="173" t="str">
        <f t="shared" si="10"/>
        <v/>
      </c>
      <c r="X25" s="172" t="str">
        <f>IFERROR(IF(UnidadPatron="g",'kU(E)'!$K$20*1000,IF(UnidadPatron="lb",'kU(E)'!$K$20*2.20462,'kU(E)'!$K$20))*W24,"")</f>
        <v/>
      </c>
      <c r="Y25" s="151">
        <f>IFERROR(IF(UnidadPatron="g",CMC!M20,IF(UnidadPatron="lb",CMC!M20*0.0022,CMC!M20/1000)),"")</f>
        <v>0</v>
      </c>
      <c r="AA25" s="131">
        <v>19</v>
      </c>
      <c r="AB25" s="131" t="str">
        <f>Calibración!CS24</f>
        <v/>
      </c>
      <c r="AC25" s="131" t="str">
        <f>IFERROR(VLOOKUP(AB25,tblBD_PatronMasa[[Código Patrón]:[mN-(mpe–U95)]],4,FALSE)/1000,"")</f>
        <v/>
      </c>
      <c r="AD25" s="146" t="str">
        <f>IFERROR(VLOOKUP(AB25,tblBD_PatronMasa[[Código Patrón]:[mN-(mpe–U95)]],11,FALSE)/1000000,"")</f>
        <v/>
      </c>
      <c r="AE25" s="146" t="str">
        <f t="shared" si="0"/>
        <v/>
      </c>
      <c r="AF25" s="131" t="str">
        <f>IFERROR(VLOOKUP(AB25,tblBD_PatronMasa[[Código Patrón]:[Incertidumbre estándar u(ρ) (kg/m³)]],15,0),"")</f>
        <v/>
      </c>
      <c r="AG25" s="131" t="str">
        <f>IFERROR(VLOOKUP(AB25,tblBD_PatronMasa[[Código Patrón]:[Incertidumbre estándar u(ρ) (kg/m³)]],16,0),"")</f>
        <v/>
      </c>
      <c r="AH25" s="146" t="str">
        <f t="shared" si="1"/>
        <v/>
      </c>
      <c r="AI25" s="146" t="str">
        <f t="shared" si="2"/>
        <v/>
      </c>
      <c r="AJ25" s="146" t="str">
        <f t="shared" si="3"/>
        <v/>
      </c>
      <c r="AK25" s="146" t="str">
        <f t="shared" si="4"/>
        <v/>
      </c>
    </row>
    <row r="26" spans="2:37" ht="15.6" x14ac:dyDescent="0.3">
      <c r="B26" s="339" t="s">
        <v>349</v>
      </c>
      <c r="C26" s="171" t="s">
        <v>348</v>
      </c>
      <c r="D26" s="170" t="s">
        <v>347</v>
      </c>
      <c r="E26" s="169" t="s">
        <v>327</v>
      </c>
      <c r="F26" s="178">
        <f>4*SQRT(3)</f>
        <v>6.9282032302755088</v>
      </c>
      <c r="G26" s="167">
        <v>1</v>
      </c>
      <c r="H26" s="166">
        <f t="array" ref="H26">IFERROR(ABS(H13)/SUM(ABS('kU(E)'!$H$12:$H$19)),0)</f>
        <v>0</v>
      </c>
      <c r="I26" s="166">
        <f t="array" ref="I26">IFERROR(ABS(I13)/SUM(ABS('kU(E)'!$I$12:$I$19)),0)</f>
        <v>0</v>
      </c>
      <c r="J26" s="166">
        <f t="array" ref="J26">IFERROR(ABS(J13)/SUM(ABS('kU(E)'!$J$12:$J$19)),0)</f>
        <v>0</v>
      </c>
      <c r="K26" s="166">
        <f t="array" ref="K26">IFERROR(ABS(K13)/SUM(ABS('kU(E)'!$K$12:$K$19)),0)</f>
        <v>0</v>
      </c>
      <c r="L26" s="166">
        <f t="array" ref="L26">IFERROR(ABS(L13)/SUM(ABS('kU(E)'!$L$12:$L$19)),0)</f>
        <v>0</v>
      </c>
      <c r="M26" s="166">
        <f t="array" ref="M26">IFERROR(ABS(M13)/SUM(ABS('kU(E)'!$M$12:$M$19)),0)</f>
        <v>0</v>
      </c>
      <c r="N26" s="166">
        <f t="array" ref="N26">IFERROR(ABS(N13)/SUM(ABS('kU(E)'!$N$12:$N$19)),0)</f>
        <v>0</v>
      </c>
      <c r="O26" s="166">
        <f t="array" ref="O26">IFERROR(ABS(O13)/SUM(ABS('kU(E)'!$O$12:$O$19)),0)</f>
        <v>0</v>
      </c>
      <c r="P26" s="166">
        <f t="array" ref="P26">IFERROR(ABS(P13)/SUM(ABS('kU(E)'!$P$12:$P$19)),0)</f>
        <v>0</v>
      </c>
      <c r="Q26" s="166">
        <f t="array" ref="Q26">IFERROR(ABS(Q13)/SUM(ABS('kU(E)'!$Q$12:$Q$19)),0)</f>
        <v>0</v>
      </c>
      <c r="S26" s="131" t="s">
        <v>164</v>
      </c>
      <c r="T26" s="152">
        <f>Calibración!C28</f>
        <v>0</v>
      </c>
      <c r="U26" s="152" t="str">
        <f>Calibración!F28</f>
        <v/>
      </c>
      <c r="V26" s="174" t="str">
        <f t="shared" si="9"/>
        <v/>
      </c>
      <c r="W26" s="173" t="str">
        <f t="shared" si="10"/>
        <v/>
      </c>
      <c r="X26" s="172" t="str">
        <f>IFERROR(IF(UnidadPatron="g",'kU(E)'!$L$20*1000,IF(UnidadPatron="lb",'kU(E)'!$L$20*2.20462,'kU(E)'!$L$20))*W26,"")</f>
        <v/>
      </c>
      <c r="Y26" s="151">
        <f>IFERROR(IF(UnidadPatron="g",CMC!M21,IF(UnidadPatron="lb",CMC!M21*0.0022,CMC!M21/1000)),"")</f>
        <v>0</v>
      </c>
      <c r="AA26" s="131">
        <v>20</v>
      </c>
      <c r="AB26" s="131" t="str">
        <f>Calibración!CS25</f>
        <v/>
      </c>
      <c r="AC26" s="131" t="str">
        <f>IFERROR(VLOOKUP(AB26,tblBD_PatronMasa[[Código Patrón]:[mN-(mpe–U95)]],4,FALSE)/1000,"")</f>
        <v/>
      </c>
      <c r="AD26" s="146" t="str">
        <f>IFERROR(VLOOKUP(AB26,tblBD_PatronMasa[[Código Patrón]:[mN-(mpe–U95)]],11,FALSE)/1000000,"")</f>
        <v/>
      </c>
      <c r="AE26" s="146" t="str">
        <f t="shared" si="0"/>
        <v/>
      </c>
      <c r="AF26" s="131" t="str">
        <f>IFERROR(VLOOKUP(AB26,tblBD_PatronMasa[[Código Patrón]:[Incertidumbre estándar u(ρ) (kg/m³)]],15,0),"")</f>
        <v/>
      </c>
      <c r="AG26" s="131" t="str">
        <f>IFERROR(VLOOKUP(AB26,tblBD_PatronMasa[[Código Patrón]:[Incertidumbre estándar u(ρ) (kg/m³)]],16,0),"")</f>
        <v/>
      </c>
      <c r="AH26" s="146" t="str">
        <f t="shared" si="1"/>
        <v/>
      </c>
      <c r="AI26" s="146" t="str">
        <f t="shared" si="2"/>
        <v/>
      </c>
      <c r="AJ26" s="146" t="str">
        <f t="shared" si="3"/>
        <v/>
      </c>
      <c r="AK26" s="146" t="str">
        <f t="shared" si="4"/>
        <v/>
      </c>
    </row>
    <row r="27" spans="2:37" ht="15.6" x14ac:dyDescent="0.3">
      <c r="B27" s="339" t="s">
        <v>346</v>
      </c>
      <c r="C27" s="171" t="s">
        <v>345</v>
      </c>
      <c r="D27" s="170" t="s">
        <v>344</v>
      </c>
      <c r="E27" s="169" t="s">
        <v>343</v>
      </c>
      <c r="F27" s="168">
        <v>1</v>
      </c>
      <c r="G27" s="167">
        <v>1</v>
      </c>
      <c r="H27" s="166">
        <f t="array" ref="H27">IFERROR(ABS(H14)/SUM(ABS('kU(E)'!$H$12:$H$19)),0)</f>
        <v>0</v>
      </c>
      <c r="I27" s="166">
        <f t="array" ref="I27">IFERROR(ABS(I14)/SUM(ABS('kU(E)'!$I$12:$I$19)),0)</f>
        <v>0</v>
      </c>
      <c r="J27" s="166">
        <f t="array" ref="J27">IFERROR(ABS(J14)/SUM(ABS('kU(E)'!$J$12:$J$19)),0)</f>
        <v>0</v>
      </c>
      <c r="K27" s="166">
        <f t="array" ref="K27">IFERROR(ABS(K14)/SUM(ABS('kU(E)'!$K$12:$K$19)),0)</f>
        <v>0</v>
      </c>
      <c r="L27" s="166">
        <f t="array" ref="L27">IFERROR(ABS(L14)/SUM(ABS('kU(E)'!$L$12:$L$19)),0)</f>
        <v>0</v>
      </c>
      <c r="M27" s="166">
        <f t="array" ref="M27">IFERROR(ABS(M14)/SUM(ABS('kU(E)'!$M$12:$M$19)),0)</f>
        <v>0</v>
      </c>
      <c r="N27" s="166">
        <f t="array" ref="N27">IFERROR(ABS(N14)/SUM(ABS('kU(E)'!$N$12:$N$19)),0)</f>
        <v>0</v>
      </c>
      <c r="O27" s="166">
        <f t="array" ref="O27">IFERROR(ABS(O14)/SUM(ABS('kU(E)'!$O$12:$O$19)),0)</f>
        <v>0</v>
      </c>
      <c r="P27" s="166">
        <f t="array" ref="P27">IFERROR(ABS(P14)/SUM(ABS('kU(E)'!$P$12:$P$19)),0)</f>
        <v>0</v>
      </c>
      <c r="Q27" s="166">
        <f t="array" ref="Q27">IFERROR(ABS(Q14)/SUM(ABS('kU(E)'!$Q$12:$Q$19)),0)</f>
        <v>0</v>
      </c>
      <c r="S27" s="131" t="s">
        <v>163</v>
      </c>
      <c r="T27" s="152">
        <f>Calibración!C29</f>
        <v>0</v>
      </c>
      <c r="U27" s="152" t="str">
        <f>Calibración!F29</f>
        <v/>
      </c>
      <c r="V27" s="174" t="str">
        <f t="shared" si="9"/>
        <v/>
      </c>
      <c r="W27" s="173" t="str">
        <f t="shared" si="10"/>
        <v/>
      </c>
      <c r="X27" s="172" t="str">
        <f>IFERROR(IF(UnidadPatron="g",'kU(E)'!$M$20*1000,IF(UnidadPatron="lb",'kU(E)'!$M$20*2.20462,'kU(E)'!$M$20))*W27,"")</f>
        <v/>
      </c>
      <c r="Y27" s="151">
        <f>IFERROR(IF(UnidadPatron="g",CMC!M22,IF(UnidadPatron="lb",CMC!M22*0.0022,CMC!M22/1000)),"")</f>
        <v>0</v>
      </c>
      <c r="AA27" s="131">
        <v>21</v>
      </c>
      <c r="AB27" s="131" t="str">
        <f>Calibración!CS26</f>
        <v/>
      </c>
      <c r="AC27" s="131" t="str">
        <f>IFERROR(VLOOKUP(AB27,tblBD_PatronMasa[[Código Patrón]:[mN-(mpe–U95)]],4,FALSE)/1000,"")</f>
        <v/>
      </c>
      <c r="AD27" s="146" t="str">
        <f>IFERROR(VLOOKUP(AB27,tblBD_PatronMasa[[Código Patrón]:[mN-(mpe–U95)]],11,FALSE)/1000000,"")</f>
        <v/>
      </c>
      <c r="AE27" s="146" t="str">
        <f t="shared" si="0"/>
        <v/>
      </c>
      <c r="AF27" s="131" t="str">
        <f>IFERROR(VLOOKUP(AB27,tblBD_PatronMasa[[Código Patrón]:[Incertidumbre estándar u(ρ) (kg/m³)]],15,0),"")</f>
        <v/>
      </c>
      <c r="AG27" s="131" t="str">
        <f>IFERROR(VLOOKUP(AB27,tblBD_PatronMasa[[Código Patrón]:[Incertidumbre estándar u(ρ) (kg/m³)]],16,0),"")</f>
        <v/>
      </c>
      <c r="AH27" s="146" t="str">
        <f t="shared" si="1"/>
        <v/>
      </c>
      <c r="AI27" s="146" t="str">
        <f t="shared" si="2"/>
        <v/>
      </c>
      <c r="AJ27" s="146" t="str">
        <f t="shared" si="3"/>
        <v/>
      </c>
      <c r="AK27" s="146" t="str">
        <f t="shared" si="4"/>
        <v/>
      </c>
    </row>
    <row r="28" spans="2:37" ht="15.6" x14ac:dyDescent="0.3">
      <c r="B28" s="339" t="s">
        <v>342</v>
      </c>
      <c r="C28" s="177" t="s">
        <v>341</v>
      </c>
      <c r="D28" s="170" t="s">
        <v>340</v>
      </c>
      <c r="E28" s="169" t="s">
        <v>327</v>
      </c>
      <c r="F28" s="168">
        <v>1</v>
      </c>
      <c r="G28" s="167">
        <v>1</v>
      </c>
      <c r="H28" s="166">
        <f t="array" ref="H28">IFERROR(ABS(H15)/SUM(ABS('kU(E)'!$H$12:$H$19)),0)</f>
        <v>0</v>
      </c>
      <c r="I28" s="166">
        <f t="array" ref="I28">IFERROR(ABS(I15)/SUM(ABS('kU(E)'!$I$12:$I$19)),0)</f>
        <v>0</v>
      </c>
      <c r="J28" s="166">
        <f t="array" ref="J28">IFERROR(ABS(J15)/SUM(ABS('kU(E)'!$J$12:$J$19)),0)</f>
        <v>0</v>
      </c>
      <c r="K28" s="166">
        <f t="array" ref="K28">IFERROR(ABS(K15)/SUM(ABS('kU(E)'!$K$12:$K$19)),0)</f>
        <v>0</v>
      </c>
      <c r="L28" s="166">
        <f t="array" ref="L28">IFERROR(ABS(L15)/SUM(ABS('kU(E)'!$L$12:$L$19)),0)</f>
        <v>0</v>
      </c>
      <c r="M28" s="166">
        <f t="array" ref="M28">IFERROR(ABS(M15)/SUM(ABS('kU(E)'!$M$12:$M$19)),0)</f>
        <v>0</v>
      </c>
      <c r="N28" s="166">
        <f t="array" ref="N28">IFERROR(ABS(N15)/SUM(ABS('kU(E)'!$N$12:$N$19)),0)</f>
        <v>0</v>
      </c>
      <c r="O28" s="166">
        <f t="array" ref="O28">IFERROR(ABS(O15)/SUM(ABS('kU(E)'!$O$12:$O$19)),0)</f>
        <v>0</v>
      </c>
      <c r="P28" s="166">
        <f t="array" ref="P28">IFERROR(ABS(P15)/SUM(ABS('kU(E)'!$P$12:$P$19)),0)</f>
        <v>0</v>
      </c>
      <c r="Q28" s="166">
        <f t="array" ref="Q28">IFERROR(ABS(Q15)/SUM(ABS('kU(E)'!$Q$12:$Q$19)),0)</f>
        <v>0</v>
      </c>
      <c r="S28" s="131" t="s">
        <v>161</v>
      </c>
      <c r="T28" s="152">
        <f>Calibración!C30</f>
        <v>0</v>
      </c>
      <c r="U28" s="152" t="str">
        <f>Calibración!F30</f>
        <v/>
      </c>
      <c r="V28" s="174" t="str">
        <f t="shared" si="9"/>
        <v/>
      </c>
      <c r="W28" s="173" t="str">
        <f t="shared" si="10"/>
        <v/>
      </c>
      <c r="X28" s="172" t="str">
        <f>IFERROR(IF(UnidadPatron="g",'kU(E)'!$N$20*1000,IF(UnidadPatron="lb",'kU(E)'!$N$20*2.20462,'kU(E)'!$N$20))*W28,"")</f>
        <v/>
      </c>
      <c r="Y28" s="151">
        <f>IFERROR(IF(UnidadPatron="g",CMC!M23,IF(UnidadPatron="lb",CMC!M23*0.0022,CMC!M23/1000)),"")</f>
        <v>0</v>
      </c>
      <c r="AA28" s="131">
        <v>22</v>
      </c>
      <c r="AB28" s="131" t="str">
        <f>Calibración!CS27</f>
        <v/>
      </c>
      <c r="AC28" s="131" t="str">
        <f>IFERROR(VLOOKUP(AB28,tblBD_PatronMasa[[Código Patrón]:[mN-(mpe–U95)]],4,FALSE)/1000,"")</f>
        <v/>
      </c>
      <c r="AD28" s="146" t="str">
        <f>IFERROR(VLOOKUP(AB28,tblBD_PatronMasa[[Código Patrón]:[mN-(mpe–U95)]],11,FALSE)/1000000,"")</f>
        <v/>
      </c>
      <c r="AE28" s="146" t="str">
        <f t="shared" si="0"/>
        <v/>
      </c>
      <c r="AF28" s="131" t="str">
        <f>IFERROR(VLOOKUP(AB28,tblBD_PatronMasa[[Código Patrón]:[Incertidumbre estándar u(ρ) (kg/m³)]],15,0),"")</f>
        <v/>
      </c>
      <c r="AG28" s="131" t="str">
        <f>IFERROR(VLOOKUP(AB28,tblBD_PatronMasa[[Código Patrón]:[Incertidumbre estándar u(ρ) (kg/m³)]],16,0),"")</f>
        <v/>
      </c>
      <c r="AH28" s="146" t="str">
        <f t="shared" si="1"/>
        <v/>
      </c>
      <c r="AI28" s="146" t="str">
        <f t="shared" si="2"/>
        <v/>
      </c>
      <c r="AJ28" s="146" t="str">
        <f t="shared" si="3"/>
        <v/>
      </c>
      <c r="AK28" s="146" t="str">
        <f t="shared" si="4"/>
        <v/>
      </c>
    </row>
    <row r="29" spans="2:37" ht="15.6" x14ac:dyDescent="0.3">
      <c r="B29" s="339" t="s">
        <v>339</v>
      </c>
      <c r="C29" s="176" t="s">
        <v>338</v>
      </c>
      <c r="D29" s="170" t="s">
        <v>337</v>
      </c>
      <c r="E29" s="169" t="s">
        <v>327</v>
      </c>
      <c r="F29" s="168">
        <v>2</v>
      </c>
      <c r="G29" s="167">
        <v>1</v>
      </c>
      <c r="H29" s="166">
        <f t="array" ref="H29">IFERROR(ABS(H16)/SUM(ABS('kU(E)'!$H$12:$H$19)),0)</f>
        <v>0</v>
      </c>
      <c r="I29" s="166">
        <f t="array" ref="I29">IFERROR(ABS(I16)/SUM(ABS('kU(E)'!$I$12:$I$19)),0)</f>
        <v>0</v>
      </c>
      <c r="J29" s="166">
        <f t="array" ref="J29">IFERROR(ABS(J16)/SUM(ABS('kU(E)'!$J$12:$J$19)),0)</f>
        <v>0</v>
      </c>
      <c r="K29" s="166">
        <f t="array" ref="K29">IFERROR(ABS(K16)/SUM(ABS('kU(E)'!$K$12:$K$19)),0)</f>
        <v>0</v>
      </c>
      <c r="L29" s="166">
        <f t="array" ref="L29">IFERROR(ABS(L16)/SUM(ABS('kU(E)'!$L$12:$L$19)),0)</f>
        <v>0</v>
      </c>
      <c r="M29" s="166">
        <f t="array" ref="M29">IFERROR(ABS(M16)/SUM(ABS('kU(E)'!$M$12:$M$19)),0)</f>
        <v>0</v>
      </c>
      <c r="N29" s="166">
        <f t="array" ref="N29">IFERROR(ABS(N16)/SUM(ABS('kU(E)'!$N$12:$N$19)),0)</f>
        <v>0</v>
      </c>
      <c r="O29" s="166">
        <f t="array" ref="O29">IFERROR(ABS(O16)/SUM(ABS('kU(E)'!$O$12:$O$19)),0)</f>
        <v>0</v>
      </c>
      <c r="P29" s="166">
        <f t="array" ref="P29">IFERROR(ABS(P16)/SUM(ABS('kU(E)'!$P$12:$P$19)),0)</f>
        <v>0</v>
      </c>
      <c r="Q29" s="166">
        <f t="array" ref="Q29">IFERROR(ABS(Q16)/SUM(ABS('kU(E)'!$Q$12:$Q$19)),0)</f>
        <v>0</v>
      </c>
      <c r="S29" s="131" t="s">
        <v>159</v>
      </c>
      <c r="T29" s="152">
        <f>Calibración!C31</f>
        <v>0</v>
      </c>
      <c r="U29" s="152" t="str">
        <f>Calibración!F31</f>
        <v/>
      </c>
      <c r="V29" s="174" t="str">
        <f t="shared" si="9"/>
        <v/>
      </c>
      <c r="W29" s="173" t="str">
        <f t="shared" si="10"/>
        <v/>
      </c>
      <c r="X29" s="172" t="str">
        <f>IFERROR(IF(UnidadPatron="g",'kU(E)'!$O$20*1000,IF(UnidadPatron="lb",'kU(E)'!$O$20*2.20462,'kU(E)'!$O$20))*W29,"")</f>
        <v/>
      </c>
      <c r="Y29" s="151">
        <f>IFERROR(IF(UnidadPatron="g",CMC!M24,IF(UnidadPatron="lb",CMC!M24*0.0022,CMC!M24/1000)),"")</f>
        <v>0</v>
      </c>
      <c r="AA29" s="131">
        <v>23</v>
      </c>
      <c r="AB29" s="131" t="str">
        <f>Calibración!CS28</f>
        <v/>
      </c>
      <c r="AC29" s="131" t="str">
        <f>IFERROR(VLOOKUP(AB29,tblBD_PatronMasa[[Código Patrón]:[mN-(mpe–U95)]],4,FALSE)/1000,"")</f>
        <v/>
      </c>
      <c r="AD29" s="146" t="str">
        <f>IFERROR(VLOOKUP(AB29,tblBD_PatronMasa[[Código Patrón]:[mN-(mpe–U95)]],11,FALSE)/1000000,"")</f>
        <v/>
      </c>
      <c r="AE29" s="146" t="str">
        <f t="shared" si="0"/>
        <v/>
      </c>
      <c r="AF29" s="131" t="str">
        <f>IFERROR(VLOOKUP(AB29,tblBD_PatronMasa[[Código Patrón]:[Incertidumbre estándar u(ρ) (kg/m³)]],15,0),"")</f>
        <v/>
      </c>
      <c r="AG29" s="131" t="str">
        <f>IFERROR(VLOOKUP(AB29,tblBD_PatronMasa[[Código Patrón]:[Incertidumbre estándar u(ρ) (kg/m³)]],16,0),"")</f>
        <v/>
      </c>
      <c r="AH29" s="146" t="str">
        <f t="shared" si="1"/>
        <v/>
      </c>
      <c r="AI29" s="146" t="str">
        <f t="shared" si="2"/>
        <v/>
      </c>
      <c r="AJ29" s="146" t="str">
        <f t="shared" si="3"/>
        <v/>
      </c>
      <c r="AK29" s="146" t="str">
        <f t="shared" si="4"/>
        <v/>
      </c>
    </row>
    <row r="30" spans="2:37" ht="15.6" x14ac:dyDescent="0.3">
      <c r="B30" s="339" t="s">
        <v>336</v>
      </c>
      <c r="C30" s="171" t="s">
        <v>335</v>
      </c>
      <c r="D30" s="170" t="s">
        <v>334</v>
      </c>
      <c r="E30" s="169" t="s">
        <v>327</v>
      </c>
      <c r="F30" s="168">
        <v>1</v>
      </c>
      <c r="G30" s="167">
        <v>1</v>
      </c>
      <c r="H30" s="166">
        <f t="array" ref="H30">IFERROR(ABS(H17)/SUM(ABS('kU(E)'!$H$12:$H$19)),0)</f>
        <v>0</v>
      </c>
      <c r="I30" s="166">
        <f t="array" ref="I30">IFERROR(ABS(I17)/SUM(ABS('kU(E)'!$I$12:$I$19)),0)</f>
        <v>0</v>
      </c>
      <c r="J30" s="166">
        <f t="array" ref="J30">IFERROR(ABS(J17)/SUM(ABS('kU(E)'!$J$12:$J$19)),0)</f>
        <v>0</v>
      </c>
      <c r="K30" s="166">
        <f t="array" ref="K30">IFERROR(ABS(K17)/SUM(ABS('kU(E)'!$K$12:$K$19)),0)</f>
        <v>0</v>
      </c>
      <c r="L30" s="166">
        <f t="array" ref="L30">IFERROR(ABS(L17)/SUM(ABS('kU(E)'!$L$12:$L$19)),0)</f>
        <v>0</v>
      </c>
      <c r="M30" s="166">
        <f t="array" ref="M30">IFERROR(ABS(M17)/SUM(ABS('kU(E)'!$M$12:$M$19)),0)</f>
        <v>0</v>
      </c>
      <c r="N30" s="166">
        <f t="array" ref="N30">IFERROR(ABS(N17)/SUM(ABS('kU(E)'!$N$12:$N$19)),0)</f>
        <v>0</v>
      </c>
      <c r="O30" s="166">
        <f t="array" ref="O30">IFERROR(ABS(O17)/SUM(ABS('kU(E)'!$O$12:$O$19)),0)</f>
        <v>0</v>
      </c>
      <c r="P30" s="166">
        <f t="array" ref="P30">IFERROR(ABS(P17)/SUM(ABS('kU(E)'!$P$12:$P$19)),0)</f>
        <v>0</v>
      </c>
      <c r="Q30" s="166">
        <f t="array" ref="Q30">IFERROR(ABS(Q17)/SUM(ABS('kU(E)'!$Q$12:$Q$19)),0)</f>
        <v>0</v>
      </c>
      <c r="S30" s="131" t="s">
        <v>158</v>
      </c>
      <c r="T30" s="152">
        <f>Calibración!C32</f>
        <v>0</v>
      </c>
      <c r="U30" s="152" t="str">
        <f>Calibración!F32</f>
        <v/>
      </c>
      <c r="V30" s="174" t="str">
        <f t="shared" si="9"/>
        <v/>
      </c>
      <c r="W30" s="173" t="str">
        <f t="shared" si="10"/>
        <v/>
      </c>
      <c r="X30" s="172" t="str">
        <f>IFERROR(IF(UnidadPatron="g",'kU(E)'!$P$20*1000,IF(UnidadPatron="lb",'kU(E)'!$P$20*2.20462,'kU(E)'!$P$20))*W30,"")</f>
        <v/>
      </c>
      <c r="Y30" s="151">
        <f>IFERROR(IF(UnidadPatron="g",CMC!M25,IF(UnidadPatron="lb",CMC!M25*0.0022,CMC!M25/1000)),"")</f>
        <v>0</v>
      </c>
      <c r="AA30" s="131">
        <v>24</v>
      </c>
      <c r="AB30" s="131" t="str">
        <f>Calibración!CS29</f>
        <v/>
      </c>
      <c r="AC30" s="131" t="str">
        <f>IFERROR(VLOOKUP(AB30,tblBD_PatronMasa[[Código Patrón]:[mN-(mpe–U95)]],4,FALSE)/1000,"")</f>
        <v/>
      </c>
      <c r="AD30" s="146" t="str">
        <f>IFERROR(VLOOKUP(AB30,tblBD_PatronMasa[[Código Patrón]:[mN-(mpe–U95)]],11,FALSE)/1000000,"")</f>
        <v/>
      </c>
      <c r="AE30" s="146" t="str">
        <f t="shared" si="0"/>
        <v/>
      </c>
      <c r="AF30" s="131" t="str">
        <f>IFERROR(VLOOKUP(AB30,tblBD_PatronMasa[[Código Patrón]:[Incertidumbre estándar u(ρ) (kg/m³)]],15,0),"")</f>
        <v/>
      </c>
      <c r="AG30" s="131" t="str">
        <f>IFERROR(VLOOKUP(AB30,tblBD_PatronMasa[[Código Patrón]:[Incertidumbre estándar u(ρ) (kg/m³)]],16,0),"")</f>
        <v/>
      </c>
      <c r="AH30" s="146" t="str">
        <f t="shared" si="1"/>
        <v/>
      </c>
      <c r="AI30" s="146" t="str">
        <f t="shared" si="2"/>
        <v/>
      </c>
      <c r="AJ30" s="146" t="str">
        <f t="shared" si="3"/>
        <v/>
      </c>
      <c r="AK30" s="146" t="str">
        <f t="shared" si="4"/>
        <v/>
      </c>
    </row>
    <row r="31" spans="2:37" ht="15.6" x14ac:dyDescent="0.3">
      <c r="B31" s="339" t="s">
        <v>333</v>
      </c>
      <c r="C31" s="175" t="s">
        <v>332</v>
      </c>
      <c r="D31" s="170" t="s">
        <v>331</v>
      </c>
      <c r="E31" s="169" t="s">
        <v>327</v>
      </c>
      <c r="F31" s="168">
        <v>1</v>
      </c>
      <c r="G31" s="167">
        <v>1</v>
      </c>
      <c r="H31" s="166">
        <f t="array" ref="H31">IFERROR(ABS(H18)/SUM(ABS('kU(E)'!$H$12:$H$19)),0)</f>
        <v>0</v>
      </c>
      <c r="I31" s="166">
        <f t="array" ref="I31">IFERROR(ABS(I18)/SUM(ABS('kU(E)'!$I$12:$I$19)),0)</f>
        <v>0</v>
      </c>
      <c r="J31" s="166">
        <f t="array" ref="J31">IFERROR(ABS(J18)/SUM(ABS('kU(E)'!$J$12:$J$19)),0)</f>
        <v>0</v>
      </c>
      <c r="K31" s="166">
        <f t="array" ref="K31">IFERROR(ABS(K18)/SUM(ABS('kU(E)'!$K$12:$K$19)),0)</f>
        <v>0</v>
      </c>
      <c r="L31" s="166">
        <f t="array" ref="L31">IFERROR(ABS(L18)/SUM(ABS('kU(E)'!$L$12:$L$19)),0)</f>
        <v>0</v>
      </c>
      <c r="M31" s="166">
        <f t="array" ref="M31">IFERROR(ABS(M18)/SUM(ABS('kU(E)'!$M$12:$M$19)),0)</f>
        <v>0</v>
      </c>
      <c r="N31" s="166">
        <f t="array" ref="N31">IFERROR(ABS(N18)/SUM(ABS('kU(E)'!$N$12:$N$19)),0)</f>
        <v>0</v>
      </c>
      <c r="O31" s="166">
        <f t="array" ref="O31">IFERROR(ABS(O18)/SUM(ABS('kU(E)'!$O$12:$O$19)),0)</f>
        <v>0</v>
      </c>
      <c r="P31" s="166">
        <f t="array" ref="P31">IFERROR(ABS(P18)/SUM(ABS('kU(E)'!$P$12:$P$19)),0)</f>
        <v>0</v>
      </c>
      <c r="Q31" s="166">
        <f t="array" ref="Q31">IFERROR(ABS(Q18)/SUM(ABS('kU(E)'!$Q$12:$Q$19)),0)</f>
        <v>0</v>
      </c>
      <c r="S31" s="131" t="s">
        <v>157</v>
      </c>
      <c r="T31" s="152">
        <f>Calibración!C33</f>
        <v>0</v>
      </c>
      <c r="U31" s="152" t="str">
        <f>Calibración!F33</f>
        <v/>
      </c>
      <c r="V31" s="174" t="str">
        <f t="shared" si="9"/>
        <v/>
      </c>
      <c r="W31" s="173" t="str">
        <f t="shared" si="10"/>
        <v/>
      </c>
      <c r="X31" s="172" t="str">
        <f>IFERROR(IF(UnidadPatron="g",'kU(E)'!$Q$20*1000,IF(UnidadPatron="lb",'kU(E)'!$Q$20*2.20462,'kU(E)'!$Q$20))*W31,"")</f>
        <v/>
      </c>
      <c r="Y31" s="151">
        <f>IFERROR(IF(UnidadPatron="g",CMC!M26,IF(UnidadPatron="lb",CMC!M26*0.0022,CMC!M26/1000)),"")</f>
        <v>0</v>
      </c>
      <c r="AA31" s="131">
        <v>25</v>
      </c>
      <c r="AB31" s="131" t="str">
        <f>Calibración!CS30</f>
        <v/>
      </c>
      <c r="AC31" s="131" t="str">
        <f>IFERROR(VLOOKUP(AB31,tblBD_PatronMasa[[Código Patrón]:[mN-(mpe–U95)]],4,FALSE)/1000,"")</f>
        <v/>
      </c>
      <c r="AD31" s="146" t="str">
        <f>IFERROR(VLOOKUP(AB31,tblBD_PatronMasa[[Código Patrón]:[mN-(mpe–U95)]],11,FALSE)/1000000,"")</f>
        <v/>
      </c>
      <c r="AE31" s="146" t="str">
        <f t="shared" si="0"/>
        <v/>
      </c>
      <c r="AF31" s="131" t="str">
        <f>IFERROR(VLOOKUP(AB31,tblBD_PatronMasa[[Código Patrón]:[Incertidumbre estándar u(ρ) (kg/m³)]],15,0),"")</f>
        <v/>
      </c>
      <c r="AG31" s="131" t="str">
        <f>IFERROR(VLOOKUP(AB31,tblBD_PatronMasa[[Código Patrón]:[Incertidumbre estándar u(ρ) (kg/m³)]],16,0),"")</f>
        <v/>
      </c>
      <c r="AH31" s="146" t="str">
        <f t="shared" si="1"/>
        <v/>
      </c>
      <c r="AI31" s="146" t="str">
        <f t="shared" si="2"/>
        <v/>
      </c>
      <c r="AJ31" s="146" t="str">
        <f t="shared" si="3"/>
        <v/>
      </c>
      <c r="AK31" s="146" t="str">
        <f t="shared" si="4"/>
        <v/>
      </c>
    </row>
    <row r="32" spans="2:37" ht="15.6" x14ac:dyDescent="0.3">
      <c r="B32" s="339" t="s">
        <v>330</v>
      </c>
      <c r="C32" s="171" t="s">
        <v>329</v>
      </c>
      <c r="D32" s="170" t="s">
        <v>328</v>
      </c>
      <c r="E32" s="169" t="s">
        <v>327</v>
      </c>
      <c r="F32" s="168">
        <v>1</v>
      </c>
      <c r="G32" s="167">
        <v>1</v>
      </c>
      <c r="H32" s="166">
        <f t="array" ref="H32">IFERROR(ABS(H19)/SUM(ABS('kU(E)'!$H$12:$H$19)),0)</f>
        <v>0</v>
      </c>
      <c r="I32" s="166">
        <f t="array" ref="I32">IFERROR(ABS(I19)/SUM(ABS('kU(E)'!$I$12:$I$19)),0)</f>
        <v>0</v>
      </c>
      <c r="J32" s="166">
        <f t="array" ref="J32">IFERROR(ABS(J19)/SUM(ABS('kU(E)'!$J$12:$J$19)),0)</f>
        <v>0</v>
      </c>
      <c r="K32" s="166">
        <f t="array" ref="K32">IFERROR(ABS(K19)/SUM(ABS('kU(E)'!$K$12:$K$19)),0)</f>
        <v>0</v>
      </c>
      <c r="L32" s="166">
        <f t="array" ref="L32">IFERROR(ABS(L19)/SUM(ABS('kU(E)'!$L$12:$L$19)),0)</f>
        <v>0</v>
      </c>
      <c r="M32" s="166">
        <f t="array" ref="M32">IFERROR(ABS(M19)/SUM(ABS('kU(E)'!$M$12:$M$19)),0)</f>
        <v>0</v>
      </c>
      <c r="N32" s="166">
        <f t="array" ref="N32">IFERROR(ABS(N19)/SUM(ABS('kU(E)'!$N$12:$N$19)),0)</f>
        <v>0</v>
      </c>
      <c r="O32" s="166">
        <f t="array" ref="O32">IFERROR(ABS(O19)/SUM(ABS('kU(E)'!$O$12:$O$19)),0)</f>
        <v>0</v>
      </c>
      <c r="P32" s="166">
        <f t="array" ref="P32">IFERROR(ABS(P19)/SUM(ABS('kU(E)'!$P$12:$P$19)),0)</f>
        <v>0</v>
      </c>
      <c r="Q32" s="166">
        <f t="array" ref="Q32">IFERROR(ABS(Q19)/SUM(ABS('kU(E)'!$Q$12:$Q$19)),0)</f>
        <v>0</v>
      </c>
      <c r="AA32" s="131">
        <v>26</v>
      </c>
      <c r="AB32" s="131" t="str">
        <f>Calibración!CS31</f>
        <v/>
      </c>
      <c r="AC32" s="131" t="str">
        <f>IFERROR(VLOOKUP(AB32,tblBD_PatronMasa[[Código Patrón]:[mN-(mpe–U95)]],4,FALSE)/1000,"")</f>
        <v/>
      </c>
      <c r="AD32" s="146" t="str">
        <f>IFERROR(VLOOKUP(AB32,tblBD_PatronMasa[[Código Patrón]:[mN-(mpe–U95)]],11,FALSE)/1000000,"")</f>
        <v/>
      </c>
      <c r="AE32" s="146" t="str">
        <f t="shared" si="0"/>
        <v/>
      </c>
      <c r="AF32" s="131" t="str">
        <f>IFERROR(VLOOKUP(AB32,tblBD_PatronMasa[[Código Patrón]:[Incertidumbre estándar u(ρ) (kg/m³)]],15,0),"")</f>
        <v/>
      </c>
      <c r="AG32" s="131" t="str">
        <f>IFERROR(VLOOKUP(AB32,tblBD_PatronMasa[[Código Patrón]:[Incertidumbre estándar u(ρ) (kg/m³)]],16,0),"")</f>
        <v/>
      </c>
      <c r="AH32" s="146" t="str">
        <f t="shared" si="1"/>
        <v/>
      </c>
      <c r="AI32" s="146" t="str">
        <f t="shared" si="2"/>
        <v/>
      </c>
      <c r="AJ32" s="146" t="str">
        <f t="shared" si="3"/>
        <v/>
      </c>
      <c r="AK32" s="146" t="str">
        <f t="shared" si="4"/>
        <v/>
      </c>
    </row>
    <row r="33" spans="2:37" x14ac:dyDescent="0.3">
      <c r="B33" s="339" t="s">
        <v>326</v>
      </c>
      <c r="C33" s="340" t="s">
        <v>325</v>
      </c>
      <c r="D33" s="341" t="s">
        <v>324</v>
      </c>
      <c r="E33" s="345"/>
      <c r="F33" s="346"/>
      <c r="G33" s="289"/>
      <c r="H33" s="347">
        <f>SUBTOTAL(109,'kU(E)'!$H$25:$H$32)</f>
        <v>0</v>
      </c>
      <c r="I33" s="347">
        <f>SUBTOTAL(109,'kU(E)'!$I$25:$I$32)</f>
        <v>0</v>
      </c>
      <c r="J33" s="347">
        <f>SUBTOTAL(109,'kU(E)'!$J$25:$J$32)</f>
        <v>0</v>
      </c>
      <c r="K33" s="347">
        <f>SUBTOTAL(109,'kU(E)'!$K$25:$K$32)</f>
        <v>0</v>
      </c>
      <c r="L33" s="347">
        <f>SUBTOTAL(109,'kU(E)'!$L$25:$L$32)</f>
        <v>0</v>
      </c>
      <c r="M33" s="347">
        <f>SUBTOTAL(109,'kU(E)'!$M$25:$M$32)</f>
        <v>0</v>
      </c>
      <c r="N33" s="347">
        <f>SUBTOTAL(109,'kU(E)'!$N$25:$N$32)</f>
        <v>0</v>
      </c>
      <c r="O33" s="347">
        <f>SUBTOTAL(109,'kU(E)'!$O$25:$O$32)</f>
        <v>0</v>
      </c>
      <c r="P33" s="347">
        <f>SUBTOTAL(109,'kU(E)'!$P$25:$P$32)</f>
        <v>0</v>
      </c>
      <c r="Q33" s="347">
        <f>SUBTOTAL(109,'kU(E)'!$Q$25:$Q$32)</f>
        <v>0</v>
      </c>
      <c r="AA33" s="131">
        <v>27</v>
      </c>
      <c r="AB33" s="131" t="str">
        <f>Calibración!CS32</f>
        <v/>
      </c>
      <c r="AC33" s="131" t="str">
        <f>IFERROR(VLOOKUP(AB33,tblBD_PatronMasa[[Código Patrón]:[mN-(mpe–U95)]],4,FALSE)/1000,"")</f>
        <v/>
      </c>
      <c r="AD33" s="146" t="str">
        <f>IFERROR(VLOOKUP(AB33,tblBD_PatronMasa[[Código Patrón]:[mN-(mpe–U95)]],11,FALSE)/1000000,"")</f>
        <v/>
      </c>
      <c r="AE33" s="146" t="str">
        <f t="shared" si="0"/>
        <v/>
      </c>
      <c r="AF33" s="131" t="str">
        <f>IFERROR(VLOOKUP(AB33,tblBD_PatronMasa[[Código Patrón]:[Incertidumbre estándar u(ρ) (kg/m³)]],15,0),"")</f>
        <v/>
      </c>
      <c r="AG33" s="131" t="str">
        <f>IFERROR(VLOOKUP(AB33,tblBD_PatronMasa[[Código Patrón]:[Incertidumbre estándar u(ρ) (kg/m³)]],16,0),"")</f>
        <v/>
      </c>
      <c r="AH33" s="146" t="str">
        <f t="shared" si="1"/>
        <v/>
      </c>
      <c r="AI33" s="146" t="str">
        <f t="shared" si="2"/>
        <v/>
      </c>
      <c r="AJ33" s="146" t="str">
        <f t="shared" si="3"/>
        <v/>
      </c>
      <c r="AK33" s="146" t="str">
        <f t="shared" si="4"/>
        <v/>
      </c>
    </row>
    <row r="34" spans="2:37" x14ac:dyDescent="0.3"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S34" s="112" t="s">
        <v>323</v>
      </c>
      <c r="T34" s="112"/>
      <c r="U34" s="112"/>
      <c r="V34" s="112" t="s">
        <v>322</v>
      </c>
      <c r="W34" s="165" t="s">
        <v>130</v>
      </c>
      <c r="AA34" s="131">
        <v>28</v>
      </c>
      <c r="AB34" s="131" t="str">
        <f>Calibración!CS33</f>
        <v/>
      </c>
      <c r="AC34" s="131" t="str">
        <f>IFERROR(VLOOKUP(AB34,tblBD_PatronMasa[[Código Patrón]:[mN-(mpe–U95)]],4,FALSE)/1000,"")</f>
        <v/>
      </c>
      <c r="AD34" s="146" t="str">
        <f>IFERROR(VLOOKUP(AB34,tblBD_PatronMasa[[Código Patrón]:[mN-(mpe–U95)]],11,FALSE)/1000000,"")</f>
        <v/>
      </c>
      <c r="AE34" s="146" t="str">
        <f t="shared" si="0"/>
        <v/>
      </c>
      <c r="AF34" s="131" t="str">
        <f>IFERROR(VLOOKUP(AB34,tblBD_PatronMasa[[Código Patrón]:[Incertidumbre estándar u(ρ) (kg/m³)]],15,0),"")</f>
        <v/>
      </c>
      <c r="AG34" s="131" t="str">
        <f>IFERROR(VLOOKUP(AB34,tblBD_PatronMasa[[Código Patrón]:[Incertidumbre estándar u(ρ) (kg/m³)]],16,0),"")</f>
        <v/>
      </c>
      <c r="AH34" s="146" t="str">
        <f t="shared" si="1"/>
        <v/>
      </c>
      <c r="AI34" s="146" t="str">
        <f t="shared" si="2"/>
        <v/>
      </c>
      <c r="AJ34" s="146" t="str">
        <f t="shared" si="3"/>
        <v/>
      </c>
      <c r="AK34" s="146" t="str">
        <f t="shared" si="4"/>
        <v/>
      </c>
    </row>
    <row r="35" spans="2:37" ht="15.6" x14ac:dyDescent="0.3"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S35" s="163" t="s">
        <v>146</v>
      </c>
      <c r="T35" s="164" t="s">
        <v>321</v>
      </c>
      <c r="U35" s="164" t="s">
        <v>320</v>
      </c>
      <c r="V35" s="164" t="s">
        <v>319</v>
      </c>
      <c r="W35" s="164" t="s">
        <v>270</v>
      </c>
      <c r="X35" s="164" t="s">
        <v>318</v>
      </c>
      <c r="Y35" s="163" t="s">
        <v>317</v>
      </c>
      <c r="AA35" s="131">
        <v>29</v>
      </c>
      <c r="AB35" s="131" t="str">
        <f>Calibración!CS34</f>
        <v/>
      </c>
      <c r="AC35" s="131" t="str">
        <f>IFERROR(VLOOKUP(AB35,tblBD_PatronMasa[[Código Patrón]:[mN-(mpe–U95)]],4,FALSE)/1000,"")</f>
        <v/>
      </c>
      <c r="AD35" s="146" t="str">
        <f>IFERROR(VLOOKUP(AB35,tblBD_PatronMasa[[Código Patrón]:[mN-(mpe–U95)]],11,FALSE)/1000000,"")</f>
        <v/>
      </c>
      <c r="AE35" s="146" t="str">
        <f t="shared" si="0"/>
        <v/>
      </c>
      <c r="AF35" s="131" t="str">
        <f>IFERROR(VLOOKUP(AB35,tblBD_PatronMasa[[Código Patrón]:[Incertidumbre estándar u(ρ) (kg/m³)]],15,0),"")</f>
        <v/>
      </c>
      <c r="AG35" s="131" t="str">
        <f>IFERROR(VLOOKUP(AB35,tblBD_PatronMasa[[Código Patrón]:[Incertidumbre estándar u(ρ) (kg/m³)]],16,0),"")</f>
        <v/>
      </c>
      <c r="AH35" s="146" t="str">
        <f t="shared" si="1"/>
        <v/>
      </c>
      <c r="AI35" s="146" t="str">
        <f t="shared" si="2"/>
        <v/>
      </c>
      <c r="AJ35" s="146" t="str">
        <f t="shared" si="3"/>
        <v/>
      </c>
      <c r="AK35" s="146" t="str">
        <f t="shared" si="4"/>
        <v/>
      </c>
    </row>
    <row r="36" spans="2:37" x14ac:dyDescent="0.3">
      <c r="C36" s="162" t="s">
        <v>316</v>
      </c>
      <c r="D36" s="162"/>
      <c r="E36" s="140"/>
      <c r="F36" s="140"/>
      <c r="G36" s="140"/>
      <c r="H36" s="140"/>
      <c r="I36" s="140"/>
      <c r="J36" s="140"/>
      <c r="K36" s="140"/>
      <c r="L36" s="140"/>
      <c r="M36" s="140"/>
      <c r="N36" s="140"/>
      <c r="O36" s="140"/>
      <c r="P36" s="140"/>
      <c r="Q36" s="8"/>
      <c r="S36" s="131" t="s">
        <v>174</v>
      </c>
      <c r="T36" s="153" t="str">
        <f t="shared" ref="T36:V46" si="12">IFERROR(IF(UnidadEscala="lb",IF($W$34="g",T21*453.592,T21/2.20462),""),"")</f>
        <v/>
      </c>
      <c r="U36" s="153" t="str">
        <f t="shared" si="12"/>
        <v/>
      </c>
      <c r="V36" s="153" t="str">
        <f t="shared" si="12"/>
        <v/>
      </c>
      <c r="W36" s="152">
        <f t="shared" ref="W36:W46" si="13">W21</f>
        <v>2</v>
      </c>
      <c r="X36" s="152" t="str">
        <f t="shared" ref="X36:X46" si="14">IFERROR(IF(UnidadEscala="lb",IF($W$34="g",X21*453.592,X21/2.20462),""),"")</f>
        <v/>
      </c>
      <c r="Y36" s="151" t="str">
        <f>IFERROR(IF(T36="","",IF($W$34="g",CMC!M16,CMC!M16/1000)),"")</f>
        <v/>
      </c>
      <c r="AA36" s="131">
        <v>30</v>
      </c>
      <c r="AB36" s="131" t="str">
        <f>Calibración!CS35</f>
        <v/>
      </c>
      <c r="AC36" s="131" t="str">
        <f>IFERROR(VLOOKUP(AB36,tblBD_PatronMasa[[Código Patrón]:[mN-(mpe–U95)]],4,FALSE)/1000,"")</f>
        <v/>
      </c>
      <c r="AD36" s="146" t="str">
        <f>IFERROR(VLOOKUP(AB36,tblBD_PatronMasa[[Código Patrón]:[mN-(mpe–U95)]],11,FALSE)/1000000,"")</f>
        <v/>
      </c>
      <c r="AE36" s="146" t="str">
        <f t="shared" si="0"/>
        <v/>
      </c>
      <c r="AF36" s="131" t="str">
        <f>IFERROR(VLOOKUP(AB36,tblBD_PatronMasa[[Código Patrón]:[Incertidumbre estándar u(ρ) (kg/m³)]],15,0),"")</f>
        <v/>
      </c>
      <c r="AG36" s="131" t="str">
        <f>IFERROR(VLOOKUP(AB36,tblBD_PatronMasa[[Código Patrón]:[Incertidumbre estándar u(ρ) (kg/m³)]],16,0),"")</f>
        <v/>
      </c>
      <c r="AH36" s="146" t="str">
        <f t="shared" si="1"/>
        <v/>
      </c>
      <c r="AI36" s="146" t="str">
        <f t="shared" si="2"/>
        <v/>
      </c>
      <c r="AJ36" s="146" t="str">
        <f t="shared" si="3"/>
        <v/>
      </c>
      <c r="AK36" s="146" t="str">
        <f t="shared" si="4"/>
        <v/>
      </c>
    </row>
    <row r="37" spans="2:37" x14ac:dyDescent="0.3">
      <c r="C37" s="160" t="s">
        <v>189</v>
      </c>
      <c r="D37" s="161"/>
      <c r="E37" s="160" t="s">
        <v>315</v>
      </c>
      <c r="F37" s="159"/>
      <c r="G37" s="158" t="s">
        <v>314</v>
      </c>
      <c r="H37" s="140"/>
      <c r="I37" s="140"/>
      <c r="J37" s="140"/>
      <c r="K37" s="140"/>
      <c r="L37" s="140"/>
      <c r="M37" s="140"/>
      <c r="N37" s="140"/>
      <c r="O37" s="140"/>
      <c r="P37" s="140"/>
      <c r="Q37" s="140"/>
      <c r="S37" s="131" t="s">
        <v>172</v>
      </c>
      <c r="T37" s="153" t="str">
        <f t="shared" si="12"/>
        <v/>
      </c>
      <c r="U37" s="153" t="str">
        <f t="shared" si="12"/>
        <v/>
      </c>
      <c r="V37" s="153" t="str">
        <f t="shared" si="12"/>
        <v/>
      </c>
      <c r="W37" s="152" t="str">
        <f t="shared" si="13"/>
        <v/>
      </c>
      <c r="X37" s="152" t="str">
        <f t="shared" si="14"/>
        <v/>
      </c>
      <c r="Y37" s="151" t="str">
        <f>IFERROR(IF(T37="","",IF($W$34="g",CMC!M17,CMC!M17/1000)),"")</f>
        <v/>
      </c>
      <c r="AA37" s="131">
        <v>31</v>
      </c>
      <c r="AB37" s="131" t="str">
        <f>Calibración!CS36</f>
        <v/>
      </c>
      <c r="AC37" s="131" t="str">
        <f>IFERROR(VLOOKUP(AB37,tblBD_PatronMasa[[Código Patrón]:[mN-(mpe–U95)]],4,FALSE)/1000,"")</f>
        <v/>
      </c>
      <c r="AD37" s="146" t="str">
        <f>IFERROR(VLOOKUP(AB37,tblBD_PatronMasa[[Código Patrón]:[mN-(mpe–U95)]],11,FALSE)/1000000,"")</f>
        <v/>
      </c>
      <c r="AE37" s="146" t="str">
        <f t="shared" si="0"/>
        <v/>
      </c>
      <c r="AF37" s="131" t="str">
        <f>IFERROR(VLOOKUP(AB37,tblBD_PatronMasa[[Código Patrón]:[Incertidumbre estándar u(ρ) (kg/m³)]],15,0),"")</f>
        <v/>
      </c>
      <c r="AG37" s="131" t="str">
        <f>IFERROR(VLOOKUP(AB37,tblBD_PatronMasa[[Código Patrón]:[Incertidumbre estándar u(ρ) (kg/m³)]],16,0),"")</f>
        <v/>
      </c>
      <c r="AH37" s="146" t="str">
        <f t="shared" si="1"/>
        <v/>
      </c>
      <c r="AI37" s="146" t="str">
        <f t="shared" si="2"/>
        <v/>
      </c>
      <c r="AJ37" s="146" t="str">
        <f t="shared" si="3"/>
        <v/>
      </c>
      <c r="AK37" s="146" t="str">
        <f t="shared" si="4"/>
        <v/>
      </c>
    </row>
    <row r="38" spans="2:37" x14ac:dyDescent="0.3">
      <c r="C38" s="150" t="s">
        <v>313</v>
      </c>
      <c r="D38" s="97"/>
      <c r="E38" s="144" t="s">
        <v>312</v>
      </c>
      <c r="F38" s="149"/>
      <c r="G38" s="157">
        <f>COUNT(Calibración!E40:E44)</f>
        <v>0</v>
      </c>
      <c r="H38" s="140"/>
      <c r="I38" s="140"/>
      <c r="J38" s="140"/>
      <c r="K38" s="140"/>
      <c r="L38" s="140"/>
      <c r="M38" s="140"/>
      <c r="N38" s="140"/>
      <c r="O38" s="140"/>
      <c r="P38" s="140"/>
      <c r="Q38" s="140"/>
      <c r="S38" s="131" t="s">
        <v>169</v>
      </c>
      <c r="T38" s="153" t="str">
        <f t="shared" si="12"/>
        <v/>
      </c>
      <c r="U38" s="153" t="str">
        <f t="shared" si="12"/>
        <v/>
      </c>
      <c r="V38" s="153" t="str">
        <f t="shared" si="12"/>
        <v/>
      </c>
      <c r="W38" s="152" t="str">
        <f t="shared" si="13"/>
        <v/>
      </c>
      <c r="X38" s="152" t="str">
        <f t="shared" si="14"/>
        <v/>
      </c>
      <c r="Y38" s="151" t="str">
        <f>IFERROR(IF(T38="","",IF($W$34="g",CMC!M18,CMC!M18/1000)),"")</f>
        <v/>
      </c>
      <c r="AA38" s="131">
        <v>32</v>
      </c>
      <c r="AB38" s="131" t="str">
        <f>Calibración!CS37</f>
        <v/>
      </c>
      <c r="AC38" s="131" t="str">
        <f>IFERROR(VLOOKUP(AB38,tblBD_PatronMasa[[Código Patrón]:[mN-(mpe–U95)]],4,FALSE)/1000,"")</f>
        <v/>
      </c>
      <c r="AD38" s="146" t="str">
        <f>IFERROR(VLOOKUP(AB38,tblBD_PatronMasa[[Código Patrón]:[mN-(mpe–U95)]],11,FALSE)/1000000,"")</f>
        <v/>
      </c>
      <c r="AE38" s="146" t="str">
        <f t="shared" si="0"/>
        <v/>
      </c>
      <c r="AF38" s="131" t="str">
        <f>IFERROR(VLOOKUP(AB38,tblBD_PatronMasa[[Código Patrón]:[Incertidumbre estándar u(ρ) (kg/m³)]],15,0),"")</f>
        <v/>
      </c>
      <c r="AG38" s="131" t="str">
        <f>IFERROR(VLOOKUP(AB38,tblBD_PatronMasa[[Código Patrón]:[Incertidumbre estándar u(ρ) (kg/m³)]],16,0),"")</f>
        <v/>
      </c>
      <c r="AH38" s="146" t="str">
        <f t="shared" si="1"/>
        <v/>
      </c>
      <c r="AI38" s="146" t="str">
        <f t="shared" si="2"/>
        <v/>
      </c>
      <c r="AJ38" s="146" t="str">
        <f t="shared" si="3"/>
        <v/>
      </c>
      <c r="AK38" s="146" t="str">
        <f t="shared" si="4"/>
        <v/>
      </c>
    </row>
    <row r="39" spans="2:37" ht="15" x14ac:dyDescent="0.35">
      <c r="C39" s="150" t="s">
        <v>311</v>
      </c>
      <c r="D39" s="97"/>
      <c r="E39" s="144" t="s">
        <v>310</v>
      </c>
      <c r="F39" s="149"/>
      <c r="G39" s="157">
        <f>G38-1</f>
        <v>-1</v>
      </c>
      <c r="H39" s="140"/>
      <c r="I39" s="140"/>
      <c r="J39" s="140"/>
      <c r="K39" s="140"/>
      <c r="L39" s="140"/>
      <c r="M39" s="140"/>
      <c r="N39" s="140"/>
      <c r="O39" s="140"/>
      <c r="P39" s="140"/>
      <c r="Q39" s="140"/>
      <c r="S39" s="131" t="s">
        <v>167</v>
      </c>
      <c r="T39" s="153" t="str">
        <f t="shared" si="12"/>
        <v/>
      </c>
      <c r="U39" s="153" t="str">
        <f t="shared" si="12"/>
        <v/>
      </c>
      <c r="V39" s="153" t="str">
        <f t="shared" si="12"/>
        <v/>
      </c>
      <c r="W39" s="152" t="str">
        <f t="shared" si="13"/>
        <v/>
      </c>
      <c r="X39" s="152" t="str">
        <f t="shared" si="14"/>
        <v/>
      </c>
      <c r="Y39" s="151" t="str">
        <f>IFERROR(IF(T39="","",IF($W$34="g",CMC!M19,CMC!M19/1000)),"")</f>
        <v/>
      </c>
      <c r="AA39" s="131">
        <v>33</v>
      </c>
      <c r="AB39" s="131" t="str">
        <f>Calibración!CS38</f>
        <v/>
      </c>
      <c r="AC39" s="131" t="str">
        <f>IFERROR(VLOOKUP(AB39,tblBD_PatronMasa[[Código Patrón]:[mN-(mpe–U95)]],4,FALSE)/1000,"")</f>
        <v/>
      </c>
      <c r="AD39" s="146" t="str">
        <f>IFERROR(VLOOKUP(AB39,tblBD_PatronMasa[[Código Patrón]:[mN-(mpe–U95)]],11,FALSE)/1000000,"")</f>
        <v/>
      </c>
      <c r="AE39" s="146" t="str">
        <f t="shared" ref="AE39:AE56" si="15">IFERROR((0.1*$X$3/$X$4+AD39/(4*AC39))/SQRT(3),"")</f>
        <v/>
      </c>
      <c r="AF39" s="131" t="str">
        <f>IFERROR(VLOOKUP(AB39,tblBD_PatronMasa[[Código Patrón]:[Incertidumbre estándar u(ρ) (kg/m³)]],15,0),"")</f>
        <v/>
      </c>
      <c r="AG39" s="131" t="str">
        <f>IFERROR(VLOOKUP(AB39,tblBD_PatronMasa[[Código Patrón]:[Incertidumbre estándar u(ρ) (kg/m³)]],16,0),"")</f>
        <v/>
      </c>
      <c r="AH39" s="146" t="str">
        <f t="shared" ref="AH39:AH56" si="16">IFERROR(-AC39*($X$8-$X$3)/AF39,"")</f>
        <v/>
      </c>
      <c r="AI39" s="146" t="str">
        <f t="shared" ref="AI39:AI56" si="17">IFERROR(SQRT(POWER($X$12,2)/POWER(AF39,2)+POWER($X$8-$X$3,2)*POWER(AG39,2)/POWER(AF39,4)),"")</f>
        <v/>
      </c>
      <c r="AJ39" s="146" t="str">
        <f t="shared" ref="AJ39:AJ56" si="18">IFERROR(AH39*AE39,"")</f>
        <v/>
      </c>
      <c r="AK39" s="146" t="str">
        <f t="shared" ref="AK39:AK56" si="19">IFERROR(AH39*AI39,"")</f>
        <v/>
      </c>
    </row>
    <row r="40" spans="2:37" ht="15" x14ac:dyDescent="0.35">
      <c r="C40" s="150" t="s">
        <v>309</v>
      </c>
      <c r="D40" s="97"/>
      <c r="E40" s="144" t="s">
        <v>308</v>
      </c>
      <c r="F40" s="149"/>
      <c r="G40" s="156" t="e">
        <f>IF(UnidadPatron="g",u_rep/1000,IF(UnidadPatron="kg",u_rep,u_rep*0.453592))</f>
        <v>#VALUE!</v>
      </c>
      <c r="H40" s="140"/>
      <c r="I40" s="140"/>
      <c r="J40" s="140"/>
      <c r="K40" s="140"/>
      <c r="L40" s="140"/>
      <c r="M40" s="140"/>
      <c r="N40" s="140"/>
      <c r="O40" s="140"/>
      <c r="P40" s="140"/>
      <c r="Q40" s="140"/>
      <c r="S40" s="131" t="s">
        <v>165</v>
      </c>
      <c r="T40" s="153" t="str">
        <f t="shared" si="12"/>
        <v/>
      </c>
      <c r="U40" s="153" t="str">
        <f t="shared" si="12"/>
        <v/>
      </c>
      <c r="V40" s="153" t="str">
        <f t="shared" si="12"/>
        <v/>
      </c>
      <c r="W40" s="152" t="str">
        <f t="shared" si="13"/>
        <v/>
      </c>
      <c r="X40" s="152" t="str">
        <f t="shared" si="14"/>
        <v/>
      </c>
      <c r="Y40" s="151" t="str">
        <f>IFERROR(IF(T40="","",IF($W$34="g",CMC!M20,CMC!M20/1000)),"")</f>
        <v/>
      </c>
      <c r="AA40" s="131">
        <v>34</v>
      </c>
      <c r="AB40" s="131" t="str">
        <f>Calibración!CS39</f>
        <v/>
      </c>
      <c r="AC40" s="131" t="str">
        <f>IFERROR(VLOOKUP(AB40,tblBD_PatronMasa[[Código Patrón]:[mN-(mpe–U95)]],4,FALSE)/1000,"")</f>
        <v/>
      </c>
      <c r="AD40" s="146" t="str">
        <f>IFERROR(VLOOKUP(AB40,tblBD_PatronMasa[[Código Patrón]:[mN-(mpe–U95)]],11,FALSE)/1000000,"")</f>
        <v/>
      </c>
      <c r="AE40" s="146" t="str">
        <f t="shared" si="15"/>
        <v/>
      </c>
      <c r="AF40" s="131" t="str">
        <f>IFERROR(VLOOKUP(AB40,tblBD_PatronMasa[[Código Patrón]:[Incertidumbre estándar u(ρ) (kg/m³)]],15,0),"")</f>
        <v/>
      </c>
      <c r="AG40" s="131" t="str">
        <f>IFERROR(VLOOKUP(AB40,tblBD_PatronMasa[[Código Patrón]:[Incertidumbre estándar u(ρ) (kg/m³)]],16,0),"")</f>
        <v/>
      </c>
      <c r="AH40" s="146" t="str">
        <f t="shared" si="16"/>
        <v/>
      </c>
      <c r="AI40" s="146" t="str">
        <f t="shared" si="17"/>
        <v/>
      </c>
      <c r="AJ40" s="146" t="str">
        <f t="shared" si="18"/>
        <v/>
      </c>
      <c r="AK40" s="146" t="str">
        <f t="shared" si="19"/>
        <v/>
      </c>
    </row>
    <row r="41" spans="2:37" ht="15.6" x14ac:dyDescent="0.35">
      <c r="C41" s="150" t="s">
        <v>307</v>
      </c>
      <c r="D41" s="97"/>
      <c r="E41" s="144" t="s">
        <v>285</v>
      </c>
      <c r="F41" s="149"/>
      <c r="G41" s="148">
        <f>POWER('kU(E)'!$H$20,4)</f>
        <v>0</v>
      </c>
      <c r="H41" s="155" t="s">
        <v>306</v>
      </c>
      <c r="I41" s="155" t="s">
        <v>305</v>
      </c>
      <c r="J41" s="155" t="s">
        <v>304</v>
      </c>
      <c r="K41" s="155" t="s">
        <v>303</v>
      </c>
      <c r="L41" s="155" t="s">
        <v>302</v>
      </c>
      <c r="M41" s="155" t="s">
        <v>301</v>
      </c>
      <c r="N41" s="155" t="s">
        <v>300</v>
      </c>
      <c r="O41" s="155" t="s">
        <v>299</v>
      </c>
      <c r="P41" s="155" t="s">
        <v>298</v>
      </c>
      <c r="Q41" s="155" t="s">
        <v>297</v>
      </c>
      <c r="S41" s="131" t="s">
        <v>164</v>
      </c>
      <c r="T41" s="153" t="str">
        <f t="shared" si="12"/>
        <v/>
      </c>
      <c r="U41" s="153" t="str">
        <f t="shared" si="12"/>
        <v/>
      </c>
      <c r="V41" s="153" t="str">
        <f t="shared" si="12"/>
        <v/>
      </c>
      <c r="W41" s="152" t="str">
        <f t="shared" si="13"/>
        <v/>
      </c>
      <c r="X41" s="152" t="str">
        <f t="shared" si="14"/>
        <v/>
      </c>
      <c r="Y41" s="151" t="str">
        <f>IFERROR(IF(T41="","",IF($W$34="g",CMC!M21,CMC!M21/1000)),"")</f>
        <v/>
      </c>
      <c r="AA41" s="131">
        <v>35</v>
      </c>
      <c r="AB41" s="131" t="str">
        <f>Calibración!CS40</f>
        <v/>
      </c>
      <c r="AC41" s="131" t="str">
        <f>IFERROR(VLOOKUP(AB41,tblBD_PatronMasa[[Código Patrón]:[mN-(mpe–U95)]],4,FALSE)/1000,"")</f>
        <v/>
      </c>
      <c r="AD41" s="146" t="str">
        <f>IFERROR(VLOOKUP(AB41,tblBD_PatronMasa[[Código Patrón]:[mN-(mpe–U95)]],11,FALSE)/1000000,"")</f>
        <v/>
      </c>
      <c r="AE41" s="146" t="str">
        <f t="shared" si="15"/>
        <v/>
      </c>
      <c r="AF41" s="131" t="str">
        <f>IFERROR(VLOOKUP(AB41,tblBD_PatronMasa[[Código Patrón]:[Incertidumbre estándar u(ρ) (kg/m³)]],15,0),"")</f>
        <v/>
      </c>
      <c r="AG41" s="131" t="str">
        <f>IFERROR(VLOOKUP(AB41,tblBD_PatronMasa[[Código Patrón]:[Incertidumbre estándar u(ρ) (kg/m³)]],16,0),"")</f>
        <v/>
      </c>
      <c r="AH41" s="146" t="str">
        <f t="shared" si="16"/>
        <v/>
      </c>
      <c r="AI41" s="146" t="str">
        <f t="shared" si="17"/>
        <v/>
      </c>
      <c r="AJ41" s="146" t="str">
        <f t="shared" si="18"/>
        <v/>
      </c>
      <c r="AK41" s="146" t="str">
        <f t="shared" si="19"/>
        <v/>
      </c>
    </row>
    <row r="42" spans="2:37" ht="15.6" x14ac:dyDescent="0.35">
      <c r="C42" s="150" t="s">
        <v>296</v>
      </c>
      <c r="D42" s="97"/>
      <c r="E42" s="144" t="s">
        <v>285</v>
      </c>
      <c r="F42" s="149"/>
      <c r="G42" s="148">
        <f>POWER('kU(E)'!$I$20,4)</f>
        <v>0</v>
      </c>
      <c r="H42" s="148">
        <f t="shared" ref="H42:Q42" si="20">IFERROR(POWER(H14,4)/$G$39,"")</f>
        <v>0</v>
      </c>
      <c r="I42" s="148">
        <f t="shared" si="20"/>
        <v>0</v>
      </c>
      <c r="J42" s="148">
        <f t="shared" si="20"/>
        <v>0</v>
      </c>
      <c r="K42" s="148">
        <f t="shared" si="20"/>
        <v>0</v>
      </c>
      <c r="L42" s="148">
        <f t="shared" si="20"/>
        <v>0</v>
      </c>
      <c r="M42" s="148">
        <f t="shared" si="20"/>
        <v>0</v>
      </c>
      <c r="N42" s="148">
        <f t="shared" si="20"/>
        <v>0</v>
      </c>
      <c r="O42" s="148">
        <f t="shared" si="20"/>
        <v>0</v>
      </c>
      <c r="P42" s="148">
        <f t="shared" si="20"/>
        <v>0</v>
      </c>
      <c r="Q42" s="148">
        <f t="shared" si="20"/>
        <v>0</v>
      </c>
      <c r="S42" s="131" t="s">
        <v>163</v>
      </c>
      <c r="T42" s="153" t="str">
        <f t="shared" si="12"/>
        <v/>
      </c>
      <c r="U42" s="153" t="str">
        <f t="shared" si="12"/>
        <v/>
      </c>
      <c r="V42" s="153" t="str">
        <f t="shared" si="12"/>
        <v/>
      </c>
      <c r="W42" s="152" t="str">
        <f t="shared" si="13"/>
        <v/>
      </c>
      <c r="X42" s="152" t="str">
        <f t="shared" si="14"/>
        <v/>
      </c>
      <c r="Y42" s="151" t="str">
        <f>IFERROR(IF(T42="","",IF($W$34="g",CMC!M22,CMC!M22/1000)),"")</f>
        <v/>
      </c>
      <c r="AA42" s="131">
        <v>36</v>
      </c>
      <c r="AB42" s="131" t="str">
        <f>Calibración!CS41</f>
        <v/>
      </c>
      <c r="AC42" s="131" t="str">
        <f>IFERROR(VLOOKUP(AB42,tblBD_PatronMasa[[Código Patrón]:[mN-(mpe–U95)]],4,FALSE)/1000,"")</f>
        <v/>
      </c>
      <c r="AD42" s="146" t="str">
        <f>IFERROR(VLOOKUP(AB42,tblBD_PatronMasa[[Código Patrón]:[mN-(mpe–U95)]],11,FALSE)/1000000,"")</f>
        <v/>
      </c>
      <c r="AE42" s="146" t="str">
        <f t="shared" si="15"/>
        <v/>
      </c>
      <c r="AF42" s="131" t="str">
        <f>IFERROR(VLOOKUP(AB42,tblBD_PatronMasa[[Código Patrón]:[Incertidumbre estándar u(ρ) (kg/m³)]],15,0),"")</f>
        <v/>
      </c>
      <c r="AG42" s="131" t="str">
        <f>IFERROR(VLOOKUP(AB42,tblBD_PatronMasa[[Código Patrón]:[Incertidumbre estándar u(ρ) (kg/m³)]],16,0),"")</f>
        <v/>
      </c>
      <c r="AH42" s="146" t="str">
        <f t="shared" si="16"/>
        <v/>
      </c>
      <c r="AI42" s="146" t="str">
        <f t="shared" si="17"/>
        <v/>
      </c>
      <c r="AJ42" s="146" t="str">
        <f t="shared" si="18"/>
        <v/>
      </c>
      <c r="AK42" s="146" t="str">
        <f t="shared" si="19"/>
        <v/>
      </c>
    </row>
    <row r="43" spans="2:37" ht="15.6" x14ac:dyDescent="0.35">
      <c r="C43" s="150" t="s">
        <v>295</v>
      </c>
      <c r="D43" s="97"/>
      <c r="E43" s="144" t="s">
        <v>285</v>
      </c>
      <c r="F43" s="149"/>
      <c r="G43" s="148">
        <f>POWER('kU(E)'!$J$20,4)</f>
        <v>0</v>
      </c>
      <c r="H43" s="140"/>
      <c r="I43" s="140"/>
      <c r="J43" s="140"/>
      <c r="K43" s="140"/>
      <c r="L43" s="140"/>
      <c r="M43" s="140"/>
      <c r="N43" s="140"/>
      <c r="O43" s="140"/>
      <c r="P43" s="140"/>
      <c r="Q43" s="140"/>
      <c r="S43" s="131" t="s">
        <v>161</v>
      </c>
      <c r="T43" s="153" t="str">
        <f t="shared" si="12"/>
        <v/>
      </c>
      <c r="U43" s="153" t="str">
        <f t="shared" si="12"/>
        <v/>
      </c>
      <c r="V43" s="153" t="str">
        <f t="shared" si="12"/>
        <v/>
      </c>
      <c r="W43" s="152" t="str">
        <f t="shared" si="13"/>
        <v/>
      </c>
      <c r="X43" s="152" t="str">
        <f t="shared" si="14"/>
        <v/>
      </c>
      <c r="Y43" s="151" t="str">
        <f>IFERROR(IF(T43="","",IF($W$34="g",CMC!M23,CMC!M23/1000)),"")</f>
        <v/>
      </c>
      <c r="AA43" s="131">
        <v>37</v>
      </c>
      <c r="AB43" s="131" t="str">
        <f>Calibración!CS42</f>
        <v/>
      </c>
      <c r="AC43" s="131" t="str">
        <f>IFERROR(VLOOKUP(AB43,tblBD_PatronMasa[[Código Patrón]:[mN-(mpe–U95)]],4,FALSE)/1000,"")</f>
        <v/>
      </c>
      <c r="AD43" s="146" t="str">
        <f>IFERROR(VLOOKUP(AB43,tblBD_PatronMasa[[Código Patrón]:[mN-(mpe–U95)]],11,FALSE)/1000000,"")</f>
        <v/>
      </c>
      <c r="AE43" s="146" t="str">
        <f t="shared" si="15"/>
        <v/>
      </c>
      <c r="AF43" s="131" t="str">
        <f>IFERROR(VLOOKUP(AB43,tblBD_PatronMasa[[Código Patrón]:[Incertidumbre estándar u(ρ) (kg/m³)]],15,0),"")</f>
        <v/>
      </c>
      <c r="AG43" s="131" t="str">
        <f>IFERROR(VLOOKUP(AB43,tblBD_PatronMasa[[Código Patrón]:[Incertidumbre estándar u(ρ) (kg/m³)]],16,0),"")</f>
        <v/>
      </c>
      <c r="AH43" s="146" t="str">
        <f t="shared" si="16"/>
        <v/>
      </c>
      <c r="AI43" s="146" t="str">
        <f t="shared" si="17"/>
        <v/>
      </c>
      <c r="AJ43" s="146" t="str">
        <f t="shared" si="18"/>
        <v/>
      </c>
      <c r="AK43" s="146" t="str">
        <f t="shared" si="19"/>
        <v/>
      </c>
    </row>
    <row r="44" spans="2:37" ht="15.6" x14ac:dyDescent="0.35">
      <c r="C44" s="150" t="s">
        <v>294</v>
      </c>
      <c r="D44" s="97"/>
      <c r="E44" s="144" t="s">
        <v>285</v>
      </c>
      <c r="F44" s="149"/>
      <c r="G44" s="148">
        <f>POWER('kU(E)'!$K$20,4)</f>
        <v>0</v>
      </c>
      <c r="H44" s="140"/>
      <c r="I44" s="140"/>
      <c r="J44" s="140"/>
      <c r="K44" s="140"/>
      <c r="L44" s="140"/>
      <c r="M44" s="140"/>
      <c r="N44" s="140"/>
      <c r="O44" s="140"/>
      <c r="P44" s="140"/>
      <c r="Q44" s="140"/>
      <c r="S44" s="131" t="s">
        <v>159</v>
      </c>
      <c r="T44" s="153" t="str">
        <f t="shared" si="12"/>
        <v/>
      </c>
      <c r="U44" s="153" t="str">
        <f t="shared" si="12"/>
        <v/>
      </c>
      <c r="V44" s="153" t="str">
        <f t="shared" si="12"/>
        <v/>
      </c>
      <c r="W44" s="152" t="str">
        <f t="shared" si="13"/>
        <v/>
      </c>
      <c r="X44" s="152" t="str">
        <f t="shared" si="14"/>
        <v/>
      </c>
      <c r="Y44" s="151" t="str">
        <f>IFERROR(IF(T44="","",IF($W$34="g",CMC!M24,CMC!M24/1000)),"")</f>
        <v/>
      </c>
      <c r="AA44" s="131">
        <v>38</v>
      </c>
      <c r="AB44" s="131" t="str">
        <f>Calibración!CS43</f>
        <v/>
      </c>
      <c r="AC44" s="131" t="str">
        <f>IFERROR(VLOOKUP(AB44,tblBD_PatronMasa[[Código Patrón]:[mN-(mpe–U95)]],4,FALSE)/1000,"")</f>
        <v/>
      </c>
      <c r="AD44" s="146" t="str">
        <f>IFERROR(VLOOKUP(AB44,tblBD_PatronMasa[[Código Patrón]:[mN-(mpe–U95)]],11,FALSE)/1000000,"")</f>
        <v/>
      </c>
      <c r="AE44" s="146" t="str">
        <f t="shared" si="15"/>
        <v/>
      </c>
      <c r="AF44" s="131" t="str">
        <f>IFERROR(VLOOKUP(AB44,tblBD_PatronMasa[[Código Patrón]:[Incertidumbre estándar u(ρ) (kg/m³)]],15,0),"")</f>
        <v/>
      </c>
      <c r="AG44" s="131" t="str">
        <f>IFERROR(VLOOKUP(AB44,tblBD_PatronMasa[[Código Patrón]:[Incertidumbre estándar u(ρ) (kg/m³)]],16,0),"")</f>
        <v/>
      </c>
      <c r="AH44" s="146" t="str">
        <f t="shared" si="16"/>
        <v/>
      </c>
      <c r="AI44" s="146" t="str">
        <f t="shared" si="17"/>
        <v/>
      </c>
      <c r="AJ44" s="146" t="str">
        <f t="shared" si="18"/>
        <v/>
      </c>
      <c r="AK44" s="146" t="str">
        <f t="shared" si="19"/>
        <v/>
      </c>
    </row>
    <row r="45" spans="2:37" ht="15.6" x14ac:dyDescent="0.35">
      <c r="C45" s="150" t="s">
        <v>293</v>
      </c>
      <c r="D45" s="97"/>
      <c r="E45" s="144" t="s">
        <v>285</v>
      </c>
      <c r="F45" s="149"/>
      <c r="G45" s="148">
        <f>POWER('kU(E)'!$L$20,4)</f>
        <v>0</v>
      </c>
      <c r="I45" s="154" t="s">
        <v>292</v>
      </c>
      <c r="J45" s="154"/>
      <c r="K45" s="154"/>
      <c r="L45" s="154"/>
      <c r="M45" s="154"/>
      <c r="N45" s="140"/>
      <c r="O45" s="140"/>
      <c r="P45" s="140"/>
      <c r="Q45" s="140"/>
      <c r="S45" s="131" t="s">
        <v>158</v>
      </c>
      <c r="T45" s="153" t="str">
        <f t="shared" si="12"/>
        <v/>
      </c>
      <c r="U45" s="153" t="str">
        <f t="shared" si="12"/>
        <v/>
      </c>
      <c r="V45" s="153" t="str">
        <f t="shared" si="12"/>
        <v/>
      </c>
      <c r="W45" s="152" t="str">
        <f t="shared" si="13"/>
        <v/>
      </c>
      <c r="X45" s="152" t="str">
        <f t="shared" si="14"/>
        <v/>
      </c>
      <c r="Y45" s="151" t="str">
        <f>IFERROR(IF(T45="","",IF($W$34="g",CMC!M25,CMC!M25/1000)),"")</f>
        <v/>
      </c>
      <c r="AA45" s="131">
        <v>39</v>
      </c>
      <c r="AB45" s="131" t="str">
        <f>Calibración!CS44</f>
        <v/>
      </c>
      <c r="AC45" s="131" t="str">
        <f>IFERROR(VLOOKUP(AB45,tblBD_PatronMasa[[Código Patrón]:[mN-(mpe–U95)]],4,FALSE)/1000,"")</f>
        <v/>
      </c>
      <c r="AD45" s="146" t="str">
        <f>IFERROR(VLOOKUP(AB45,tblBD_PatronMasa[[Código Patrón]:[mN-(mpe–U95)]],11,FALSE)/1000000,"")</f>
        <v/>
      </c>
      <c r="AE45" s="146" t="str">
        <f t="shared" si="15"/>
        <v/>
      </c>
      <c r="AF45" s="131" t="str">
        <f>IFERROR(VLOOKUP(AB45,tblBD_PatronMasa[[Código Patrón]:[Incertidumbre estándar u(ρ) (kg/m³)]],15,0),"")</f>
        <v/>
      </c>
      <c r="AG45" s="131" t="str">
        <f>IFERROR(VLOOKUP(AB45,tblBD_PatronMasa[[Código Patrón]:[Incertidumbre estándar u(ρ) (kg/m³)]],16,0),"")</f>
        <v/>
      </c>
      <c r="AH45" s="146" t="str">
        <f t="shared" si="16"/>
        <v/>
      </c>
      <c r="AI45" s="146" t="str">
        <f t="shared" si="17"/>
        <v/>
      </c>
      <c r="AJ45" s="146" t="str">
        <f t="shared" si="18"/>
        <v/>
      </c>
      <c r="AK45" s="146" t="str">
        <f t="shared" si="19"/>
        <v/>
      </c>
    </row>
    <row r="46" spans="2:37" ht="15.6" x14ac:dyDescent="0.35">
      <c r="C46" s="150" t="s">
        <v>291</v>
      </c>
      <c r="D46" s="99"/>
      <c r="E46" s="144" t="s">
        <v>285</v>
      </c>
      <c r="F46" s="149"/>
      <c r="G46" s="148">
        <f>POWER('kU(E)'!$M$20,4)</f>
        <v>0</v>
      </c>
      <c r="H46" s="140"/>
      <c r="I46" s="154" t="s">
        <v>290</v>
      </c>
      <c r="J46" s="154"/>
      <c r="K46" s="154"/>
      <c r="L46" s="154"/>
      <c r="M46" s="154"/>
      <c r="N46" s="140"/>
      <c r="O46" s="140"/>
      <c r="P46" s="140"/>
      <c r="Q46" s="140"/>
      <c r="S46" s="131" t="s">
        <v>157</v>
      </c>
      <c r="T46" s="153" t="str">
        <f t="shared" si="12"/>
        <v/>
      </c>
      <c r="U46" s="153" t="str">
        <f t="shared" si="12"/>
        <v/>
      </c>
      <c r="V46" s="153" t="str">
        <f t="shared" si="12"/>
        <v/>
      </c>
      <c r="W46" s="152" t="str">
        <f t="shared" si="13"/>
        <v/>
      </c>
      <c r="X46" s="152" t="str">
        <f t="shared" si="14"/>
        <v/>
      </c>
      <c r="Y46" s="151" t="str">
        <f>IFERROR(IF(T46="","",IF($W$34="g",CMC!M26,CMC!M26/1000)),"")</f>
        <v/>
      </c>
      <c r="AA46" s="131">
        <v>40</v>
      </c>
      <c r="AB46" s="131" t="str">
        <f>Calibración!CS45</f>
        <v/>
      </c>
      <c r="AC46" s="131" t="str">
        <f>IFERROR(VLOOKUP(AB46,tblBD_PatronMasa[[Código Patrón]:[mN-(mpe–U95)]],4,FALSE)/1000,"")</f>
        <v/>
      </c>
      <c r="AD46" s="146" t="str">
        <f>IFERROR(VLOOKUP(AB46,tblBD_PatronMasa[[Código Patrón]:[mN-(mpe–U95)]],11,FALSE)/1000000,"")</f>
        <v/>
      </c>
      <c r="AE46" s="146" t="str">
        <f t="shared" si="15"/>
        <v/>
      </c>
      <c r="AF46" s="131" t="str">
        <f>IFERROR(VLOOKUP(AB46,tblBD_PatronMasa[[Código Patrón]:[Incertidumbre estándar u(ρ) (kg/m³)]],15,0),"")</f>
        <v/>
      </c>
      <c r="AG46" s="131" t="str">
        <f>IFERROR(VLOOKUP(AB46,tblBD_PatronMasa[[Código Patrón]:[Incertidumbre estándar u(ρ) (kg/m³)]],16,0),"")</f>
        <v/>
      </c>
      <c r="AH46" s="146" t="str">
        <f t="shared" si="16"/>
        <v/>
      </c>
      <c r="AI46" s="146" t="str">
        <f t="shared" si="17"/>
        <v/>
      </c>
      <c r="AJ46" s="146" t="str">
        <f t="shared" si="18"/>
        <v/>
      </c>
      <c r="AK46" s="146" t="str">
        <f t="shared" si="19"/>
        <v/>
      </c>
    </row>
    <row r="47" spans="2:37" ht="15.6" x14ac:dyDescent="0.35">
      <c r="C47" s="150" t="s">
        <v>289</v>
      </c>
      <c r="D47" s="97"/>
      <c r="E47" s="144" t="s">
        <v>285</v>
      </c>
      <c r="F47" s="149"/>
      <c r="G47" s="148">
        <f>POWER('kU(E)'!$N$20,4)</f>
        <v>0</v>
      </c>
      <c r="H47" s="140"/>
      <c r="I47" s="140"/>
      <c r="J47" s="140"/>
      <c r="K47" s="140"/>
      <c r="L47" s="140"/>
      <c r="M47" s="140"/>
      <c r="N47" s="140"/>
      <c r="O47" s="140"/>
      <c r="P47" s="140"/>
      <c r="Q47" s="140"/>
      <c r="AA47" s="131">
        <v>41</v>
      </c>
      <c r="AB47" s="131" t="str">
        <f>Calibración!CS46</f>
        <v/>
      </c>
      <c r="AC47" s="131" t="str">
        <f>IFERROR(VLOOKUP(AB47,tblBD_PatronMasa[[Código Patrón]:[mN-(mpe–U95)]],4,FALSE)/1000,"")</f>
        <v/>
      </c>
      <c r="AD47" s="146" t="str">
        <f>IFERROR(VLOOKUP(AB47,tblBD_PatronMasa[[Código Patrón]:[mN-(mpe–U95)]],11,FALSE)/1000000,"")</f>
        <v/>
      </c>
      <c r="AE47" s="146" t="str">
        <f t="shared" si="15"/>
        <v/>
      </c>
      <c r="AF47" s="131" t="str">
        <f>IFERROR(VLOOKUP(AB47,tblBD_PatronMasa[[Código Patrón]:[Incertidumbre estándar u(ρ) (kg/m³)]],15,0),"")</f>
        <v/>
      </c>
      <c r="AG47" s="131" t="str">
        <f>IFERROR(VLOOKUP(AB47,tblBD_PatronMasa[[Código Patrón]:[Incertidumbre estándar u(ρ) (kg/m³)]],16,0),"")</f>
        <v/>
      </c>
      <c r="AH47" s="146" t="str">
        <f t="shared" si="16"/>
        <v/>
      </c>
      <c r="AI47" s="146" t="str">
        <f t="shared" si="17"/>
        <v/>
      </c>
      <c r="AJ47" s="146" t="str">
        <f t="shared" si="18"/>
        <v/>
      </c>
      <c r="AK47" s="146" t="str">
        <f t="shared" si="19"/>
        <v/>
      </c>
    </row>
    <row r="48" spans="2:37" ht="15.6" x14ac:dyDescent="0.35">
      <c r="C48" s="150" t="s">
        <v>288</v>
      </c>
      <c r="D48" s="97"/>
      <c r="E48" s="144" t="s">
        <v>285</v>
      </c>
      <c r="F48" s="149"/>
      <c r="G48" s="148">
        <f>POWER('kU(E)'!$O$20,4)</f>
        <v>0</v>
      </c>
      <c r="H48" s="140"/>
      <c r="I48" s="140"/>
      <c r="J48" s="140"/>
      <c r="K48" s="140"/>
      <c r="L48" s="140"/>
      <c r="M48" s="140"/>
      <c r="N48" s="140"/>
      <c r="O48" s="140"/>
      <c r="P48" s="140"/>
      <c r="Q48" s="140"/>
      <c r="AA48" s="131">
        <v>42</v>
      </c>
      <c r="AB48" s="131" t="str">
        <f>Calibración!CS47</f>
        <v/>
      </c>
      <c r="AC48" s="131" t="str">
        <f>IFERROR(VLOOKUP(AB48,tblBD_PatronMasa[[Código Patrón]:[mN-(mpe–U95)]],4,FALSE)/1000,"")</f>
        <v/>
      </c>
      <c r="AD48" s="146" t="str">
        <f>IFERROR(VLOOKUP(AB48,tblBD_PatronMasa[[Código Patrón]:[mN-(mpe–U95)]],11,FALSE)/1000000,"")</f>
        <v/>
      </c>
      <c r="AE48" s="146" t="str">
        <f t="shared" si="15"/>
        <v/>
      </c>
      <c r="AF48" s="131" t="str">
        <f>IFERROR(VLOOKUP(AB48,tblBD_PatronMasa[[Código Patrón]:[Incertidumbre estándar u(ρ) (kg/m³)]],15,0),"")</f>
        <v/>
      </c>
      <c r="AG48" s="131" t="str">
        <f>IFERROR(VLOOKUP(AB48,tblBD_PatronMasa[[Código Patrón]:[Incertidumbre estándar u(ρ) (kg/m³)]],16,0),"")</f>
        <v/>
      </c>
      <c r="AH48" s="146" t="str">
        <f t="shared" si="16"/>
        <v/>
      </c>
      <c r="AI48" s="146" t="str">
        <f t="shared" si="17"/>
        <v/>
      </c>
      <c r="AJ48" s="146" t="str">
        <f t="shared" si="18"/>
        <v/>
      </c>
      <c r="AK48" s="146" t="str">
        <f t="shared" si="19"/>
        <v/>
      </c>
    </row>
    <row r="49" spans="2:37" ht="15.6" x14ac:dyDescent="0.35">
      <c r="C49" s="150" t="s">
        <v>287</v>
      </c>
      <c r="D49" s="97"/>
      <c r="E49" s="144" t="s">
        <v>285</v>
      </c>
      <c r="F49" s="149"/>
      <c r="G49" s="148">
        <f>POWER('kU(E)'!$P$20,4)</f>
        <v>0</v>
      </c>
      <c r="H49" s="140"/>
      <c r="I49" s="140"/>
      <c r="J49" s="140"/>
      <c r="K49" s="140"/>
      <c r="L49" s="140"/>
      <c r="M49" s="140"/>
      <c r="N49" s="140"/>
      <c r="O49" s="140"/>
      <c r="P49" s="140"/>
      <c r="Q49" s="140"/>
      <c r="AA49" s="131">
        <v>43</v>
      </c>
      <c r="AB49" s="131" t="str">
        <f>Calibración!CS48</f>
        <v/>
      </c>
      <c r="AC49" s="131" t="str">
        <f>IFERROR(VLOOKUP(AB49,tblBD_PatronMasa[[Código Patrón]:[mN-(mpe–U95)]],4,FALSE)/1000,"")</f>
        <v/>
      </c>
      <c r="AD49" s="146" t="str">
        <f>IFERROR(VLOOKUP(AB49,tblBD_PatronMasa[[Código Patrón]:[mN-(mpe–U95)]],11,FALSE)/1000000,"")</f>
        <v/>
      </c>
      <c r="AE49" s="146" t="str">
        <f t="shared" si="15"/>
        <v/>
      </c>
      <c r="AF49" s="131" t="str">
        <f>IFERROR(VLOOKUP(AB49,tblBD_PatronMasa[[Código Patrón]:[Incertidumbre estándar u(ρ) (kg/m³)]],15,0),"")</f>
        <v/>
      </c>
      <c r="AG49" s="131" t="str">
        <f>IFERROR(VLOOKUP(AB49,tblBD_PatronMasa[[Código Patrón]:[Incertidumbre estándar u(ρ) (kg/m³)]],16,0),"")</f>
        <v/>
      </c>
      <c r="AH49" s="146" t="str">
        <f t="shared" si="16"/>
        <v/>
      </c>
      <c r="AI49" s="146" t="str">
        <f t="shared" si="17"/>
        <v/>
      </c>
      <c r="AJ49" s="146" t="str">
        <f t="shared" si="18"/>
        <v/>
      </c>
      <c r="AK49" s="146" t="str">
        <f t="shared" si="19"/>
        <v/>
      </c>
    </row>
    <row r="50" spans="2:37" ht="15.6" x14ac:dyDescent="0.35">
      <c r="C50" s="150" t="s">
        <v>286</v>
      </c>
      <c r="D50" s="97"/>
      <c r="E50" s="144" t="s">
        <v>285</v>
      </c>
      <c r="F50" s="149"/>
      <c r="G50" s="148">
        <f>POWER('kU(E)'!$Q$20,4)</f>
        <v>0</v>
      </c>
      <c r="H50" s="147" t="s">
        <v>270</v>
      </c>
      <c r="I50" s="140"/>
      <c r="J50" s="140"/>
      <c r="K50" s="140"/>
      <c r="L50" s="140"/>
      <c r="M50" s="140"/>
      <c r="N50" s="140"/>
      <c r="O50" s="140"/>
      <c r="P50" s="140"/>
      <c r="Q50" s="140"/>
      <c r="AA50" s="131">
        <v>44</v>
      </c>
      <c r="AB50" s="131" t="str">
        <f>Calibración!CS49</f>
        <v/>
      </c>
      <c r="AC50" s="131" t="str">
        <f>IFERROR(VLOOKUP(AB50,tblBD_PatronMasa[[Código Patrón]:[mN-(mpe–U95)]],4,FALSE)/1000,"")</f>
        <v/>
      </c>
      <c r="AD50" s="146" t="str">
        <f>IFERROR(VLOOKUP(AB50,tblBD_PatronMasa[[Código Patrón]:[mN-(mpe–U95)]],11,FALSE)/1000000,"")</f>
        <v/>
      </c>
      <c r="AE50" s="146" t="str">
        <f t="shared" si="15"/>
        <v/>
      </c>
      <c r="AF50" s="131" t="str">
        <f>IFERROR(VLOOKUP(AB50,tblBD_PatronMasa[[Código Patrón]:[Incertidumbre estándar u(ρ) (kg/m³)]],15,0),"")</f>
        <v/>
      </c>
      <c r="AG50" s="131" t="str">
        <f>IFERROR(VLOOKUP(AB50,tblBD_PatronMasa[[Código Patrón]:[Incertidumbre estándar u(ρ) (kg/m³)]],16,0),"")</f>
        <v/>
      </c>
      <c r="AH50" s="146" t="str">
        <f t="shared" si="16"/>
        <v/>
      </c>
      <c r="AI50" s="146" t="str">
        <f t="shared" si="17"/>
        <v/>
      </c>
      <c r="AJ50" s="146" t="str">
        <f t="shared" si="18"/>
        <v/>
      </c>
      <c r="AK50" s="146" t="str">
        <f t="shared" si="19"/>
        <v/>
      </c>
    </row>
    <row r="51" spans="2:37" ht="15" x14ac:dyDescent="0.35">
      <c r="C51" s="145" t="s">
        <v>284</v>
      </c>
      <c r="D51" s="97"/>
      <c r="E51" s="144" t="s">
        <v>274</v>
      </c>
      <c r="F51" s="143"/>
      <c r="G51" s="142" t="str">
        <f>IFERROR(G41/H42,"")</f>
        <v/>
      </c>
      <c r="H51" s="141">
        <f t="shared" ref="H51:H60" si="21">IF(G51&gt;20,2,HLOOKUP(G51,$E$69:$Y$70,2))</f>
        <v>2</v>
      </c>
      <c r="I51" s="140"/>
      <c r="J51" s="140"/>
      <c r="K51" s="140"/>
      <c r="L51" s="140"/>
      <c r="M51" s="140"/>
      <c r="N51" s="140"/>
      <c r="O51" s="140"/>
      <c r="P51" s="140"/>
      <c r="Q51" s="140"/>
      <c r="AA51" s="131">
        <v>45</v>
      </c>
      <c r="AB51" s="131" t="str">
        <f>Calibración!CS50</f>
        <v/>
      </c>
      <c r="AC51" s="131" t="str">
        <f>IFERROR(VLOOKUP(AB51,tblBD_PatronMasa[[Código Patrón]:[mN-(mpe–U95)]],4,FALSE)/1000,"")</f>
        <v/>
      </c>
      <c r="AD51" s="146" t="str">
        <f>IFERROR(VLOOKUP(AB51,tblBD_PatronMasa[[Código Patrón]:[mN-(mpe–U95)]],11,FALSE)/1000000,"")</f>
        <v/>
      </c>
      <c r="AE51" s="146" t="str">
        <f t="shared" si="15"/>
        <v/>
      </c>
      <c r="AF51" s="131" t="str">
        <f>IFERROR(VLOOKUP(AB51,tblBD_PatronMasa[[Código Patrón]:[Incertidumbre estándar u(ρ) (kg/m³)]],15,0),"")</f>
        <v/>
      </c>
      <c r="AG51" s="131" t="str">
        <f>IFERROR(VLOOKUP(AB51,tblBD_PatronMasa[[Código Patrón]:[Incertidumbre estándar u(ρ) (kg/m³)]],16,0),"")</f>
        <v/>
      </c>
      <c r="AH51" s="146" t="str">
        <f t="shared" si="16"/>
        <v/>
      </c>
      <c r="AI51" s="146" t="str">
        <f t="shared" si="17"/>
        <v/>
      </c>
      <c r="AJ51" s="146" t="str">
        <f t="shared" si="18"/>
        <v/>
      </c>
      <c r="AK51" s="146" t="str">
        <f t="shared" si="19"/>
        <v/>
      </c>
    </row>
    <row r="52" spans="2:37" ht="15" x14ac:dyDescent="0.35">
      <c r="C52" s="145" t="s">
        <v>283</v>
      </c>
      <c r="D52" s="97"/>
      <c r="E52" s="144" t="s">
        <v>274</v>
      </c>
      <c r="F52" s="143"/>
      <c r="G52" s="142" t="str">
        <f>IFERROR(G42/I42,"")</f>
        <v/>
      </c>
      <c r="H52" s="141">
        <f t="shared" si="21"/>
        <v>2</v>
      </c>
      <c r="I52" s="140"/>
      <c r="J52" s="140"/>
      <c r="K52" s="140"/>
      <c r="L52" s="140"/>
      <c r="M52" s="140"/>
      <c r="N52" s="140"/>
      <c r="O52" s="140"/>
      <c r="P52" s="140"/>
      <c r="Q52" s="140"/>
      <c r="AA52" s="131">
        <v>46</v>
      </c>
      <c r="AB52" s="131" t="str">
        <f>Calibración!CS51</f>
        <v/>
      </c>
      <c r="AC52" s="131" t="str">
        <f>IFERROR(VLOOKUP(AB52,tblBD_PatronMasa[[Código Patrón]:[mN-(mpe–U95)]],4,FALSE)/1000,"")</f>
        <v/>
      </c>
      <c r="AD52" s="146" t="str">
        <f>IFERROR(VLOOKUP(AB52,tblBD_PatronMasa[[Código Patrón]:[mN-(mpe–U95)]],11,FALSE)/1000000,"")</f>
        <v/>
      </c>
      <c r="AE52" s="146" t="str">
        <f t="shared" si="15"/>
        <v/>
      </c>
      <c r="AF52" s="131" t="str">
        <f>IFERROR(VLOOKUP(AB52,tblBD_PatronMasa[[Código Patrón]:[Incertidumbre estándar u(ρ) (kg/m³)]],15,0),"")</f>
        <v/>
      </c>
      <c r="AG52" s="131" t="str">
        <f>IFERROR(VLOOKUP(AB52,tblBD_PatronMasa[[Código Patrón]:[Incertidumbre estándar u(ρ) (kg/m³)]],16,0),"")</f>
        <v/>
      </c>
      <c r="AH52" s="146" t="str">
        <f t="shared" si="16"/>
        <v/>
      </c>
      <c r="AI52" s="146" t="str">
        <f t="shared" si="17"/>
        <v/>
      </c>
      <c r="AJ52" s="146" t="str">
        <f t="shared" si="18"/>
        <v/>
      </c>
      <c r="AK52" s="146" t="str">
        <f t="shared" si="19"/>
        <v/>
      </c>
    </row>
    <row r="53" spans="2:37" ht="15" x14ac:dyDescent="0.35">
      <c r="C53" s="145" t="s">
        <v>282</v>
      </c>
      <c r="D53" s="97"/>
      <c r="E53" s="144" t="s">
        <v>274</v>
      </c>
      <c r="F53" s="143"/>
      <c r="G53" s="142" t="str">
        <f>IFERROR(G43/J42,"")</f>
        <v/>
      </c>
      <c r="H53" s="141">
        <f t="shared" si="21"/>
        <v>2</v>
      </c>
      <c r="I53" s="140"/>
      <c r="J53" s="140"/>
      <c r="K53" s="140"/>
      <c r="L53" s="140"/>
      <c r="M53" s="140"/>
      <c r="N53" s="140"/>
      <c r="O53" s="140"/>
      <c r="P53" s="140"/>
      <c r="Q53" s="140"/>
      <c r="AA53" s="131">
        <v>47</v>
      </c>
      <c r="AB53" s="131" t="str">
        <f>Calibración!CS52</f>
        <v/>
      </c>
      <c r="AC53" s="131" t="str">
        <f>IFERROR(VLOOKUP(AB53,tblBD_PatronMasa[[Código Patrón]:[mN-(mpe–U95)]],4,FALSE)/1000,"")</f>
        <v/>
      </c>
      <c r="AD53" s="146" t="str">
        <f>IFERROR(VLOOKUP(AB53,tblBD_PatronMasa[[Código Patrón]:[mN-(mpe–U95)]],11,FALSE)/1000000,"")</f>
        <v/>
      </c>
      <c r="AE53" s="146" t="str">
        <f t="shared" si="15"/>
        <v/>
      </c>
      <c r="AF53" s="131" t="str">
        <f>IFERROR(VLOOKUP(AB53,tblBD_PatronMasa[[Código Patrón]:[Incertidumbre estándar u(ρ) (kg/m³)]],15,0),"")</f>
        <v/>
      </c>
      <c r="AG53" s="131" t="str">
        <f>IFERROR(VLOOKUP(AB53,tblBD_PatronMasa[[Código Patrón]:[Incertidumbre estándar u(ρ) (kg/m³)]],16,0),"")</f>
        <v/>
      </c>
      <c r="AH53" s="146" t="str">
        <f t="shared" si="16"/>
        <v/>
      </c>
      <c r="AI53" s="146" t="str">
        <f t="shared" si="17"/>
        <v/>
      </c>
      <c r="AJ53" s="146" t="str">
        <f t="shared" si="18"/>
        <v/>
      </c>
      <c r="AK53" s="146" t="str">
        <f t="shared" si="19"/>
        <v/>
      </c>
    </row>
    <row r="54" spans="2:37" ht="15" x14ac:dyDescent="0.35">
      <c r="C54" s="145" t="s">
        <v>281</v>
      </c>
      <c r="D54" s="97"/>
      <c r="E54" s="144" t="s">
        <v>274</v>
      </c>
      <c r="F54" s="143"/>
      <c r="G54" s="142" t="str">
        <f>IFERROR(G44/K42,"")</f>
        <v/>
      </c>
      <c r="H54" s="141">
        <f t="shared" si="21"/>
        <v>2</v>
      </c>
      <c r="I54" s="140"/>
      <c r="J54" s="140"/>
      <c r="K54" s="140"/>
      <c r="L54" s="140"/>
      <c r="M54" s="140"/>
      <c r="N54" s="140"/>
      <c r="O54" s="140"/>
      <c r="P54" s="140"/>
      <c r="Q54" s="140"/>
      <c r="AA54" s="131">
        <v>48</v>
      </c>
      <c r="AB54" s="131" t="str">
        <f>Calibración!CS53</f>
        <v/>
      </c>
      <c r="AC54" s="131" t="str">
        <f>IFERROR(VLOOKUP(AB54,tblBD_PatronMasa[[Código Patrón]:[mN-(mpe–U95)]],4,FALSE)/1000,"")</f>
        <v/>
      </c>
      <c r="AD54" s="146" t="str">
        <f>IFERROR(VLOOKUP(AB54,tblBD_PatronMasa[[Código Patrón]:[mN-(mpe–U95)]],11,FALSE)/1000000,"")</f>
        <v/>
      </c>
      <c r="AE54" s="146" t="str">
        <f t="shared" si="15"/>
        <v/>
      </c>
      <c r="AF54" s="131" t="str">
        <f>IFERROR(VLOOKUP(AB54,tblBD_PatronMasa[[Código Patrón]:[Incertidumbre estándar u(ρ) (kg/m³)]],15,0),"")</f>
        <v/>
      </c>
      <c r="AG54" s="131" t="str">
        <f>IFERROR(VLOOKUP(AB54,tblBD_PatronMasa[[Código Patrón]:[Incertidumbre estándar u(ρ) (kg/m³)]],16,0),"")</f>
        <v/>
      </c>
      <c r="AH54" s="146" t="str">
        <f t="shared" si="16"/>
        <v/>
      </c>
      <c r="AI54" s="146" t="str">
        <f t="shared" si="17"/>
        <v/>
      </c>
      <c r="AJ54" s="146" t="str">
        <f t="shared" si="18"/>
        <v/>
      </c>
      <c r="AK54" s="146" t="str">
        <f t="shared" si="19"/>
        <v/>
      </c>
    </row>
    <row r="55" spans="2:37" ht="15" x14ac:dyDescent="0.35">
      <c r="C55" s="145" t="s">
        <v>280</v>
      </c>
      <c r="D55" s="97"/>
      <c r="E55" s="144" t="s">
        <v>274</v>
      </c>
      <c r="F55" s="143"/>
      <c r="G55" s="142" t="str">
        <f>IFERROR(G45/L42,"")</f>
        <v/>
      </c>
      <c r="H55" s="141">
        <f t="shared" si="21"/>
        <v>2</v>
      </c>
      <c r="I55" s="140"/>
      <c r="J55" s="140"/>
      <c r="K55" s="140"/>
      <c r="L55" s="140"/>
      <c r="M55" s="140"/>
      <c r="N55" s="140"/>
      <c r="O55" s="140"/>
      <c r="P55" s="140"/>
      <c r="Q55" s="140"/>
      <c r="AA55" s="131">
        <v>49</v>
      </c>
      <c r="AB55" s="131" t="str">
        <f>Calibración!CS54</f>
        <v/>
      </c>
      <c r="AC55" s="131" t="str">
        <f>IFERROR(VLOOKUP(AB55,tblBD_PatronMasa[[Código Patrón]:[mN-(mpe–U95)]],4,FALSE)/1000,"")</f>
        <v/>
      </c>
      <c r="AD55" s="146" t="str">
        <f>IFERROR(VLOOKUP(AB55,tblBD_PatronMasa[[Código Patrón]:[mN-(mpe–U95)]],11,FALSE)/1000000,"")</f>
        <v/>
      </c>
      <c r="AE55" s="146" t="str">
        <f t="shared" si="15"/>
        <v/>
      </c>
      <c r="AF55" s="131" t="str">
        <f>IFERROR(VLOOKUP(AB55,tblBD_PatronMasa[[Código Patrón]:[Incertidumbre estándar u(ρ) (kg/m³)]],15,0),"")</f>
        <v/>
      </c>
      <c r="AG55" s="131" t="str">
        <f>IFERROR(VLOOKUP(AB55,tblBD_PatronMasa[[Código Patrón]:[Incertidumbre estándar u(ρ) (kg/m³)]],16,0),"")</f>
        <v/>
      </c>
      <c r="AH55" s="146" t="str">
        <f t="shared" si="16"/>
        <v/>
      </c>
      <c r="AI55" s="146" t="str">
        <f t="shared" si="17"/>
        <v/>
      </c>
      <c r="AJ55" s="146" t="str">
        <f t="shared" si="18"/>
        <v/>
      </c>
      <c r="AK55" s="146" t="str">
        <f t="shared" si="19"/>
        <v/>
      </c>
    </row>
    <row r="56" spans="2:37" ht="15" x14ac:dyDescent="0.35">
      <c r="C56" s="145" t="s">
        <v>279</v>
      </c>
      <c r="D56" s="99"/>
      <c r="E56" s="144" t="s">
        <v>274</v>
      </c>
      <c r="F56" s="143"/>
      <c r="G56" s="142" t="str">
        <f>IFERROR(G46/M42,"")</f>
        <v/>
      </c>
      <c r="H56" s="141">
        <f t="shared" si="21"/>
        <v>2</v>
      </c>
      <c r="I56" s="140"/>
      <c r="J56" s="140"/>
      <c r="K56" s="140"/>
      <c r="L56" s="140"/>
      <c r="M56" s="140"/>
      <c r="N56" s="140"/>
      <c r="O56" s="140"/>
      <c r="P56" s="140"/>
      <c r="Q56" s="140"/>
      <c r="AA56" s="131">
        <v>50</v>
      </c>
      <c r="AB56" s="131">
        <f>Calibración!CS55</f>
        <v>0</v>
      </c>
      <c r="AC56" s="131" t="str">
        <f>IFERROR(VLOOKUP(AB56,tblBD_PatronMasa[[Código Patrón]:[mN-(mpe–U95)]],4,FALSE)/1000,"")</f>
        <v/>
      </c>
      <c r="AD56" s="146" t="str">
        <f>IFERROR(VLOOKUP(AB56,tblBD_PatronMasa[[Código Patrón]:[mN-(mpe–U95)]],11,FALSE)/1000000,"")</f>
        <v/>
      </c>
      <c r="AE56" s="146" t="str">
        <f t="shared" si="15"/>
        <v/>
      </c>
      <c r="AF56" s="131" t="str">
        <f>IFERROR(VLOOKUP(AB56,tblBD_PatronMasa[[Código Patrón]:[Incertidumbre estándar u(ρ) (kg/m³)]],15,0),"")</f>
        <v/>
      </c>
      <c r="AG56" s="131" t="str">
        <f>IFERROR(VLOOKUP(AB56,tblBD_PatronMasa[[Código Patrón]:[Incertidumbre estándar u(ρ) (kg/m³)]],16,0),"")</f>
        <v/>
      </c>
      <c r="AH56" s="146" t="str">
        <f t="shared" si="16"/>
        <v/>
      </c>
      <c r="AI56" s="146" t="str">
        <f t="shared" si="17"/>
        <v/>
      </c>
      <c r="AJ56" s="146" t="str">
        <f t="shared" si="18"/>
        <v/>
      </c>
      <c r="AK56" s="146" t="str">
        <f t="shared" si="19"/>
        <v/>
      </c>
    </row>
    <row r="57" spans="2:37" ht="15" x14ac:dyDescent="0.35">
      <c r="C57" s="145" t="s">
        <v>278</v>
      </c>
      <c r="D57" s="97"/>
      <c r="E57" s="144" t="s">
        <v>274</v>
      </c>
      <c r="F57" s="143"/>
      <c r="G57" s="142" t="str">
        <f>IFERROR(G47/N42,"")</f>
        <v/>
      </c>
      <c r="H57" s="141">
        <f t="shared" si="21"/>
        <v>2</v>
      </c>
      <c r="I57" s="140"/>
      <c r="J57" s="140"/>
      <c r="K57" s="140"/>
      <c r="L57" s="140"/>
      <c r="M57" s="140"/>
      <c r="N57" s="140"/>
      <c r="O57" s="140"/>
      <c r="P57" s="140"/>
      <c r="Q57" s="140"/>
    </row>
    <row r="58" spans="2:37" ht="15" x14ac:dyDescent="0.35">
      <c r="C58" s="145" t="s">
        <v>277</v>
      </c>
      <c r="D58" s="97"/>
      <c r="E58" s="144" t="s">
        <v>274</v>
      </c>
      <c r="F58" s="143"/>
      <c r="G58" s="142" t="str">
        <f>IFERROR(G48/O42,"")</f>
        <v/>
      </c>
      <c r="H58" s="141">
        <f t="shared" si="21"/>
        <v>2</v>
      </c>
      <c r="I58" s="140"/>
      <c r="J58" s="140"/>
      <c r="K58" s="140"/>
      <c r="L58" s="140"/>
      <c r="M58" s="140"/>
      <c r="N58" s="140"/>
      <c r="O58" s="140"/>
      <c r="P58" s="140"/>
      <c r="Q58" s="140"/>
    </row>
    <row r="59" spans="2:37" ht="15" x14ac:dyDescent="0.35">
      <c r="C59" s="145" t="s">
        <v>276</v>
      </c>
      <c r="D59" s="97"/>
      <c r="E59" s="144" t="s">
        <v>274</v>
      </c>
      <c r="F59" s="143"/>
      <c r="G59" s="142" t="str">
        <f>IFERROR(G49/P42,"")</f>
        <v/>
      </c>
      <c r="H59" s="141">
        <f t="shared" si="21"/>
        <v>2</v>
      </c>
      <c r="I59" s="140"/>
      <c r="J59" s="140"/>
      <c r="K59" s="140"/>
      <c r="L59" s="140"/>
      <c r="M59" s="140"/>
      <c r="N59" s="140"/>
      <c r="O59" s="140"/>
      <c r="P59" s="140"/>
      <c r="Q59" s="140"/>
    </row>
    <row r="60" spans="2:37" ht="15" x14ac:dyDescent="0.35">
      <c r="C60" s="145" t="s">
        <v>275</v>
      </c>
      <c r="D60" s="97"/>
      <c r="E60" s="144" t="s">
        <v>274</v>
      </c>
      <c r="F60" s="143"/>
      <c r="G60" s="142" t="str">
        <f>IFERROR(G50/Q42,"")</f>
        <v/>
      </c>
      <c r="H60" s="141">
        <f t="shared" si="21"/>
        <v>2</v>
      </c>
      <c r="I60" s="140"/>
      <c r="J60" s="140"/>
      <c r="K60" s="140"/>
      <c r="L60" s="140"/>
      <c r="M60" s="140"/>
      <c r="N60" s="140"/>
      <c r="O60" s="140"/>
      <c r="P60" s="140"/>
      <c r="Q60" s="140"/>
    </row>
    <row r="61" spans="2:37" x14ac:dyDescent="0.3">
      <c r="B61" s="8"/>
      <c r="C61" s="8"/>
      <c r="D61" s="139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</row>
    <row r="62" spans="2:37" x14ac:dyDescent="0.3"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</row>
    <row r="63" spans="2:37" x14ac:dyDescent="0.3"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</row>
    <row r="64" spans="2:37" x14ac:dyDescent="0.3"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</row>
    <row r="65" spans="2:26" x14ac:dyDescent="0.3"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</row>
    <row r="66" spans="2:26" x14ac:dyDescent="0.3"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</row>
    <row r="67" spans="2:26" x14ac:dyDescent="0.3"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</row>
    <row r="68" spans="2:26" x14ac:dyDescent="0.3">
      <c r="B68" s="8"/>
      <c r="C68" s="8"/>
      <c r="D68" s="8"/>
      <c r="E68" s="395" t="s">
        <v>273</v>
      </c>
      <c r="F68" s="396"/>
      <c r="G68" s="396"/>
      <c r="H68" s="396"/>
      <c r="I68" s="396"/>
      <c r="J68" s="396"/>
      <c r="K68" s="396"/>
      <c r="L68" s="396"/>
      <c r="M68" s="396"/>
      <c r="N68" s="396"/>
      <c r="O68" s="396"/>
      <c r="P68" s="396"/>
      <c r="Q68" s="396"/>
      <c r="R68" s="396"/>
      <c r="S68" s="396"/>
      <c r="T68" s="396"/>
      <c r="U68" s="396"/>
      <c r="V68" s="396"/>
      <c r="W68" s="396"/>
      <c r="X68" s="396"/>
      <c r="Y68" s="396"/>
      <c r="Z68" s="397"/>
    </row>
    <row r="69" spans="2:26" x14ac:dyDescent="0.3">
      <c r="B69" s="8"/>
      <c r="C69" s="8"/>
      <c r="D69" s="8"/>
      <c r="E69" s="138" t="s">
        <v>272</v>
      </c>
      <c r="F69" s="138">
        <v>1</v>
      </c>
      <c r="G69" s="138">
        <v>2</v>
      </c>
      <c r="H69" s="138">
        <v>3</v>
      </c>
      <c r="I69" s="138">
        <v>4</v>
      </c>
      <c r="J69" s="138">
        <v>5</v>
      </c>
      <c r="K69" s="138">
        <v>6</v>
      </c>
      <c r="L69" s="138">
        <v>7</v>
      </c>
      <c r="M69" s="138">
        <v>8</v>
      </c>
      <c r="N69" s="138">
        <v>9</v>
      </c>
      <c r="O69" s="138">
        <v>10</v>
      </c>
      <c r="P69" s="138">
        <v>11</v>
      </c>
      <c r="Q69" s="138">
        <v>12</v>
      </c>
      <c r="R69" s="138">
        <v>13</v>
      </c>
      <c r="S69" s="138">
        <v>14</v>
      </c>
      <c r="T69" s="138">
        <v>15</v>
      </c>
      <c r="U69" s="138">
        <v>16</v>
      </c>
      <c r="V69" s="138">
        <v>17</v>
      </c>
      <c r="W69" s="138">
        <v>18</v>
      </c>
      <c r="X69" s="138">
        <v>19</v>
      </c>
      <c r="Y69" s="138">
        <v>20</v>
      </c>
      <c r="Z69" s="138" t="s">
        <v>271</v>
      </c>
    </row>
    <row r="70" spans="2:26" x14ac:dyDescent="0.3">
      <c r="B70" s="8"/>
      <c r="C70" s="8"/>
      <c r="D70" s="8"/>
      <c r="E70" s="138" t="s">
        <v>270</v>
      </c>
      <c r="F70" s="138">
        <v>13.97</v>
      </c>
      <c r="G70" s="138">
        <v>4.53</v>
      </c>
      <c r="H70" s="138">
        <v>3.31</v>
      </c>
      <c r="I70" s="138">
        <v>2.87</v>
      </c>
      <c r="J70" s="138">
        <v>2.65</v>
      </c>
      <c r="K70" s="138">
        <v>2.52</v>
      </c>
      <c r="L70" s="138">
        <v>2.4300000000000002</v>
      </c>
      <c r="M70" s="138">
        <v>2.37</v>
      </c>
      <c r="N70" s="138">
        <v>2.3199999999999998</v>
      </c>
      <c r="O70" s="138">
        <v>2.2799999999999998</v>
      </c>
      <c r="P70" s="138">
        <v>2.25</v>
      </c>
      <c r="Q70" s="138">
        <v>2.23</v>
      </c>
      <c r="R70" s="138">
        <v>2.21</v>
      </c>
      <c r="S70" s="138">
        <v>2.2000000000000002</v>
      </c>
      <c r="T70" s="138">
        <v>2.1800000000000002</v>
      </c>
      <c r="U70" s="138">
        <v>2.17</v>
      </c>
      <c r="V70" s="138">
        <v>2.16</v>
      </c>
      <c r="W70" s="138">
        <v>2.15</v>
      </c>
      <c r="X70" s="138">
        <v>2.14</v>
      </c>
      <c r="Y70" s="138">
        <v>2.13</v>
      </c>
      <c r="Z70" s="138">
        <v>2</v>
      </c>
    </row>
    <row r="71" spans="2:26" x14ac:dyDescent="0.3"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</row>
    <row r="72" spans="2:26" x14ac:dyDescent="0.3"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</row>
    <row r="73" spans="2:26" x14ac:dyDescent="0.3"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</row>
    <row r="74" spans="2:26" x14ac:dyDescent="0.3"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</row>
    <row r="75" spans="2:26" x14ac:dyDescent="0.3"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</row>
    <row r="76" spans="2:26" x14ac:dyDescent="0.3"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</row>
    <row r="77" spans="2:26" x14ac:dyDescent="0.3"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</row>
    <row r="78" spans="2:26" x14ac:dyDescent="0.3"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</row>
    <row r="79" spans="2:26" x14ac:dyDescent="0.3"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</row>
    <row r="80" spans="2:26" x14ac:dyDescent="0.3"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</row>
    <row r="81" spans="2:41" x14ac:dyDescent="0.3"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</row>
    <row r="82" spans="2:41" x14ac:dyDescent="0.3"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</row>
    <row r="89" spans="2:41" x14ac:dyDescent="0.3">
      <c r="AO89" s="1" t="s">
        <v>269</v>
      </c>
    </row>
    <row r="90" spans="2:41" x14ac:dyDescent="0.3">
      <c r="AO90" s="1" t="s">
        <v>268</v>
      </c>
    </row>
    <row r="92" spans="2:41" x14ac:dyDescent="0.3">
      <c r="AO92" s="1" t="s">
        <v>6</v>
      </c>
    </row>
    <row r="93" spans="2:41" x14ac:dyDescent="0.3">
      <c r="AO93" s="1" t="s">
        <v>5</v>
      </c>
    </row>
  </sheetData>
  <sheetProtection formatCells="0" formatColumns="0"/>
  <mergeCells count="1">
    <mergeCell ref="E68:Z68"/>
  </mergeCells>
  <conditionalFormatting sqref="H12:Q19">
    <cfRule type="colorScale" priority="4">
      <colorScale>
        <cfvo type="min"/>
        <cfvo type="max"/>
        <color theme="8" tint="0.79998168889431442"/>
        <color theme="8" tint="0.39997558519241921"/>
      </colorScale>
    </cfRule>
  </conditionalFormatting>
  <conditionalFormatting sqref="H25:Q32">
    <cfRule type="colorScale" priority="3">
      <colorScale>
        <cfvo type="min"/>
        <cfvo type="max"/>
        <color theme="8" tint="0.79998168889431442"/>
        <color theme="8" tint="0.39997558519241921"/>
      </colorScale>
    </cfRule>
  </conditionalFormatting>
  <conditionalFormatting sqref="I5:J5">
    <cfRule type="expression" dxfId="24" priority="5">
      <formula>OR(I5&lt;-2,I5&gt;2)</formula>
    </cfRule>
  </conditionalFormatting>
  <conditionalFormatting sqref="X21:X31">
    <cfRule type="cellIs" dxfId="23" priority="2" operator="lessThan">
      <formula>Y21</formula>
    </cfRule>
  </conditionalFormatting>
  <conditionalFormatting sqref="X36:X46">
    <cfRule type="cellIs" dxfId="22" priority="1" operator="lessThan">
      <formula>Y36</formula>
    </cfRule>
  </conditionalFormatting>
  <dataValidations count="1">
    <dataValidation type="list" showInputMessage="1" showErrorMessage="1" sqref="A11" xr:uid="{00000000-0002-0000-0200-000000000000}">
      <formula1>$AO$92:$AO$93</formula1>
    </dataValidation>
  </dataValidations>
  <pageMargins left="0.7" right="0.7" top="0.75" bottom="0.75" header="0.3" footer="0.3"/>
  <pageSetup orientation="portrait" horizontalDpi="1200" verticalDpi="1200" r:id="rId1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420D0-E5CD-4E1E-9C51-80192E805B59}">
  <dimension ref="B2:Q26"/>
  <sheetViews>
    <sheetView zoomScaleNormal="100" workbookViewId="0">
      <selection activeCell="Q16" sqref="Q16"/>
    </sheetView>
  </sheetViews>
  <sheetFormatPr baseColWidth="10" defaultColWidth="9.109375" defaultRowHeight="14.4" x14ac:dyDescent="0.3"/>
  <cols>
    <col min="1" max="1" width="4.109375" customWidth="1"/>
    <col min="6" max="7" width="11.6640625" customWidth="1"/>
    <col min="8" max="8" width="2.6640625" customWidth="1"/>
    <col min="10" max="10" width="12.33203125" customWidth="1"/>
    <col min="11" max="11" width="11.88671875" bestFit="1" customWidth="1"/>
    <col min="12" max="12" width="11.6640625" customWidth="1"/>
    <col min="13" max="13" width="10.109375" customWidth="1"/>
  </cols>
  <sheetData>
    <row r="2" spans="2:17" x14ac:dyDescent="0.3">
      <c r="B2" s="405" t="s">
        <v>684</v>
      </c>
      <c r="C2" s="405"/>
      <c r="D2" s="405"/>
      <c r="E2" s="405"/>
      <c r="F2" s="405"/>
      <c r="G2" s="405"/>
      <c r="I2" s="326"/>
    </row>
    <row r="3" spans="2:17" x14ac:dyDescent="0.3">
      <c r="B3" s="324"/>
      <c r="C3" s="324"/>
      <c r="D3" s="324"/>
      <c r="E3" s="324"/>
      <c r="F3" s="324"/>
      <c r="G3" s="324"/>
    </row>
    <row r="4" spans="2:17" ht="15" thickBot="1" x14ac:dyDescent="0.35">
      <c r="B4" s="400" t="s">
        <v>684</v>
      </c>
      <c r="C4" s="400"/>
      <c r="D4" s="324"/>
      <c r="E4" s="324"/>
      <c r="F4" s="324"/>
      <c r="G4" s="324"/>
      <c r="I4" s="404" t="s">
        <v>701</v>
      </c>
      <c r="J4" s="404"/>
      <c r="K4" s="404" t="s">
        <v>700</v>
      </c>
      <c r="L4" s="404"/>
      <c r="N4" s="4" t="s">
        <v>650</v>
      </c>
      <c r="O4" s="4"/>
    </row>
    <row r="5" spans="2:17" ht="16.2" thickBot="1" x14ac:dyDescent="0.35">
      <c r="B5" s="323" t="s">
        <v>690</v>
      </c>
      <c r="C5" s="322" t="s">
        <v>689</v>
      </c>
      <c r="D5" s="398" t="s">
        <v>688</v>
      </c>
      <c r="E5" s="401"/>
      <c r="F5" s="401"/>
      <c r="G5" s="399"/>
      <c r="I5" s="7" t="s">
        <v>699</v>
      </c>
      <c r="J5" s="7" t="s">
        <v>698</v>
      </c>
      <c r="K5" s="7" t="s">
        <v>699</v>
      </c>
      <c r="L5" s="7" t="s">
        <v>698</v>
      </c>
      <c r="M5" s="7" t="s">
        <v>697</v>
      </c>
      <c r="N5" s="7" t="s">
        <v>696</v>
      </c>
      <c r="O5" s="7" t="s">
        <v>695</v>
      </c>
      <c r="P5" s="7" t="s">
        <v>694</v>
      </c>
      <c r="Q5" s="7" t="s">
        <v>693</v>
      </c>
    </row>
    <row r="6" spans="2:17" ht="15" thickBot="1" x14ac:dyDescent="0.35">
      <c r="B6" s="402">
        <v>1</v>
      </c>
      <c r="C6" s="402">
        <v>500</v>
      </c>
      <c r="D6" s="398" t="s">
        <v>692</v>
      </c>
      <c r="E6" s="399"/>
      <c r="F6" s="398" t="s">
        <v>691</v>
      </c>
      <c r="G6" s="399"/>
      <c r="I6" s="311">
        <v>1</v>
      </c>
      <c r="J6" s="311">
        <v>500</v>
      </c>
      <c r="K6" s="311">
        <v>2.0000000000000001E-4</v>
      </c>
      <c r="L6" s="311">
        <v>3.8999999999999998E-3</v>
      </c>
      <c r="M6" s="325">
        <v>1.9259E-4</v>
      </c>
      <c r="N6" s="325">
        <v>7.4147999999999997E-6</v>
      </c>
      <c r="O6" s="311"/>
      <c r="P6" s="311"/>
      <c r="Q6" s="325"/>
    </row>
    <row r="7" spans="2:17" ht="15" thickBot="1" x14ac:dyDescent="0.35">
      <c r="B7" s="403"/>
      <c r="C7" s="403"/>
      <c r="D7" s="398" t="s">
        <v>677</v>
      </c>
      <c r="E7" s="399"/>
      <c r="F7" s="398" t="s">
        <v>676</v>
      </c>
      <c r="G7" s="399"/>
      <c r="I7" s="311">
        <v>10</v>
      </c>
      <c r="J7" s="311">
        <v>32000</v>
      </c>
      <c r="K7" s="311">
        <v>0.1</v>
      </c>
      <c r="L7" s="311">
        <v>0.27</v>
      </c>
      <c r="M7" s="325">
        <v>9.9946999999999994E-2</v>
      </c>
      <c r="N7" s="325">
        <v>5.3141999999999999E-6</v>
      </c>
      <c r="O7" s="311"/>
      <c r="P7" s="311"/>
      <c r="Q7" s="311"/>
    </row>
    <row r="8" spans="2:17" x14ac:dyDescent="0.3">
      <c r="B8" s="324"/>
      <c r="C8" s="324"/>
      <c r="D8" s="324"/>
      <c r="E8" s="324"/>
      <c r="F8" s="324"/>
      <c r="G8" s="324"/>
      <c r="I8" s="311">
        <v>200</v>
      </c>
      <c r="J8" s="311">
        <v>400000</v>
      </c>
      <c r="K8" s="311">
        <v>10</v>
      </c>
      <c r="L8" s="311">
        <v>32</v>
      </c>
      <c r="M8" s="325">
        <v>9.9889999999999996E-3</v>
      </c>
      <c r="N8" s="325">
        <v>5.5028000000000002E-5</v>
      </c>
      <c r="O8" s="311"/>
      <c r="P8" s="311"/>
      <c r="Q8" s="311"/>
    </row>
    <row r="9" spans="2:17" ht="15" thickBot="1" x14ac:dyDescent="0.35">
      <c r="B9" s="400" t="s">
        <v>684</v>
      </c>
      <c r="C9" s="400"/>
      <c r="D9" s="324"/>
      <c r="E9" s="324"/>
      <c r="F9" s="324"/>
      <c r="G9" s="324"/>
    </row>
    <row r="10" spans="2:17" ht="15" thickBot="1" x14ac:dyDescent="0.35">
      <c r="B10" s="323" t="s">
        <v>690</v>
      </c>
      <c r="C10" s="322" t="s">
        <v>689</v>
      </c>
      <c r="D10" s="398" t="s">
        <v>688</v>
      </c>
      <c r="E10" s="401"/>
      <c r="F10" s="401"/>
      <c r="G10" s="399"/>
    </row>
    <row r="11" spans="2:17" ht="15" thickBot="1" x14ac:dyDescent="0.35">
      <c r="B11" s="402">
        <v>10</v>
      </c>
      <c r="C11" s="402" t="s">
        <v>687</v>
      </c>
      <c r="D11" s="398" t="s">
        <v>686</v>
      </c>
      <c r="E11" s="399"/>
      <c r="F11" s="398" t="s">
        <v>685</v>
      </c>
      <c r="G11" s="399"/>
    </row>
    <row r="12" spans="2:17" ht="15" thickBot="1" x14ac:dyDescent="0.35">
      <c r="B12" s="403"/>
      <c r="C12" s="403"/>
      <c r="D12" s="398" t="s">
        <v>677</v>
      </c>
      <c r="E12" s="399"/>
      <c r="F12" s="398" t="s">
        <v>676</v>
      </c>
      <c r="G12" s="399"/>
    </row>
    <row r="13" spans="2:17" x14ac:dyDescent="0.3">
      <c r="B13" s="324"/>
      <c r="C13" s="324"/>
      <c r="D13" s="324"/>
      <c r="E13" s="324"/>
      <c r="F13" s="324"/>
      <c r="G13" s="324"/>
    </row>
    <row r="14" spans="2:17" ht="15" thickBot="1" x14ac:dyDescent="0.35">
      <c r="B14" s="400" t="s">
        <v>684</v>
      </c>
      <c r="C14" s="400"/>
      <c r="D14" s="324"/>
      <c r="E14" s="324"/>
      <c r="F14" s="324"/>
      <c r="G14" s="324"/>
      <c r="I14" s="4" t="s">
        <v>650</v>
      </c>
      <c r="J14" s="4"/>
    </row>
    <row r="15" spans="2:17" ht="16.2" thickBot="1" x14ac:dyDescent="0.35">
      <c r="B15" s="323" t="s">
        <v>683</v>
      </c>
      <c r="C15" s="322" t="s">
        <v>682</v>
      </c>
      <c r="D15" s="398" t="s">
        <v>681</v>
      </c>
      <c r="E15" s="401"/>
      <c r="F15" s="401"/>
      <c r="G15" s="399"/>
      <c r="I15" s="163" t="s">
        <v>146</v>
      </c>
      <c r="J15" s="164" t="s">
        <v>321</v>
      </c>
      <c r="K15" s="164" t="s">
        <v>318</v>
      </c>
      <c r="L15" s="163" t="s">
        <v>317</v>
      </c>
      <c r="M15" s="163" t="s">
        <v>680</v>
      </c>
    </row>
    <row r="16" spans="2:17" ht="15" thickBot="1" x14ac:dyDescent="0.35">
      <c r="B16" s="402">
        <v>0.2</v>
      </c>
      <c r="C16" s="402">
        <v>400</v>
      </c>
      <c r="D16" s="398" t="s">
        <v>679</v>
      </c>
      <c r="E16" s="399"/>
      <c r="F16" s="398" t="s">
        <v>678</v>
      </c>
      <c r="G16" s="399"/>
      <c r="I16" s="131" t="s">
        <v>174</v>
      </c>
      <c r="J16" s="153">
        <f>IFERROR(IF(UnidadEscala="lb",Calibración!C23*453.592,IF(UnidadEscala="kg",Calibración!C23*1000,Calibración!C23)),"")</f>
        <v>0</v>
      </c>
      <c r="K16" s="320">
        <v>0</v>
      </c>
      <c r="L16" s="320">
        <f t="shared" ref="L16:L26" si="0">IF(J16=0,0,IF(J16&lt;=$J$6,$M$6+$N$6*J16+$O$6*J16^2+$P$6*J16^3+$Q$6*J16^4,IF(J16&gt;$J$7,$M$8+$N$8*J16+$O$8*J16^2+$P$8*J16^3+$Q$8*J16^4,$M$7+$N$7*J16+$O$7*J16^2+$P$7*J16^3+$Q$7*J16^4)))</f>
        <v>0</v>
      </c>
      <c r="M16" s="320">
        <f t="shared" ref="M16:M26" si="1">IF(J16=0,0,IF(J16&lt;=$J$6+5,$K$6,IF(J16&gt;$J$7+10,$K$8,$K$7)))</f>
        <v>0</v>
      </c>
    </row>
    <row r="17" spans="2:13" ht="15" thickBot="1" x14ac:dyDescent="0.35">
      <c r="B17" s="403"/>
      <c r="C17" s="403"/>
      <c r="D17" s="398" t="s">
        <v>677</v>
      </c>
      <c r="E17" s="399"/>
      <c r="F17" s="398" t="s">
        <v>676</v>
      </c>
      <c r="G17" s="399"/>
      <c r="I17" s="131" t="s">
        <v>172</v>
      </c>
      <c r="J17" s="153">
        <f>IFERROR(IF(UnidadEscala="lb",Calibración!C24*453.592,IF(UnidadEscala="kg",Calibración!C24*1000,Calibración!C24)),"")</f>
        <v>0</v>
      </c>
      <c r="K17" s="320" t="str">
        <f>IFERROR('kU(E)'!W22*'kU(E)'!$H$20*1000,"")</f>
        <v/>
      </c>
      <c r="L17" s="320">
        <f t="shared" si="0"/>
        <v>0</v>
      </c>
      <c r="M17" s="320">
        <f t="shared" si="1"/>
        <v>0</v>
      </c>
    </row>
    <row r="18" spans="2:13" x14ac:dyDescent="0.3">
      <c r="B18" s="321"/>
      <c r="I18" s="131" t="s">
        <v>169</v>
      </c>
      <c r="J18" s="153">
        <f>IFERROR(IF(UnidadEscala="lb",Calibración!C25*453.592,IF(UnidadEscala="kg",Calibración!C25*1000,Calibración!C25)),"")</f>
        <v>0</v>
      </c>
      <c r="K18" s="320" t="str">
        <f>IFERROR('kU(E)'!W23*'kU(E)'!$I$20*1000,"")</f>
        <v/>
      </c>
      <c r="L18" s="320">
        <f t="shared" si="0"/>
        <v>0</v>
      </c>
      <c r="M18" s="320">
        <f t="shared" si="1"/>
        <v>0</v>
      </c>
    </row>
    <row r="19" spans="2:13" x14ac:dyDescent="0.3">
      <c r="I19" s="131" t="s">
        <v>167</v>
      </c>
      <c r="J19" s="153">
        <f>IFERROR(IF(UnidadEscala="lb",Calibración!C26*453.592,IF(UnidadEscala="kg",Calibración!C26*1000,Calibración!C26)),"")</f>
        <v>0</v>
      </c>
      <c r="K19" s="320" t="str">
        <f>IFERROR('kU(E)'!W24*'kU(E)'!$J$20*1000,"")</f>
        <v/>
      </c>
      <c r="L19" s="320">
        <f t="shared" si="0"/>
        <v>0</v>
      </c>
      <c r="M19" s="320">
        <f t="shared" si="1"/>
        <v>0</v>
      </c>
    </row>
    <row r="20" spans="2:13" x14ac:dyDescent="0.3">
      <c r="I20" s="131" t="s">
        <v>165</v>
      </c>
      <c r="J20" s="153">
        <f>IFERROR(IF(UnidadEscala="lb",Calibración!C27*453.592,IF(UnidadEscala="kg",Calibración!C27*1000,Calibración!C27)),"")</f>
        <v>0</v>
      </c>
      <c r="K20" s="320" t="str">
        <f>IFERROR('kU(E)'!W25*'kU(E)'!$K$20*1000,"")</f>
        <v/>
      </c>
      <c r="L20" s="320">
        <f t="shared" si="0"/>
        <v>0</v>
      </c>
      <c r="M20" s="320">
        <f t="shared" si="1"/>
        <v>0</v>
      </c>
    </row>
    <row r="21" spans="2:13" x14ac:dyDescent="0.3">
      <c r="I21" s="131" t="s">
        <v>164</v>
      </c>
      <c r="J21" s="153">
        <f>IFERROR(IF(UnidadEscala="lb",Calibración!C28*453.592,IF(UnidadEscala="kg",Calibración!C28*1000,Calibración!C28)),"")</f>
        <v>0</v>
      </c>
      <c r="K21" s="320" t="str">
        <f>IFERROR('kU(E)'!W26*'kU(E)'!$L$20*1000,"")</f>
        <v/>
      </c>
      <c r="L21" s="320">
        <f t="shared" si="0"/>
        <v>0</v>
      </c>
      <c r="M21" s="320">
        <f t="shared" si="1"/>
        <v>0</v>
      </c>
    </row>
    <row r="22" spans="2:13" x14ac:dyDescent="0.3">
      <c r="I22" s="131" t="s">
        <v>163</v>
      </c>
      <c r="J22" s="153">
        <f>IFERROR(IF(UnidadEscala="lb",Calibración!C29*453.592,IF(UnidadEscala="kg",Calibración!C29*1000,Calibración!C29)),"")</f>
        <v>0</v>
      </c>
      <c r="K22" s="320" t="str">
        <f>IFERROR('kU(E)'!W27*'kU(E)'!$M$20*1000,"")</f>
        <v/>
      </c>
      <c r="L22" s="320">
        <f t="shared" si="0"/>
        <v>0</v>
      </c>
      <c r="M22" s="320">
        <f t="shared" si="1"/>
        <v>0</v>
      </c>
    </row>
    <row r="23" spans="2:13" x14ac:dyDescent="0.3">
      <c r="I23" s="131" t="s">
        <v>161</v>
      </c>
      <c r="J23" s="153">
        <f>IFERROR(IF(UnidadEscala="lb",Calibración!C30*453.592,IF(UnidadEscala="kg",Calibración!C30*1000,Calibración!C30)),"")</f>
        <v>0</v>
      </c>
      <c r="K23" s="320" t="str">
        <f>IFERROR('kU(E)'!W28*'kU(E)'!$N$20*1000,"")</f>
        <v/>
      </c>
      <c r="L23" s="320">
        <f t="shared" si="0"/>
        <v>0</v>
      </c>
      <c r="M23" s="320">
        <f t="shared" si="1"/>
        <v>0</v>
      </c>
    </row>
    <row r="24" spans="2:13" x14ac:dyDescent="0.3">
      <c r="I24" s="131" t="s">
        <v>159</v>
      </c>
      <c r="J24" s="153">
        <f>IFERROR(IF(UnidadEscala="lb",Calibración!C31*453.592,IF(UnidadEscala="kg",Calibración!C31*1000,Calibración!C31)),"")</f>
        <v>0</v>
      </c>
      <c r="K24" s="320" t="str">
        <f>IFERROR('kU(E)'!W29*'kU(E)'!$O$20*1000,"")</f>
        <v/>
      </c>
      <c r="L24" s="320">
        <f t="shared" si="0"/>
        <v>0</v>
      </c>
      <c r="M24" s="320">
        <f t="shared" si="1"/>
        <v>0</v>
      </c>
    </row>
    <row r="25" spans="2:13" x14ac:dyDescent="0.3">
      <c r="I25" s="131" t="s">
        <v>158</v>
      </c>
      <c r="J25" s="153">
        <f>IFERROR(IF(UnidadEscala="lb",Calibración!C32*453.592,IF(UnidadEscala="kg",Calibración!C32*1000,Calibración!C32)),"")</f>
        <v>0</v>
      </c>
      <c r="K25" s="320" t="str">
        <f>IFERROR('kU(E)'!W30*'kU(E)'!$P$20*1000,"")</f>
        <v/>
      </c>
      <c r="L25" s="320">
        <f t="shared" si="0"/>
        <v>0</v>
      </c>
      <c r="M25" s="320">
        <f t="shared" si="1"/>
        <v>0</v>
      </c>
    </row>
    <row r="26" spans="2:13" x14ac:dyDescent="0.3">
      <c r="I26" s="131" t="s">
        <v>157</v>
      </c>
      <c r="J26" s="153">
        <f>IFERROR(IF(UnidadEscala="lb",Calibración!C33*453.592,IF(UnidadEscala="kg",Calibración!C33*1000,Calibración!C33)),"")</f>
        <v>0</v>
      </c>
      <c r="K26" s="320" t="str">
        <f>IFERROR('kU(E)'!W31*'kU(E)'!$Q$20*1000,"")</f>
        <v/>
      </c>
      <c r="L26" s="320">
        <f t="shared" si="0"/>
        <v>0</v>
      </c>
      <c r="M26" s="320">
        <f t="shared" si="1"/>
        <v>0</v>
      </c>
    </row>
  </sheetData>
  <mergeCells count="27">
    <mergeCell ref="B2:G2"/>
    <mergeCell ref="B4:C4"/>
    <mergeCell ref="D5:G5"/>
    <mergeCell ref="B6:B7"/>
    <mergeCell ref="C6:C7"/>
    <mergeCell ref="D6:E6"/>
    <mergeCell ref="F6:G6"/>
    <mergeCell ref="D7:E7"/>
    <mergeCell ref="F7:G7"/>
    <mergeCell ref="I4:J4"/>
    <mergeCell ref="K4:L4"/>
    <mergeCell ref="B14:C14"/>
    <mergeCell ref="D15:G15"/>
    <mergeCell ref="D12:E12"/>
    <mergeCell ref="F12:G12"/>
    <mergeCell ref="F17:G17"/>
    <mergeCell ref="B9:C9"/>
    <mergeCell ref="D10:G10"/>
    <mergeCell ref="B11:B12"/>
    <mergeCell ref="C11:C12"/>
    <mergeCell ref="D11:E11"/>
    <mergeCell ref="F11:G11"/>
    <mergeCell ref="B16:B17"/>
    <mergeCell ref="C16:C17"/>
    <mergeCell ref="D16:E16"/>
    <mergeCell ref="F16:G16"/>
    <mergeCell ref="D17:E17"/>
  </mergeCells>
  <conditionalFormatting sqref="K17:K26">
    <cfRule type="cellIs" dxfId="21" priority="1" operator="lessThan">
      <formula>M16</formula>
    </cfRule>
  </conditionalFormatting>
  <pageMargins left="0.7" right="0.7" top="0.75" bottom="0.75" header="0.3" footer="0.3"/>
  <pageSetup orientation="portrait" horizontalDpi="1200" verticalDpi="12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640245-4415-4370-93A2-BBF03654F5DE}">
  <dimension ref="B2:E6"/>
  <sheetViews>
    <sheetView workbookViewId="0">
      <selection activeCell="D13" sqref="D13"/>
    </sheetView>
  </sheetViews>
  <sheetFormatPr baseColWidth="10" defaultColWidth="11.44140625" defaultRowHeight="14.4" x14ac:dyDescent="0.3"/>
  <cols>
    <col min="2" max="3" width="20.5546875" customWidth="1"/>
    <col min="4" max="5" width="24" customWidth="1"/>
  </cols>
  <sheetData>
    <row r="2" spans="2:5" x14ac:dyDescent="0.3">
      <c r="D2" s="240"/>
    </row>
    <row r="3" spans="2:5" x14ac:dyDescent="0.3">
      <c r="B3" s="243" t="s">
        <v>475</v>
      </c>
      <c r="C3" s="243" t="s">
        <v>474</v>
      </c>
      <c r="D3" s="243" t="s">
        <v>473</v>
      </c>
      <c r="E3" s="243" t="s">
        <v>472</v>
      </c>
    </row>
    <row r="4" spans="2:5" x14ac:dyDescent="0.3">
      <c r="B4" s="241" t="str">
        <f>General!F7</f>
        <v>Balanza Digital</v>
      </c>
      <c r="C4" s="242" t="str">
        <f>General!F5</f>
        <v>2021-01-01</v>
      </c>
      <c r="D4" s="241" t="str">
        <f>General!F6</f>
        <v>002456635</v>
      </c>
      <c r="E4" s="240" t="str">
        <f>General!F3</f>
        <v>NI-MC-B-XXX-2020</v>
      </c>
    </row>
    <row r="6" spans="2:5" x14ac:dyDescent="0.3">
      <c r="D6" s="79"/>
    </row>
  </sheetData>
  <pageMargins left="0.7" right="0.7" top="0.75" bottom="0.75" header="0.3" footer="0.3"/>
  <pageSetup orientation="portrait" horizontalDpi="1200" verticalDpi="12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47C2B8-2E34-4FEE-88E9-74C063F74E4C}">
  <dimension ref="A2:H372"/>
  <sheetViews>
    <sheetView topLeftCell="A364" zoomScale="92" zoomScaleNormal="92" workbookViewId="0">
      <selection activeCell="C373" sqref="C373"/>
    </sheetView>
  </sheetViews>
  <sheetFormatPr baseColWidth="10" defaultColWidth="11.44140625" defaultRowHeight="14.4" x14ac:dyDescent="0.3"/>
  <cols>
    <col min="1" max="1" width="7.109375" customWidth="1"/>
    <col min="2" max="2" width="62" bestFit="1" customWidth="1"/>
    <col min="3" max="3" width="84.44140625" bestFit="1" customWidth="1"/>
  </cols>
  <sheetData>
    <row r="2" spans="1:7" x14ac:dyDescent="0.3">
      <c r="A2" s="406" t="s">
        <v>1414</v>
      </c>
      <c r="B2" s="406"/>
      <c r="C2" s="406"/>
    </row>
    <row r="3" spans="1:7" x14ac:dyDescent="0.3">
      <c r="A3" s="338"/>
      <c r="B3" s="407" t="s">
        <v>1413</v>
      </c>
      <c r="C3" s="407"/>
    </row>
    <row r="4" spans="1:7" ht="6" customHeight="1" x14ac:dyDescent="0.3">
      <c r="A4" s="338"/>
      <c r="B4" s="337"/>
      <c r="C4" s="337"/>
    </row>
    <row r="5" spans="1:7" x14ac:dyDescent="0.3">
      <c r="A5" s="336" t="s">
        <v>1412</v>
      </c>
      <c r="B5" s="335" t="s">
        <v>104</v>
      </c>
      <c r="C5" s="335" t="s">
        <v>1411</v>
      </c>
    </row>
    <row r="6" spans="1:7" x14ac:dyDescent="0.3">
      <c r="A6" s="328">
        <v>1</v>
      </c>
      <c r="B6" s="327" t="s">
        <v>1410</v>
      </c>
      <c r="C6" s="327" t="s">
        <v>1409</v>
      </c>
      <c r="D6" s="221"/>
      <c r="E6" s="221"/>
      <c r="F6" s="221"/>
      <c r="G6" s="221"/>
    </row>
    <row r="7" spans="1:7" x14ac:dyDescent="0.3">
      <c r="A7" s="328">
        <v>2</v>
      </c>
      <c r="B7" s="329" t="s">
        <v>1408</v>
      </c>
      <c r="C7" s="327" t="s">
        <v>1407</v>
      </c>
      <c r="D7" s="221"/>
      <c r="E7" s="221"/>
      <c r="F7" s="221"/>
      <c r="G7" s="221"/>
    </row>
    <row r="8" spans="1:7" x14ac:dyDescent="0.3">
      <c r="A8" s="328">
        <v>3</v>
      </c>
      <c r="B8" s="327" t="s">
        <v>1406</v>
      </c>
      <c r="C8" s="327" t="s">
        <v>1405</v>
      </c>
      <c r="D8" s="221"/>
      <c r="E8" s="221"/>
      <c r="F8" s="221"/>
      <c r="G8" s="221"/>
    </row>
    <row r="9" spans="1:7" x14ac:dyDescent="0.3">
      <c r="A9" s="328">
        <v>4</v>
      </c>
      <c r="B9" s="327" t="s">
        <v>1404</v>
      </c>
      <c r="C9" s="327" t="s">
        <v>1403</v>
      </c>
      <c r="D9" s="221"/>
      <c r="E9" s="221"/>
      <c r="F9" s="221"/>
      <c r="G9" s="221"/>
    </row>
    <row r="10" spans="1:7" x14ac:dyDescent="0.3">
      <c r="A10" s="328">
        <v>5</v>
      </c>
      <c r="B10" s="327" t="s">
        <v>1402</v>
      </c>
      <c r="C10" s="327" t="s">
        <v>1401</v>
      </c>
      <c r="D10" s="221"/>
      <c r="E10" s="221"/>
      <c r="F10" s="221"/>
      <c r="G10" s="221"/>
    </row>
    <row r="11" spans="1:7" x14ac:dyDescent="0.3">
      <c r="A11" s="328">
        <v>6</v>
      </c>
      <c r="B11" s="223" t="s">
        <v>1400</v>
      </c>
      <c r="C11" s="223" t="s">
        <v>1399</v>
      </c>
      <c r="D11" s="221"/>
      <c r="E11" s="221"/>
      <c r="F11" s="221"/>
      <c r="G11" s="221"/>
    </row>
    <row r="12" spans="1:7" x14ac:dyDescent="0.3">
      <c r="A12" s="328">
        <v>7</v>
      </c>
      <c r="B12" s="327" t="s">
        <v>1398</v>
      </c>
      <c r="C12" s="327" t="s">
        <v>1090</v>
      </c>
      <c r="D12" s="221"/>
      <c r="E12" s="221"/>
      <c r="F12" s="221"/>
      <c r="G12" s="221"/>
    </row>
    <row r="13" spans="1:7" x14ac:dyDescent="0.3">
      <c r="A13" s="328">
        <v>8</v>
      </c>
      <c r="B13" s="327" t="s">
        <v>1397</v>
      </c>
      <c r="C13" s="327" t="s">
        <v>1396</v>
      </c>
      <c r="D13" s="221"/>
      <c r="E13" s="221"/>
      <c r="F13" s="221"/>
      <c r="G13" s="221"/>
    </row>
    <row r="14" spans="1:7" x14ac:dyDescent="0.3">
      <c r="A14" s="328">
        <v>9</v>
      </c>
      <c r="B14" s="327" t="s">
        <v>1395</v>
      </c>
      <c r="C14" s="327" t="s">
        <v>1394</v>
      </c>
      <c r="D14" s="221"/>
      <c r="E14" s="221"/>
      <c r="F14" s="221"/>
      <c r="G14" s="221"/>
    </row>
    <row r="15" spans="1:7" x14ac:dyDescent="0.3">
      <c r="A15" s="328">
        <v>10</v>
      </c>
      <c r="B15" s="327" t="s">
        <v>1393</v>
      </c>
      <c r="C15" s="327" t="s">
        <v>1392</v>
      </c>
      <c r="D15" s="221"/>
      <c r="E15" s="221"/>
      <c r="F15" s="221"/>
      <c r="G15" s="221"/>
    </row>
    <row r="16" spans="1:7" x14ac:dyDescent="0.3">
      <c r="A16" s="328">
        <v>11</v>
      </c>
      <c r="B16" s="221" t="s">
        <v>1391</v>
      </c>
      <c r="C16" s="223" t="s">
        <v>1390</v>
      </c>
      <c r="D16" s="221"/>
      <c r="E16" s="221"/>
      <c r="F16" s="221"/>
      <c r="G16" s="221"/>
    </row>
    <row r="17" spans="1:7" x14ac:dyDescent="0.3">
      <c r="A17" s="328">
        <v>12</v>
      </c>
      <c r="B17" s="327" t="s">
        <v>1389</v>
      </c>
      <c r="C17" s="327" t="s">
        <v>1388</v>
      </c>
      <c r="D17" s="221"/>
      <c r="E17" s="221"/>
      <c r="F17" s="221"/>
      <c r="G17" s="221"/>
    </row>
    <row r="18" spans="1:7" x14ac:dyDescent="0.3">
      <c r="A18" s="328">
        <v>13</v>
      </c>
      <c r="B18" s="327" t="s">
        <v>1387</v>
      </c>
      <c r="C18" s="327" t="s">
        <v>1386</v>
      </c>
      <c r="D18" s="221"/>
      <c r="E18" s="221"/>
      <c r="F18" s="221"/>
      <c r="G18" s="221"/>
    </row>
    <row r="19" spans="1:7" x14ac:dyDescent="0.3">
      <c r="A19" s="328">
        <v>14</v>
      </c>
      <c r="B19" s="327" t="s">
        <v>1385</v>
      </c>
      <c r="C19" s="327" t="s">
        <v>1384</v>
      </c>
      <c r="D19" s="221"/>
      <c r="E19" s="221"/>
      <c r="F19" s="221"/>
      <c r="G19" s="221"/>
    </row>
    <row r="20" spans="1:7" x14ac:dyDescent="0.3">
      <c r="A20" s="328">
        <v>15</v>
      </c>
      <c r="B20" s="327" t="s">
        <v>1383</v>
      </c>
      <c r="C20" s="327" t="s">
        <v>1382</v>
      </c>
      <c r="D20" s="221"/>
      <c r="E20" s="221"/>
      <c r="F20" s="221"/>
      <c r="G20" s="221"/>
    </row>
    <row r="21" spans="1:7" x14ac:dyDescent="0.3">
      <c r="A21" s="328">
        <v>16</v>
      </c>
      <c r="B21" s="327" t="s">
        <v>1381</v>
      </c>
      <c r="C21" s="327" t="s">
        <v>1380</v>
      </c>
      <c r="D21" s="221"/>
      <c r="E21" s="221"/>
      <c r="F21" s="221"/>
      <c r="G21" s="221"/>
    </row>
    <row r="22" spans="1:7" ht="26.4" x14ac:dyDescent="0.3">
      <c r="A22" s="328">
        <v>17</v>
      </c>
      <c r="B22" s="327" t="s">
        <v>1379</v>
      </c>
      <c r="C22" s="327" t="s">
        <v>1378</v>
      </c>
      <c r="D22" s="221"/>
      <c r="E22" s="221"/>
      <c r="F22" s="221"/>
      <c r="G22" s="221"/>
    </row>
    <row r="23" spans="1:7" x14ac:dyDescent="0.3">
      <c r="A23" s="328">
        <v>18</v>
      </c>
      <c r="B23" s="327" t="s">
        <v>1377</v>
      </c>
      <c r="C23" s="327" t="s">
        <v>1376</v>
      </c>
      <c r="D23" s="221"/>
      <c r="E23" s="221"/>
      <c r="F23" s="221"/>
      <c r="G23" s="221"/>
    </row>
    <row r="24" spans="1:7" x14ac:dyDescent="0.3">
      <c r="A24" s="328">
        <v>19</v>
      </c>
      <c r="B24" s="327" t="s">
        <v>1375</v>
      </c>
      <c r="C24" s="327" t="s">
        <v>1374</v>
      </c>
      <c r="D24" s="221"/>
      <c r="E24" s="221"/>
      <c r="F24" s="221"/>
      <c r="G24" s="221"/>
    </row>
    <row r="25" spans="1:7" x14ac:dyDescent="0.3">
      <c r="A25" s="328">
        <v>20</v>
      </c>
      <c r="B25" s="327" t="s">
        <v>1373</v>
      </c>
      <c r="C25" s="327" t="s">
        <v>704</v>
      </c>
      <c r="D25" s="221"/>
      <c r="E25" s="221"/>
      <c r="F25" s="221"/>
      <c r="G25" s="221"/>
    </row>
    <row r="26" spans="1:7" x14ac:dyDescent="0.3">
      <c r="A26" s="328">
        <v>21</v>
      </c>
      <c r="B26" s="327" t="s">
        <v>1372</v>
      </c>
      <c r="C26" s="327" t="s">
        <v>1371</v>
      </c>
      <c r="D26" s="221"/>
      <c r="E26" s="221"/>
      <c r="F26" s="221"/>
      <c r="G26" s="221"/>
    </row>
    <row r="27" spans="1:7" x14ac:dyDescent="0.3">
      <c r="A27" s="328">
        <v>22</v>
      </c>
      <c r="B27" s="327" t="s">
        <v>1370</v>
      </c>
      <c r="C27" s="327" t="s">
        <v>1369</v>
      </c>
      <c r="D27" s="221"/>
      <c r="E27" s="221"/>
      <c r="F27" s="221"/>
      <c r="G27" s="221"/>
    </row>
    <row r="28" spans="1:7" x14ac:dyDescent="0.3">
      <c r="A28" s="328">
        <v>23</v>
      </c>
      <c r="B28" s="327" t="s">
        <v>1368</v>
      </c>
      <c r="C28" s="327" t="s">
        <v>1367</v>
      </c>
      <c r="D28" s="221"/>
      <c r="E28" s="221"/>
      <c r="F28" s="221"/>
      <c r="G28" s="221"/>
    </row>
    <row r="29" spans="1:7" x14ac:dyDescent="0.3">
      <c r="A29" s="328">
        <v>24</v>
      </c>
      <c r="B29" s="327" t="s">
        <v>1366</v>
      </c>
      <c r="C29" s="327" t="s">
        <v>1365</v>
      </c>
      <c r="D29" s="221"/>
      <c r="E29" s="221"/>
      <c r="F29" s="221"/>
      <c r="G29" s="221"/>
    </row>
    <row r="30" spans="1:7" x14ac:dyDescent="0.3">
      <c r="A30" s="328">
        <v>25</v>
      </c>
      <c r="B30" s="327" t="s">
        <v>1364</v>
      </c>
      <c r="C30" s="327" t="s">
        <v>820</v>
      </c>
      <c r="D30" s="221"/>
      <c r="E30" s="221"/>
      <c r="F30" s="221"/>
      <c r="G30" s="221"/>
    </row>
    <row r="31" spans="1:7" x14ac:dyDescent="0.3">
      <c r="A31" s="328">
        <v>26</v>
      </c>
      <c r="B31" s="327" t="s">
        <v>1363</v>
      </c>
      <c r="C31" s="327" t="s">
        <v>1362</v>
      </c>
      <c r="D31" s="221"/>
      <c r="E31" s="221"/>
      <c r="F31" s="221"/>
      <c r="G31" s="221"/>
    </row>
    <row r="32" spans="1:7" x14ac:dyDescent="0.3">
      <c r="A32" s="328">
        <v>27</v>
      </c>
      <c r="B32" s="327" t="s">
        <v>1361</v>
      </c>
      <c r="C32" s="327" t="s">
        <v>1360</v>
      </c>
      <c r="D32" s="221"/>
      <c r="E32" s="221"/>
      <c r="F32" s="221"/>
      <c r="G32" s="221"/>
    </row>
    <row r="33" spans="1:7" x14ac:dyDescent="0.3">
      <c r="A33" s="328">
        <v>28</v>
      </c>
      <c r="B33" s="327" t="s">
        <v>1359</v>
      </c>
      <c r="C33" s="329" t="s">
        <v>1358</v>
      </c>
      <c r="D33" s="221"/>
      <c r="E33" s="221"/>
      <c r="F33" s="221"/>
      <c r="G33" s="221"/>
    </row>
    <row r="34" spans="1:7" x14ac:dyDescent="0.3">
      <c r="A34" s="328"/>
      <c r="B34" s="327" t="s">
        <v>1357</v>
      </c>
      <c r="C34" s="327" t="s">
        <v>814</v>
      </c>
      <c r="D34" s="221"/>
      <c r="E34" s="221"/>
      <c r="F34" s="221"/>
      <c r="G34" s="221"/>
    </row>
    <row r="35" spans="1:7" x14ac:dyDescent="0.3">
      <c r="A35" s="328">
        <v>29</v>
      </c>
      <c r="B35" s="327" t="s">
        <v>1356</v>
      </c>
      <c r="C35" s="327" t="s">
        <v>1355</v>
      </c>
      <c r="D35" s="221"/>
      <c r="E35" s="221"/>
      <c r="F35" s="221"/>
      <c r="G35" s="221"/>
    </row>
    <row r="36" spans="1:7" x14ac:dyDescent="0.3">
      <c r="A36" s="328">
        <v>30</v>
      </c>
      <c r="B36" s="327" t="s">
        <v>1354</v>
      </c>
      <c r="C36" s="327" t="s">
        <v>1353</v>
      </c>
      <c r="D36" s="221"/>
      <c r="E36" s="221"/>
      <c r="F36" s="221"/>
      <c r="G36" s="221"/>
    </row>
    <row r="37" spans="1:7" x14ac:dyDescent="0.3">
      <c r="A37" s="328">
        <v>31</v>
      </c>
      <c r="B37" s="327" t="s">
        <v>1352</v>
      </c>
      <c r="C37" s="327" t="s">
        <v>1351</v>
      </c>
      <c r="D37" s="221"/>
      <c r="E37" s="221"/>
      <c r="F37" s="221"/>
      <c r="G37" s="221"/>
    </row>
    <row r="38" spans="1:7" x14ac:dyDescent="0.3">
      <c r="A38" s="328">
        <v>32</v>
      </c>
      <c r="B38" s="327" t="s">
        <v>1350</v>
      </c>
      <c r="C38" s="327" t="s">
        <v>1349</v>
      </c>
      <c r="D38" s="221"/>
      <c r="E38" s="221"/>
      <c r="F38" s="221"/>
      <c r="G38" s="221"/>
    </row>
    <row r="39" spans="1:7" x14ac:dyDescent="0.3">
      <c r="A39" s="328">
        <v>33</v>
      </c>
      <c r="B39" s="327" t="s">
        <v>1348</v>
      </c>
      <c r="C39" s="327" t="s">
        <v>1347</v>
      </c>
      <c r="D39" s="221"/>
      <c r="E39" s="221"/>
      <c r="F39" s="221"/>
      <c r="G39" s="221"/>
    </row>
    <row r="40" spans="1:7" x14ac:dyDescent="0.3">
      <c r="A40" s="328">
        <v>34</v>
      </c>
      <c r="B40" s="327" t="s">
        <v>1346</v>
      </c>
      <c r="C40" s="327" t="s">
        <v>1345</v>
      </c>
      <c r="D40" s="221"/>
      <c r="E40" s="221"/>
      <c r="F40" s="221"/>
      <c r="G40" s="221"/>
    </row>
    <row r="41" spans="1:7" x14ac:dyDescent="0.3">
      <c r="A41" s="328">
        <v>35</v>
      </c>
      <c r="B41" s="221" t="s">
        <v>1344</v>
      </c>
      <c r="C41" s="327" t="s">
        <v>1289</v>
      </c>
      <c r="D41" s="221"/>
      <c r="E41" s="221"/>
      <c r="F41" s="221"/>
      <c r="G41" s="221"/>
    </row>
    <row r="42" spans="1:7" x14ac:dyDescent="0.3">
      <c r="A42" s="328">
        <v>36</v>
      </c>
      <c r="B42" s="327" t="s">
        <v>1343</v>
      </c>
      <c r="C42" s="327" t="s">
        <v>1342</v>
      </c>
      <c r="D42" s="221"/>
      <c r="E42" s="221"/>
      <c r="F42" s="221"/>
      <c r="G42" s="221"/>
    </row>
    <row r="43" spans="1:7" x14ac:dyDescent="0.3">
      <c r="A43" s="328">
        <v>37</v>
      </c>
      <c r="B43" s="237" t="s">
        <v>1341</v>
      </c>
      <c r="C43" s="327" t="s">
        <v>1340</v>
      </c>
      <c r="D43" s="221"/>
      <c r="E43" s="221"/>
      <c r="F43" s="221"/>
      <c r="G43" s="221"/>
    </row>
    <row r="44" spans="1:7" x14ac:dyDescent="0.3">
      <c r="A44" s="328">
        <v>38</v>
      </c>
      <c r="B44" s="327" t="s">
        <v>1339</v>
      </c>
      <c r="C44" s="327" t="s">
        <v>1338</v>
      </c>
      <c r="D44" s="221"/>
      <c r="E44" s="221"/>
      <c r="F44" s="221"/>
      <c r="G44" s="221"/>
    </row>
    <row r="45" spans="1:7" x14ac:dyDescent="0.3">
      <c r="A45" s="328">
        <v>39</v>
      </c>
      <c r="B45" s="327" t="s">
        <v>1337</v>
      </c>
      <c r="C45" s="327" t="s">
        <v>1336</v>
      </c>
      <c r="D45" s="221"/>
      <c r="E45" s="221"/>
      <c r="F45" s="221"/>
      <c r="G45" s="221"/>
    </row>
    <row r="46" spans="1:7" x14ac:dyDescent="0.3">
      <c r="A46" s="328">
        <v>40</v>
      </c>
      <c r="B46" s="327" t="s">
        <v>1335</v>
      </c>
      <c r="C46" s="327" t="s">
        <v>1334</v>
      </c>
      <c r="D46" s="221"/>
      <c r="E46" s="221"/>
      <c r="F46" s="221"/>
      <c r="G46" s="221"/>
    </row>
    <row r="47" spans="1:7" x14ac:dyDescent="0.3">
      <c r="A47" s="328">
        <v>41</v>
      </c>
      <c r="B47" s="327" t="s">
        <v>1333</v>
      </c>
      <c r="C47" s="327" t="s">
        <v>1332</v>
      </c>
      <c r="D47" s="221"/>
      <c r="E47" s="221"/>
      <c r="F47" s="221"/>
      <c r="G47" s="221"/>
    </row>
    <row r="48" spans="1:7" x14ac:dyDescent="0.3">
      <c r="A48" s="328">
        <v>42</v>
      </c>
      <c r="B48" s="327" t="s">
        <v>1331</v>
      </c>
      <c r="C48" s="327" t="s">
        <v>1330</v>
      </c>
      <c r="D48" s="221"/>
      <c r="E48" s="221"/>
      <c r="F48" s="221"/>
      <c r="G48" s="221"/>
    </row>
    <row r="49" spans="1:7" x14ac:dyDescent="0.3">
      <c r="A49" s="328">
        <v>43</v>
      </c>
      <c r="B49" s="327" t="s">
        <v>1329</v>
      </c>
      <c r="C49" s="327" t="s">
        <v>1328</v>
      </c>
      <c r="D49" s="221"/>
      <c r="E49" s="221"/>
      <c r="F49" s="221"/>
      <c r="G49" s="221"/>
    </row>
    <row r="50" spans="1:7" x14ac:dyDescent="0.3">
      <c r="A50" s="328">
        <v>44</v>
      </c>
      <c r="B50" s="327" t="s">
        <v>1327</v>
      </c>
      <c r="C50" s="327" t="s">
        <v>1326</v>
      </c>
      <c r="D50" s="221"/>
      <c r="E50" s="221"/>
      <c r="F50" s="221"/>
      <c r="G50" s="221"/>
    </row>
    <row r="51" spans="1:7" x14ac:dyDescent="0.3">
      <c r="A51" s="328">
        <v>45</v>
      </c>
      <c r="B51" s="327" t="s">
        <v>1325</v>
      </c>
      <c r="C51" s="327" t="s">
        <v>1324</v>
      </c>
      <c r="D51" s="221"/>
      <c r="E51" s="221"/>
      <c r="F51" s="221"/>
      <c r="G51" s="221"/>
    </row>
    <row r="52" spans="1:7" x14ac:dyDescent="0.3">
      <c r="A52" s="328">
        <v>46</v>
      </c>
      <c r="B52" s="327" t="s">
        <v>1323</v>
      </c>
      <c r="C52" s="327" t="s">
        <v>1322</v>
      </c>
      <c r="D52" s="221"/>
      <c r="E52" s="221"/>
      <c r="F52" s="221"/>
      <c r="G52" s="221"/>
    </row>
    <row r="53" spans="1:7" x14ac:dyDescent="0.3">
      <c r="A53" s="328">
        <v>47</v>
      </c>
      <c r="B53" s="327" t="s">
        <v>1321</v>
      </c>
      <c r="C53" s="327" t="s">
        <v>1320</v>
      </c>
      <c r="D53" s="221"/>
      <c r="E53" s="221"/>
      <c r="F53" s="221"/>
      <c r="G53" s="221"/>
    </row>
    <row r="54" spans="1:7" x14ac:dyDescent="0.3">
      <c r="A54" s="328">
        <v>48</v>
      </c>
      <c r="B54" s="327" t="s">
        <v>1319</v>
      </c>
      <c r="C54" s="327" t="s">
        <v>1318</v>
      </c>
      <c r="D54" s="221"/>
      <c r="E54" s="221"/>
      <c r="F54" s="221"/>
      <c r="G54" s="221"/>
    </row>
    <row r="55" spans="1:7" x14ac:dyDescent="0.3">
      <c r="A55" s="328">
        <v>49</v>
      </c>
      <c r="B55" s="327" t="s">
        <v>1317</v>
      </c>
      <c r="C55" s="327" t="s">
        <v>1316</v>
      </c>
      <c r="D55" s="221"/>
      <c r="E55" s="221"/>
      <c r="F55" s="221"/>
      <c r="G55" s="221"/>
    </row>
    <row r="56" spans="1:7" x14ac:dyDescent="0.3">
      <c r="A56" s="328">
        <v>50</v>
      </c>
      <c r="B56" s="327" t="s">
        <v>1315</v>
      </c>
      <c r="C56" s="327" t="s">
        <v>1314</v>
      </c>
      <c r="D56" s="221"/>
      <c r="E56" s="221"/>
      <c r="F56" s="221"/>
      <c r="G56" s="221"/>
    </row>
    <row r="57" spans="1:7" x14ac:dyDescent="0.3">
      <c r="A57" s="328">
        <v>51</v>
      </c>
      <c r="B57" s="327" t="s">
        <v>1313</v>
      </c>
      <c r="C57" s="327" t="s">
        <v>1312</v>
      </c>
      <c r="D57" s="221"/>
      <c r="E57" s="221"/>
      <c r="F57" s="221"/>
      <c r="G57" s="221"/>
    </row>
    <row r="58" spans="1:7" x14ac:dyDescent="0.3">
      <c r="A58" s="328">
        <v>52</v>
      </c>
      <c r="B58" s="327" t="s">
        <v>1311</v>
      </c>
      <c r="C58" s="327" t="s">
        <v>773</v>
      </c>
      <c r="D58" s="221"/>
      <c r="E58" s="221"/>
      <c r="F58" s="221"/>
      <c r="G58" s="221"/>
    </row>
    <row r="59" spans="1:7" x14ac:dyDescent="0.3">
      <c r="A59" s="328">
        <v>53</v>
      </c>
      <c r="B59" s="327" t="s">
        <v>1310</v>
      </c>
      <c r="C59" s="327" t="s">
        <v>1307</v>
      </c>
      <c r="D59" s="221"/>
      <c r="E59" s="221"/>
      <c r="F59" s="221"/>
      <c r="G59" s="221"/>
    </row>
    <row r="60" spans="1:7" x14ac:dyDescent="0.3">
      <c r="A60" s="328">
        <v>54</v>
      </c>
      <c r="B60" s="327" t="s">
        <v>1309</v>
      </c>
      <c r="C60" s="327" t="s">
        <v>1307</v>
      </c>
      <c r="D60" s="221"/>
      <c r="E60" s="221"/>
      <c r="F60" s="221"/>
      <c r="G60" s="221"/>
    </row>
    <row r="61" spans="1:7" x14ac:dyDescent="0.3">
      <c r="A61" s="328">
        <v>55</v>
      </c>
      <c r="B61" s="327" t="s">
        <v>1308</v>
      </c>
      <c r="C61" s="327" t="s">
        <v>1307</v>
      </c>
      <c r="D61" s="221"/>
      <c r="E61" s="221"/>
      <c r="F61" s="221"/>
      <c r="G61" s="221"/>
    </row>
    <row r="62" spans="1:7" x14ac:dyDescent="0.3">
      <c r="A62" s="328">
        <v>56</v>
      </c>
      <c r="B62" s="327" t="s">
        <v>1306</v>
      </c>
      <c r="C62" s="327" t="s">
        <v>1305</v>
      </c>
      <c r="D62" s="221"/>
      <c r="E62" s="221"/>
      <c r="F62" s="221"/>
      <c r="G62" s="221"/>
    </row>
    <row r="63" spans="1:7" x14ac:dyDescent="0.3">
      <c r="A63" s="328">
        <v>57</v>
      </c>
      <c r="B63" s="327" t="s">
        <v>1304</v>
      </c>
      <c r="C63" s="327" t="s">
        <v>1303</v>
      </c>
      <c r="D63" s="221"/>
      <c r="E63" s="221"/>
      <c r="F63" s="221"/>
      <c r="G63" s="221"/>
    </row>
    <row r="64" spans="1:7" x14ac:dyDescent="0.3">
      <c r="A64" s="328">
        <v>58</v>
      </c>
      <c r="B64" s="327" t="s">
        <v>1302</v>
      </c>
      <c r="C64" s="327" t="s">
        <v>1301</v>
      </c>
      <c r="D64" s="221"/>
      <c r="E64" s="221"/>
      <c r="F64" s="221"/>
      <c r="G64" s="221"/>
    </row>
    <row r="65" spans="1:7" x14ac:dyDescent="0.3">
      <c r="A65" s="328">
        <v>59</v>
      </c>
      <c r="B65" s="327" t="s">
        <v>1300</v>
      </c>
      <c r="C65" s="327" t="s">
        <v>1299</v>
      </c>
      <c r="D65" s="221"/>
      <c r="E65" s="221"/>
      <c r="F65" s="221"/>
      <c r="G65" s="221"/>
    </row>
    <row r="66" spans="1:7" x14ac:dyDescent="0.3">
      <c r="A66" s="328">
        <v>60</v>
      </c>
      <c r="B66" s="327" t="s">
        <v>1298</v>
      </c>
      <c r="C66" s="334" t="s">
        <v>1297</v>
      </c>
      <c r="D66" s="221"/>
      <c r="E66" s="221"/>
      <c r="F66" s="221"/>
      <c r="G66" s="221"/>
    </row>
    <row r="67" spans="1:7" x14ac:dyDescent="0.3">
      <c r="A67" s="328">
        <v>61</v>
      </c>
      <c r="B67" s="327" t="s">
        <v>1296</v>
      </c>
      <c r="C67" s="334" t="s">
        <v>1295</v>
      </c>
      <c r="D67" s="221"/>
      <c r="E67" s="221"/>
      <c r="F67" s="221"/>
      <c r="G67" s="221"/>
    </row>
    <row r="68" spans="1:7" x14ac:dyDescent="0.3">
      <c r="A68" s="328">
        <v>62</v>
      </c>
      <c r="B68" s="333" t="s">
        <v>1294</v>
      </c>
      <c r="C68" s="333" t="s">
        <v>1293</v>
      </c>
      <c r="D68" s="221"/>
      <c r="E68" s="221"/>
      <c r="F68" s="221"/>
      <c r="G68" s="221"/>
    </row>
    <row r="69" spans="1:7" x14ac:dyDescent="0.3">
      <c r="A69" s="328">
        <v>63</v>
      </c>
      <c r="B69" s="327" t="s">
        <v>1292</v>
      </c>
      <c r="C69" s="327" t="s">
        <v>1291</v>
      </c>
      <c r="D69" s="221"/>
      <c r="E69" s="221"/>
      <c r="F69" s="221"/>
      <c r="G69" s="221"/>
    </row>
    <row r="70" spans="1:7" x14ac:dyDescent="0.3">
      <c r="A70" s="328">
        <v>64</v>
      </c>
      <c r="B70" s="327" t="s">
        <v>1290</v>
      </c>
      <c r="C70" s="327" t="s">
        <v>1289</v>
      </c>
      <c r="D70" s="221"/>
      <c r="E70" s="221"/>
      <c r="F70" s="221"/>
      <c r="G70" s="221"/>
    </row>
    <row r="71" spans="1:7" x14ac:dyDescent="0.3">
      <c r="A71" s="328">
        <v>65</v>
      </c>
      <c r="B71" s="327" t="s">
        <v>1288</v>
      </c>
      <c r="C71" s="327" t="s">
        <v>1287</v>
      </c>
      <c r="D71" s="221"/>
      <c r="E71" s="221"/>
      <c r="F71" s="221"/>
      <c r="G71" s="221"/>
    </row>
    <row r="72" spans="1:7" x14ac:dyDescent="0.3">
      <c r="A72" s="328">
        <v>66</v>
      </c>
      <c r="B72" s="327" t="s">
        <v>1286</v>
      </c>
      <c r="C72" s="327" t="s">
        <v>1285</v>
      </c>
      <c r="D72" s="221"/>
      <c r="E72" s="221"/>
      <c r="F72" s="221"/>
      <c r="G72" s="221"/>
    </row>
    <row r="73" spans="1:7" x14ac:dyDescent="0.3">
      <c r="A73" s="328">
        <v>67</v>
      </c>
      <c r="B73" s="327" t="s">
        <v>1284</v>
      </c>
      <c r="C73" s="327" t="s">
        <v>704</v>
      </c>
      <c r="D73" s="221"/>
      <c r="E73" s="221"/>
      <c r="F73" s="221"/>
      <c r="G73" s="221"/>
    </row>
    <row r="74" spans="1:7" x14ac:dyDescent="0.3">
      <c r="A74" s="328">
        <v>68</v>
      </c>
      <c r="B74" s="327" t="s">
        <v>1283</v>
      </c>
      <c r="C74" s="327" t="s">
        <v>1282</v>
      </c>
      <c r="D74" s="221"/>
      <c r="E74" s="221"/>
      <c r="F74" s="221"/>
      <c r="G74" s="221"/>
    </row>
    <row r="75" spans="1:7" x14ac:dyDescent="0.3">
      <c r="A75" s="328">
        <v>69</v>
      </c>
      <c r="B75" s="327" t="s">
        <v>1281</v>
      </c>
      <c r="C75" s="327" t="s">
        <v>1280</v>
      </c>
      <c r="D75" s="221"/>
      <c r="E75" s="221"/>
      <c r="F75" s="221"/>
      <c r="G75" s="221"/>
    </row>
    <row r="76" spans="1:7" x14ac:dyDescent="0.3">
      <c r="A76" s="328">
        <v>70</v>
      </c>
      <c r="B76" s="327" t="s">
        <v>1279</v>
      </c>
      <c r="C76" s="327" t="s">
        <v>1278</v>
      </c>
      <c r="D76" s="221"/>
      <c r="E76" s="221"/>
      <c r="F76" s="221"/>
      <c r="G76" s="221"/>
    </row>
    <row r="77" spans="1:7" x14ac:dyDescent="0.3">
      <c r="A77" s="328">
        <v>71</v>
      </c>
      <c r="B77" s="327" t="s">
        <v>1277</v>
      </c>
      <c r="C77" s="327" t="s">
        <v>1276</v>
      </c>
      <c r="D77" s="221"/>
      <c r="E77" s="221"/>
      <c r="F77" s="221"/>
      <c r="G77" s="221"/>
    </row>
    <row r="78" spans="1:7" x14ac:dyDescent="0.3">
      <c r="A78" s="328">
        <v>72</v>
      </c>
      <c r="B78" s="327" t="s">
        <v>1275</v>
      </c>
      <c r="C78" s="327" t="s">
        <v>1274</v>
      </c>
      <c r="D78" s="221"/>
      <c r="E78" s="221"/>
      <c r="F78" s="221"/>
      <c r="G78" s="221"/>
    </row>
    <row r="79" spans="1:7" x14ac:dyDescent="0.3">
      <c r="A79" s="328">
        <v>73</v>
      </c>
      <c r="B79" s="327" t="s">
        <v>1273</v>
      </c>
      <c r="C79" s="327" t="s">
        <v>704</v>
      </c>
      <c r="D79" s="221"/>
      <c r="E79" s="221"/>
      <c r="F79" s="221"/>
      <c r="G79" s="221"/>
    </row>
    <row r="80" spans="1:7" x14ac:dyDescent="0.3">
      <c r="A80" s="328">
        <v>74</v>
      </c>
      <c r="B80" s="327" t="s">
        <v>1272</v>
      </c>
      <c r="C80" s="327" t="s">
        <v>1271</v>
      </c>
      <c r="D80" s="221"/>
      <c r="E80" s="221"/>
      <c r="F80" s="221"/>
      <c r="G80" s="221"/>
    </row>
    <row r="81" spans="1:7" x14ac:dyDescent="0.3">
      <c r="A81" s="328">
        <v>75</v>
      </c>
      <c r="B81" s="327" t="s">
        <v>1270</v>
      </c>
      <c r="C81" s="327" t="s">
        <v>1269</v>
      </c>
      <c r="D81" s="221"/>
      <c r="E81" s="221"/>
      <c r="F81" s="221"/>
      <c r="G81" s="221"/>
    </row>
    <row r="82" spans="1:7" x14ac:dyDescent="0.3">
      <c r="A82" s="328">
        <v>76</v>
      </c>
      <c r="B82" s="327" t="s">
        <v>1268</v>
      </c>
      <c r="C82" s="327" t="s">
        <v>1267</v>
      </c>
      <c r="D82" s="221"/>
      <c r="E82" s="221"/>
      <c r="F82" s="221"/>
      <c r="G82" s="221"/>
    </row>
    <row r="83" spans="1:7" x14ac:dyDescent="0.3">
      <c r="A83" s="328">
        <v>77</v>
      </c>
      <c r="B83" s="327" t="s">
        <v>1266</v>
      </c>
      <c r="C83" s="327" t="s">
        <v>1265</v>
      </c>
      <c r="D83" s="221"/>
      <c r="E83" s="221"/>
      <c r="F83" s="221"/>
      <c r="G83" s="221"/>
    </row>
    <row r="84" spans="1:7" x14ac:dyDescent="0.3">
      <c r="A84" s="328">
        <v>78</v>
      </c>
      <c r="B84" s="327" t="s">
        <v>1264</v>
      </c>
      <c r="C84" s="327" t="s">
        <v>1263</v>
      </c>
      <c r="D84" s="221"/>
      <c r="E84" s="221"/>
      <c r="F84" s="221"/>
      <c r="G84" s="221"/>
    </row>
    <row r="85" spans="1:7" x14ac:dyDescent="0.3">
      <c r="A85" s="328">
        <v>79</v>
      </c>
      <c r="B85" s="327" t="s">
        <v>1262</v>
      </c>
      <c r="C85" s="327" t="s">
        <v>1261</v>
      </c>
      <c r="D85" s="221"/>
      <c r="E85" s="221"/>
      <c r="F85" s="221"/>
      <c r="G85" s="221"/>
    </row>
    <row r="86" spans="1:7" x14ac:dyDescent="0.3">
      <c r="A86" s="328">
        <v>80</v>
      </c>
      <c r="B86" s="327" t="s">
        <v>1260</v>
      </c>
      <c r="C86" s="327" t="s">
        <v>1259</v>
      </c>
      <c r="D86" s="221"/>
      <c r="E86" s="221"/>
      <c r="F86" s="221"/>
      <c r="G86" s="221"/>
    </row>
    <row r="87" spans="1:7" x14ac:dyDescent="0.3">
      <c r="A87" s="328">
        <v>81</v>
      </c>
      <c r="B87" s="327" t="s">
        <v>1258</v>
      </c>
      <c r="C87" s="221" t="s">
        <v>1257</v>
      </c>
      <c r="D87" s="221"/>
      <c r="E87" s="221"/>
      <c r="F87" s="221"/>
      <c r="G87" s="221"/>
    </row>
    <row r="88" spans="1:7" x14ac:dyDescent="0.3">
      <c r="A88" s="328">
        <v>82</v>
      </c>
      <c r="B88" s="327" t="s">
        <v>1256</v>
      </c>
      <c r="C88" s="327" t="s">
        <v>1255</v>
      </c>
      <c r="D88" s="221"/>
      <c r="E88" s="221"/>
      <c r="F88" s="221"/>
      <c r="G88" s="221"/>
    </row>
    <row r="89" spans="1:7" x14ac:dyDescent="0.3">
      <c r="A89" s="328">
        <v>83</v>
      </c>
      <c r="B89" s="327" t="s">
        <v>1254</v>
      </c>
      <c r="C89" s="327" t="s">
        <v>1253</v>
      </c>
      <c r="D89" s="221"/>
      <c r="E89" s="221"/>
      <c r="F89" s="221"/>
      <c r="G89" s="221"/>
    </row>
    <row r="90" spans="1:7" x14ac:dyDescent="0.3">
      <c r="A90" s="328">
        <v>84</v>
      </c>
      <c r="B90" s="327" t="s">
        <v>1252</v>
      </c>
      <c r="C90" s="327" t="s">
        <v>717</v>
      </c>
      <c r="D90" s="221"/>
      <c r="E90" s="221"/>
      <c r="F90" s="221"/>
      <c r="G90" s="221"/>
    </row>
    <row r="91" spans="1:7" x14ac:dyDescent="0.3">
      <c r="A91" s="328">
        <v>85</v>
      </c>
      <c r="B91" s="327" t="s">
        <v>1251</v>
      </c>
      <c r="C91" s="327" t="s">
        <v>1250</v>
      </c>
      <c r="D91" s="221"/>
      <c r="E91" s="221"/>
      <c r="F91" s="221"/>
      <c r="G91" s="221"/>
    </row>
    <row r="92" spans="1:7" x14ac:dyDescent="0.3">
      <c r="A92" s="328">
        <v>86</v>
      </c>
      <c r="B92" s="327" t="s">
        <v>1249</v>
      </c>
      <c r="C92" s="327" t="s">
        <v>1248</v>
      </c>
      <c r="D92" s="221"/>
      <c r="E92" s="221"/>
      <c r="F92" s="221"/>
      <c r="G92" s="221"/>
    </row>
    <row r="93" spans="1:7" x14ac:dyDescent="0.3">
      <c r="A93" s="328">
        <v>87</v>
      </c>
      <c r="B93" s="327" t="s">
        <v>1247</v>
      </c>
      <c r="C93" s="327" t="s">
        <v>1246</v>
      </c>
      <c r="D93" s="221"/>
      <c r="E93" s="221"/>
      <c r="F93" s="221"/>
      <c r="G93" s="221"/>
    </row>
    <row r="94" spans="1:7" x14ac:dyDescent="0.3">
      <c r="A94" s="328">
        <v>88</v>
      </c>
      <c r="B94" s="327" t="s">
        <v>1245</v>
      </c>
      <c r="C94" s="327" t="s">
        <v>1244</v>
      </c>
      <c r="D94" s="221"/>
      <c r="E94" s="221"/>
      <c r="F94" s="221"/>
      <c r="G94" s="221"/>
    </row>
    <row r="95" spans="1:7" x14ac:dyDescent="0.3">
      <c r="A95" s="328">
        <v>89</v>
      </c>
      <c r="B95" s="327" t="s">
        <v>1243</v>
      </c>
      <c r="C95" s="327" t="s">
        <v>1242</v>
      </c>
      <c r="D95" s="221"/>
      <c r="E95" s="221"/>
      <c r="F95" s="221"/>
      <c r="G95" s="221"/>
    </row>
    <row r="96" spans="1:7" x14ac:dyDescent="0.3">
      <c r="A96" s="328">
        <v>90</v>
      </c>
      <c r="B96" s="327" t="s">
        <v>1241</v>
      </c>
      <c r="C96" s="327" t="s">
        <v>1240</v>
      </c>
      <c r="D96" s="221"/>
      <c r="E96" s="221"/>
      <c r="F96" s="221"/>
      <c r="G96" s="221"/>
    </row>
    <row r="97" spans="1:7" x14ac:dyDescent="0.3">
      <c r="A97" s="328">
        <v>91</v>
      </c>
      <c r="B97" s="327" t="s">
        <v>1239</v>
      </c>
      <c r="C97" s="327" t="s">
        <v>1238</v>
      </c>
      <c r="D97" s="221"/>
      <c r="E97" s="221"/>
      <c r="F97" s="221"/>
      <c r="G97" s="221"/>
    </row>
    <row r="98" spans="1:7" x14ac:dyDescent="0.3">
      <c r="A98" s="328">
        <v>92</v>
      </c>
      <c r="B98" s="327" t="s">
        <v>1237</v>
      </c>
      <c r="C98" s="327" t="s">
        <v>1236</v>
      </c>
      <c r="D98" s="221"/>
      <c r="E98" s="221"/>
      <c r="F98" s="221"/>
      <c r="G98" s="221"/>
    </row>
    <row r="99" spans="1:7" x14ac:dyDescent="0.3">
      <c r="A99" s="328">
        <v>93</v>
      </c>
      <c r="B99" s="327" t="s">
        <v>1235</v>
      </c>
      <c r="C99" s="327" t="s">
        <v>1234</v>
      </c>
      <c r="D99" s="221"/>
      <c r="E99" s="221"/>
      <c r="F99" s="221"/>
      <c r="G99" s="221"/>
    </row>
    <row r="100" spans="1:7" x14ac:dyDescent="0.3">
      <c r="A100" s="328">
        <v>94</v>
      </c>
      <c r="B100" s="327" t="s">
        <v>1233</v>
      </c>
      <c r="C100" s="327" t="s">
        <v>1232</v>
      </c>
      <c r="D100" s="221"/>
      <c r="E100" s="221"/>
      <c r="F100" s="221"/>
      <c r="G100" s="221"/>
    </row>
    <row r="101" spans="1:7" x14ac:dyDescent="0.3">
      <c r="A101" s="328">
        <v>95</v>
      </c>
      <c r="B101" s="327" t="s">
        <v>1231</v>
      </c>
      <c r="C101" s="327" t="s">
        <v>1230</v>
      </c>
      <c r="D101" s="221"/>
      <c r="E101" s="221"/>
      <c r="F101" s="221"/>
      <c r="G101" s="221"/>
    </row>
    <row r="102" spans="1:7" x14ac:dyDescent="0.3">
      <c r="A102" s="328">
        <v>96</v>
      </c>
      <c r="B102" s="327" t="s">
        <v>1229</v>
      </c>
      <c r="C102" s="327" t="s">
        <v>1228</v>
      </c>
      <c r="D102" s="221"/>
      <c r="E102" s="221"/>
      <c r="F102" s="221"/>
      <c r="G102" s="221"/>
    </row>
    <row r="103" spans="1:7" x14ac:dyDescent="0.3">
      <c r="A103" s="328">
        <v>97</v>
      </c>
      <c r="B103" s="327" t="s">
        <v>1227</v>
      </c>
      <c r="C103" s="327" t="s">
        <v>1226</v>
      </c>
      <c r="D103" s="221"/>
      <c r="E103" s="221"/>
      <c r="F103" s="221"/>
      <c r="G103" s="221"/>
    </row>
    <row r="104" spans="1:7" x14ac:dyDescent="0.3">
      <c r="A104" s="328">
        <v>98</v>
      </c>
      <c r="B104" s="327" t="s">
        <v>1225</v>
      </c>
      <c r="C104" s="327" t="s">
        <v>1224</v>
      </c>
      <c r="D104" s="221"/>
      <c r="E104" s="221"/>
      <c r="F104" s="221"/>
      <c r="G104" s="221"/>
    </row>
    <row r="105" spans="1:7" x14ac:dyDescent="0.3">
      <c r="A105" s="328">
        <v>99</v>
      </c>
      <c r="B105" s="327" t="s">
        <v>1223</v>
      </c>
      <c r="C105" s="327" t="s">
        <v>1222</v>
      </c>
      <c r="D105" s="221"/>
      <c r="E105" s="221"/>
      <c r="F105" s="221"/>
      <c r="G105" s="221"/>
    </row>
    <row r="106" spans="1:7" x14ac:dyDescent="0.3">
      <c r="A106" s="328">
        <v>100</v>
      </c>
      <c r="B106" s="327" t="s">
        <v>1221</v>
      </c>
      <c r="C106" s="327" t="s">
        <v>1220</v>
      </c>
      <c r="D106" s="221"/>
      <c r="E106" s="221"/>
      <c r="F106" s="221"/>
      <c r="G106" s="221"/>
    </row>
    <row r="107" spans="1:7" x14ac:dyDescent="0.3">
      <c r="A107" s="328">
        <v>101</v>
      </c>
      <c r="B107" s="327" t="s">
        <v>1219</v>
      </c>
      <c r="C107" s="327" t="s">
        <v>1218</v>
      </c>
      <c r="D107" s="221"/>
      <c r="E107" s="221"/>
      <c r="F107" s="221"/>
      <c r="G107" s="221"/>
    </row>
    <row r="108" spans="1:7" x14ac:dyDescent="0.3">
      <c r="A108" s="328">
        <v>102</v>
      </c>
      <c r="B108" s="327" t="s">
        <v>1217</v>
      </c>
      <c r="C108" s="327" t="s">
        <v>1216</v>
      </c>
      <c r="D108" s="221"/>
      <c r="E108" s="221"/>
      <c r="F108" s="221"/>
      <c r="G108" s="221"/>
    </row>
    <row r="109" spans="1:7" x14ac:dyDescent="0.3">
      <c r="A109" s="328">
        <v>103</v>
      </c>
      <c r="B109" s="327" t="s">
        <v>1215</v>
      </c>
      <c r="C109" s="327"/>
      <c r="D109" s="221"/>
      <c r="E109" s="221"/>
      <c r="F109" s="221"/>
      <c r="G109" s="221"/>
    </row>
    <row r="110" spans="1:7" x14ac:dyDescent="0.3">
      <c r="A110" s="328">
        <v>104</v>
      </c>
      <c r="B110" s="327" t="s">
        <v>1214</v>
      </c>
      <c r="C110" s="327" t="s">
        <v>1213</v>
      </c>
      <c r="D110" s="221"/>
      <c r="E110" s="221"/>
      <c r="F110" s="221"/>
      <c r="G110" s="221"/>
    </row>
    <row r="111" spans="1:7" x14ac:dyDescent="0.3">
      <c r="A111" s="328">
        <v>105</v>
      </c>
      <c r="B111" s="327" t="s">
        <v>1212</v>
      </c>
      <c r="C111" s="327" t="s">
        <v>1211</v>
      </c>
      <c r="D111" s="221"/>
      <c r="E111" s="221"/>
      <c r="F111" s="221"/>
      <c r="G111" s="221"/>
    </row>
    <row r="112" spans="1:7" x14ac:dyDescent="0.3">
      <c r="A112" s="328">
        <v>106</v>
      </c>
      <c r="B112" s="327" t="s">
        <v>1210</v>
      </c>
      <c r="C112" s="327" t="s">
        <v>1209</v>
      </c>
      <c r="D112" s="221"/>
      <c r="E112" s="221"/>
      <c r="F112" s="221"/>
      <c r="G112" s="221"/>
    </row>
    <row r="113" spans="1:7" x14ac:dyDescent="0.3">
      <c r="A113" s="328">
        <v>107</v>
      </c>
      <c r="B113" s="327" t="s">
        <v>1208</v>
      </c>
      <c r="C113" s="327" t="s">
        <v>1207</v>
      </c>
      <c r="D113" s="221"/>
      <c r="E113" s="221"/>
      <c r="F113" s="221"/>
      <c r="G113" s="221"/>
    </row>
    <row r="114" spans="1:7" x14ac:dyDescent="0.3">
      <c r="A114" s="328">
        <v>108</v>
      </c>
      <c r="B114" s="327" t="s">
        <v>1206</v>
      </c>
      <c r="C114" s="327" t="s">
        <v>1205</v>
      </c>
      <c r="D114" s="221"/>
      <c r="E114" s="221"/>
      <c r="F114" s="221"/>
      <c r="G114" s="221"/>
    </row>
    <row r="115" spans="1:7" x14ac:dyDescent="0.3">
      <c r="A115" s="328">
        <v>109</v>
      </c>
      <c r="B115" s="327" t="s">
        <v>1204</v>
      </c>
      <c r="C115" s="327" t="s">
        <v>1203</v>
      </c>
      <c r="D115" s="221"/>
      <c r="E115" s="221"/>
      <c r="F115" s="221"/>
      <c r="G115" s="221"/>
    </row>
    <row r="116" spans="1:7" x14ac:dyDescent="0.3">
      <c r="A116" s="328">
        <v>110</v>
      </c>
      <c r="B116" s="327" t="s">
        <v>1202</v>
      </c>
      <c r="C116" s="327" t="s">
        <v>1201</v>
      </c>
      <c r="D116" s="221"/>
      <c r="E116" s="221"/>
      <c r="F116" s="221"/>
      <c r="G116" s="221"/>
    </row>
    <row r="117" spans="1:7" x14ac:dyDescent="0.3">
      <c r="A117" s="328">
        <v>111</v>
      </c>
      <c r="B117" s="327" t="s">
        <v>1200</v>
      </c>
      <c r="C117" s="327" t="s">
        <v>1199</v>
      </c>
      <c r="D117" s="221"/>
      <c r="E117" s="221"/>
      <c r="F117" s="221"/>
      <c r="G117" s="221"/>
    </row>
    <row r="118" spans="1:7" x14ac:dyDescent="0.3">
      <c r="A118" s="328">
        <v>112</v>
      </c>
      <c r="B118" s="327" t="s">
        <v>1198</v>
      </c>
      <c r="C118" s="327" t="s">
        <v>1197</v>
      </c>
      <c r="D118" s="221"/>
      <c r="E118" s="221"/>
      <c r="F118" s="221"/>
      <c r="G118" s="221"/>
    </row>
    <row r="119" spans="1:7" x14ac:dyDescent="0.3">
      <c r="A119" s="328">
        <v>113</v>
      </c>
      <c r="B119" s="327" t="s">
        <v>1196</v>
      </c>
      <c r="C119" s="327" t="s">
        <v>1195</v>
      </c>
      <c r="D119" s="221"/>
      <c r="E119" s="221"/>
      <c r="F119" s="221"/>
      <c r="G119" s="221"/>
    </row>
    <row r="120" spans="1:7" x14ac:dyDescent="0.3">
      <c r="A120" s="328">
        <v>114</v>
      </c>
      <c r="B120" s="327" t="s">
        <v>1194</v>
      </c>
      <c r="C120" s="327" t="s">
        <v>1193</v>
      </c>
      <c r="D120" s="221"/>
      <c r="E120" s="221"/>
      <c r="F120" s="221"/>
      <c r="G120" s="221"/>
    </row>
    <row r="121" spans="1:7" x14ac:dyDescent="0.3">
      <c r="A121" s="328">
        <v>115</v>
      </c>
      <c r="B121" s="327" t="s">
        <v>1192</v>
      </c>
      <c r="C121" s="327" t="s">
        <v>1191</v>
      </c>
      <c r="D121" s="221"/>
      <c r="E121" s="221"/>
      <c r="F121" s="221"/>
      <c r="G121" s="221"/>
    </row>
    <row r="122" spans="1:7" x14ac:dyDescent="0.3">
      <c r="A122" s="328">
        <v>116</v>
      </c>
      <c r="B122" s="327" t="s">
        <v>1190</v>
      </c>
      <c r="C122" s="327" t="s">
        <v>1189</v>
      </c>
      <c r="D122" s="221"/>
      <c r="E122" s="221"/>
      <c r="F122" s="221"/>
      <c r="G122" s="221"/>
    </row>
    <row r="123" spans="1:7" x14ac:dyDescent="0.3">
      <c r="A123" s="328">
        <v>117</v>
      </c>
      <c r="B123" s="327" t="s">
        <v>1188</v>
      </c>
      <c r="C123" s="327" t="s">
        <v>802</v>
      </c>
      <c r="D123" s="221"/>
      <c r="E123" s="221"/>
      <c r="F123" s="221"/>
      <c r="G123" s="221"/>
    </row>
    <row r="124" spans="1:7" x14ac:dyDescent="0.3">
      <c r="A124" s="328">
        <v>118</v>
      </c>
      <c r="B124" s="327" t="s">
        <v>1187</v>
      </c>
      <c r="C124" s="327" t="s">
        <v>1186</v>
      </c>
      <c r="D124" s="221"/>
      <c r="E124" s="221"/>
      <c r="F124" s="221"/>
      <c r="G124" s="221"/>
    </row>
    <row r="125" spans="1:7" x14ac:dyDescent="0.3">
      <c r="A125" s="328">
        <v>119</v>
      </c>
      <c r="B125" s="327" t="s">
        <v>1185</v>
      </c>
      <c r="C125" s="327" t="s">
        <v>1184</v>
      </c>
      <c r="D125" s="221"/>
      <c r="E125" s="221"/>
      <c r="F125" s="221"/>
      <c r="G125" s="221"/>
    </row>
    <row r="126" spans="1:7" x14ac:dyDescent="0.3">
      <c r="A126" s="328">
        <v>120</v>
      </c>
      <c r="B126" s="327" t="s">
        <v>1183</v>
      </c>
      <c r="C126" s="327" t="s">
        <v>1182</v>
      </c>
      <c r="D126" s="221"/>
      <c r="E126" s="221"/>
      <c r="F126" s="221"/>
      <c r="G126" s="221"/>
    </row>
    <row r="127" spans="1:7" x14ac:dyDescent="0.3">
      <c r="A127" s="328">
        <v>121</v>
      </c>
      <c r="B127" s="327" t="s">
        <v>1181</v>
      </c>
      <c r="C127" s="327" t="s">
        <v>1180</v>
      </c>
      <c r="D127" s="221"/>
      <c r="E127" s="221"/>
      <c r="F127" s="221"/>
      <c r="G127" s="221"/>
    </row>
    <row r="128" spans="1:7" x14ac:dyDescent="0.3">
      <c r="A128" s="328">
        <v>122</v>
      </c>
      <c r="B128" s="327" t="s">
        <v>1179</v>
      </c>
      <c r="C128" s="327" t="s">
        <v>1178</v>
      </c>
      <c r="D128" s="221"/>
      <c r="E128" s="221"/>
      <c r="F128" s="221"/>
      <c r="G128" s="221"/>
    </row>
    <row r="129" spans="1:7" x14ac:dyDescent="0.3">
      <c r="A129" s="328">
        <v>123</v>
      </c>
      <c r="B129" s="327" t="s">
        <v>1177</v>
      </c>
      <c r="C129" s="327" t="s">
        <v>1176</v>
      </c>
      <c r="D129" s="221"/>
      <c r="E129" s="221"/>
      <c r="F129" s="221"/>
      <c r="G129" s="221"/>
    </row>
    <row r="130" spans="1:7" x14ac:dyDescent="0.3">
      <c r="A130" s="328">
        <v>124</v>
      </c>
      <c r="B130" s="327" t="s">
        <v>1175</v>
      </c>
      <c r="C130" s="327" t="s">
        <v>1174</v>
      </c>
      <c r="D130" s="221"/>
      <c r="E130" s="221"/>
      <c r="F130" s="221"/>
      <c r="G130" s="221"/>
    </row>
    <row r="131" spans="1:7" x14ac:dyDescent="0.3">
      <c r="A131" s="328">
        <v>125</v>
      </c>
      <c r="B131" s="327" t="s">
        <v>1173</v>
      </c>
      <c r="C131" s="327" t="s">
        <v>1172</v>
      </c>
      <c r="D131" s="221"/>
      <c r="E131" s="221"/>
      <c r="F131" s="221"/>
      <c r="G131" s="221"/>
    </row>
    <row r="132" spans="1:7" x14ac:dyDescent="0.3">
      <c r="A132" s="328">
        <v>126</v>
      </c>
      <c r="B132" s="327" t="s">
        <v>1171</v>
      </c>
      <c r="C132" s="327" t="s">
        <v>1170</v>
      </c>
      <c r="D132" s="221"/>
      <c r="E132" s="221"/>
      <c r="F132" s="221"/>
      <c r="G132" s="221"/>
    </row>
    <row r="133" spans="1:7" x14ac:dyDescent="0.3">
      <c r="A133" s="328">
        <v>127</v>
      </c>
      <c r="B133" s="327" t="s">
        <v>1169</v>
      </c>
      <c r="C133" s="327" t="s">
        <v>1168</v>
      </c>
      <c r="D133" s="221"/>
      <c r="E133" s="221"/>
      <c r="F133" s="221"/>
      <c r="G133" s="221"/>
    </row>
    <row r="134" spans="1:7" x14ac:dyDescent="0.3">
      <c r="A134" s="328">
        <v>128</v>
      </c>
      <c r="B134" s="327" t="s">
        <v>1167</v>
      </c>
      <c r="C134" s="327" t="s">
        <v>1166</v>
      </c>
      <c r="D134" s="221"/>
      <c r="E134" s="221"/>
      <c r="F134" s="221"/>
      <c r="G134" s="221"/>
    </row>
    <row r="135" spans="1:7" x14ac:dyDescent="0.3">
      <c r="A135" s="328">
        <v>129</v>
      </c>
      <c r="B135" s="327" t="s">
        <v>1165</v>
      </c>
      <c r="C135" s="327" t="s">
        <v>1164</v>
      </c>
      <c r="D135" s="221"/>
      <c r="E135" s="221"/>
      <c r="F135" s="221"/>
      <c r="G135" s="221"/>
    </row>
    <row r="136" spans="1:7" x14ac:dyDescent="0.3">
      <c r="A136" s="328">
        <v>130</v>
      </c>
      <c r="B136" s="327" t="s">
        <v>1163</v>
      </c>
      <c r="C136" s="327" t="s">
        <v>1162</v>
      </c>
      <c r="D136" s="221"/>
      <c r="E136" s="221"/>
      <c r="F136" s="221"/>
      <c r="G136" s="221"/>
    </row>
    <row r="137" spans="1:7" x14ac:dyDescent="0.3">
      <c r="A137" s="328">
        <v>131</v>
      </c>
      <c r="B137" s="327" t="s">
        <v>1161</v>
      </c>
      <c r="C137" s="327" t="s">
        <v>963</v>
      </c>
      <c r="D137" s="221"/>
      <c r="E137" s="221"/>
      <c r="F137" s="221"/>
      <c r="G137" s="221"/>
    </row>
    <row r="138" spans="1:7" x14ac:dyDescent="0.3">
      <c r="A138" s="328">
        <v>132</v>
      </c>
      <c r="B138" s="327" t="s">
        <v>1160</v>
      </c>
      <c r="C138" s="327" t="s">
        <v>1159</v>
      </c>
      <c r="D138" s="221"/>
      <c r="E138" s="221"/>
      <c r="F138" s="221"/>
      <c r="G138" s="221"/>
    </row>
    <row r="139" spans="1:7" x14ac:dyDescent="0.3">
      <c r="A139" s="328">
        <v>133</v>
      </c>
      <c r="B139" s="327" t="s">
        <v>1158</v>
      </c>
      <c r="C139" s="327" t="s">
        <v>1157</v>
      </c>
      <c r="D139" s="221"/>
      <c r="E139" s="221"/>
      <c r="F139" s="221"/>
      <c r="G139" s="221"/>
    </row>
    <row r="140" spans="1:7" x14ac:dyDescent="0.3">
      <c r="A140" s="328">
        <v>134</v>
      </c>
      <c r="B140" s="327" t="s">
        <v>1156</v>
      </c>
      <c r="C140" s="327" t="s">
        <v>1155</v>
      </c>
      <c r="D140" s="221"/>
      <c r="E140" s="221"/>
      <c r="F140" s="221"/>
      <c r="G140" s="221"/>
    </row>
    <row r="141" spans="1:7" ht="26.4" x14ac:dyDescent="0.3">
      <c r="A141" s="328">
        <v>135</v>
      </c>
      <c r="B141" s="327" t="s">
        <v>1154</v>
      </c>
      <c r="C141" s="327" t="s">
        <v>1153</v>
      </c>
      <c r="D141" s="221"/>
      <c r="E141" s="221"/>
      <c r="F141" s="221"/>
      <c r="G141" s="221"/>
    </row>
    <row r="142" spans="1:7" x14ac:dyDescent="0.3">
      <c r="A142" s="328">
        <v>136</v>
      </c>
      <c r="B142" s="327" t="s">
        <v>1152</v>
      </c>
      <c r="C142" s="327" t="s">
        <v>1151</v>
      </c>
      <c r="D142" s="221"/>
      <c r="E142" s="221"/>
      <c r="F142" s="221"/>
      <c r="G142" s="221"/>
    </row>
    <row r="143" spans="1:7" ht="26.4" x14ac:dyDescent="0.3">
      <c r="A143" s="328">
        <v>137</v>
      </c>
      <c r="B143" s="327" t="s">
        <v>1150</v>
      </c>
      <c r="C143" s="327" t="s">
        <v>1149</v>
      </c>
      <c r="D143" s="221"/>
      <c r="E143" s="221"/>
      <c r="F143" s="221"/>
      <c r="G143" s="221"/>
    </row>
    <row r="144" spans="1:7" x14ac:dyDescent="0.3">
      <c r="A144" s="328">
        <v>138</v>
      </c>
      <c r="B144" s="327" t="s">
        <v>1148</v>
      </c>
      <c r="C144" s="327" t="s">
        <v>1147</v>
      </c>
      <c r="D144" s="221"/>
      <c r="E144" s="221"/>
      <c r="F144" s="221"/>
      <c r="G144" s="221"/>
    </row>
    <row r="145" spans="1:7" x14ac:dyDescent="0.3">
      <c r="A145" s="328">
        <v>139</v>
      </c>
      <c r="B145" s="327" t="s">
        <v>1146</v>
      </c>
      <c r="C145" s="327" t="s">
        <v>1145</v>
      </c>
      <c r="D145" s="221"/>
      <c r="E145" s="221"/>
      <c r="F145" s="221"/>
      <c r="G145" s="221"/>
    </row>
    <row r="146" spans="1:7" x14ac:dyDescent="0.3">
      <c r="A146" s="328">
        <v>140</v>
      </c>
      <c r="B146" s="327" t="s">
        <v>1144</v>
      </c>
      <c r="C146" s="327" t="s">
        <v>1143</v>
      </c>
      <c r="D146" s="221"/>
      <c r="E146" s="221"/>
      <c r="F146" s="221"/>
      <c r="G146" s="221"/>
    </row>
    <row r="147" spans="1:7" x14ac:dyDescent="0.3">
      <c r="A147" s="328">
        <v>141</v>
      </c>
      <c r="B147" s="327" t="s">
        <v>1142</v>
      </c>
      <c r="C147" s="327" t="s">
        <v>1141</v>
      </c>
      <c r="D147" s="221"/>
      <c r="E147" s="221"/>
      <c r="F147" s="221"/>
      <c r="G147" s="221"/>
    </row>
    <row r="148" spans="1:7" x14ac:dyDescent="0.3">
      <c r="A148" s="328">
        <v>142</v>
      </c>
      <c r="B148" s="327" t="s">
        <v>1140</v>
      </c>
      <c r="C148" s="327" t="s">
        <v>1139</v>
      </c>
      <c r="D148" s="221"/>
      <c r="E148" s="221"/>
      <c r="F148" s="221"/>
      <c r="G148" s="221"/>
    </row>
    <row r="149" spans="1:7" x14ac:dyDescent="0.3">
      <c r="A149" s="328">
        <v>143</v>
      </c>
      <c r="B149" s="327" t="s">
        <v>1138</v>
      </c>
      <c r="C149" s="327" t="s">
        <v>1137</v>
      </c>
      <c r="D149" s="221"/>
      <c r="E149" s="221"/>
      <c r="F149" s="221"/>
      <c r="G149" s="221"/>
    </row>
    <row r="150" spans="1:7" x14ac:dyDescent="0.3">
      <c r="A150" s="328">
        <v>144</v>
      </c>
      <c r="B150" s="327" t="s">
        <v>1136</v>
      </c>
      <c r="C150" s="327" t="s">
        <v>704</v>
      </c>
      <c r="D150" s="221"/>
      <c r="E150" s="221"/>
      <c r="F150" s="221"/>
      <c r="G150" s="221"/>
    </row>
    <row r="151" spans="1:7" x14ac:dyDescent="0.3">
      <c r="A151" s="328">
        <v>145</v>
      </c>
      <c r="B151" s="327" t="s">
        <v>1135</v>
      </c>
      <c r="C151" s="327" t="s">
        <v>1134</v>
      </c>
      <c r="D151" s="221"/>
      <c r="E151" s="221"/>
      <c r="F151" s="221"/>
      <c r="G151" s="221"/>
    </row>
    <row r="152" spans="1:7" x14ac:dyDescent="0.3">
      <c r="A152" s="328">
        <v>146</v>
      </c>
      <c r="B152" s="327" t="s">
        <v>1133</v>
      </c>
      <c r="C152" s="327" t="s">
        <v>1131</v>
      </c>
      <c r="D152" s="221"/>
      <c r="E152" s="221"/>
      <c r="F152" s="221"/>
      <c r="G152" s="221"/>
    </row>
    <row r="153" spans="1:7" x14ac:dyDescent="0.3">
      <c r="A153" s="328">
        <v>147</v>
      </c>
      <c r="B153" s="327" t="s">
        <v>1132</v>
      </c>
      <c r="C153" s="327" t="s">
        <v>1131</v>
      </c>
      <c r="D153" s="221"/>
      <c r="E153" s="221"/>
      <c r="F153" s="221"/>
      <c r="G153" s="221"/>
    </row>
    <row r="154" spans="1:7" x14ac:dyDescent="0.3">
      <c r="A154" s="328">
        <v>148</v>
      </c>
      <c r="B154" s="327" t="s">
        <v>1130</v>
      </c>
      <c r="C154" s="327" t="s">
        <v>1129</v>
      </c>
      <c r="D154" s="221"/>
      <c r="E154" s="221"/>
      <c r="F154" s="221"/>
      <c r="G154" s="221"/>
    </row>
    <row r="155" spans="1:7" x14ac:dyDescent="0.3">
      <c r="A155" s="328">
        <v>149</v>
      </c>
      <c r="B155" s="327" t="s">
        <v>1128</v>
      </c>
      <c r="C155" s="327" t="s">
        <v>1127</v>
      </c>
      <c r="D155" s="221"/>
      <c r="E155" s="221"/>
      <c r="F155" s="221"/>
      <c r="G155" s="221"/>
    </row>
    <row r="156" spans="1:7" x14ac:dyDescent="0.3">
      <c r="A156" s="328">
        <v>150</v>
      </c>
      <c r="B156" s="327" t="s">
        <v>1126</v>
      </c>
      <c r="C156" s="327" t="s">
        <v>1125</v>
      </c>
      <c r="D156" s="221"/>
      <c r="E156" s="221"/>
      <c r="F156" s="221"/>
      <c r="G156" s="221"/>
    </row>
    <row r="157" spans="1:7" x14ac:dyDescent="0.3">
      <c r="A157" s="328">
        <v>151</v>
      </c>
      <c r="B157" s="327" t="s">
        <v>1124</v>
      </c>
      <c r="C157" s="327" t="s">
        <v>1123</v>
      </c>
      <c r="D157" s="221"/>
      <c r="E157" s="221"/>
      <c r="F157" s="221"/>
      <c r="G157" s="221"/>
    </row>
    <row r="158" spans="1:7" x14ac:dyDescent="0.3">
      <c r="A158" s="328">
        <v>152</v>
      </c>
      <c r="B158" s="327" t="s">
        <v>1122</v>
      </c>
      <c r="C158" s="327" t="s">
        <v>1121</v>
      </c>
      <c r="D158" s="221"/>
      <c r="E158" s="221"/>
      <c r="F158" s="221"/>
      <c r="G158" s="221"/>
    </row>
    <row r="159" spans="1:7" x14ac:dyDescent="0.3">
      <c r="A159" s="328">
        <v>153</v>
      </c>
      <c r="B159" s="327" t="s">
        <v>1120</v>
      </c>
      <c r="C159" s="327" t="s">
        <v>1119</v>
      </c>
      <c r="D159" s="221"/>
      <c r="E159" s="221"/>
      <c r="F159" s="221"/>
      <c r="G159" s="221"/>
    </row>
    <row r="160" spans="1:7" x14ac:dyDescent="0.3">
      <c r="A160" s="328">
        <v>154</v>
      </c>
      <c r="B160" s="327" t="s">
        <v>1118</v>
      </c>
      <c r="C160" s="327" t="s">
        <v>1117</v>
      </c>
      <c r="D160" s="221"/>
      <c r="E160" s="221"/>
      <c r="F160" s="221"/>
      <c r="G160" s="221"/>
    </row>
    <row r="161" spans="1:7" x14ac:dyDescent="0.3">
      <c r="A161" s="328">
        <v>155</v>
      </c>
      <c r="B161" s="327" t="s">
        <v>1116</v>
      </c>
      <c r="C161" s="327" t="s">
        <v>1115</v>
      </c>
      <c r="D161" s="221"/>
      <c r="E161" s="221"/>
      <c r="F161" s="221"/>
      <c r="G161" s="221"/>
    </row>
    <row r="162" spans="1:7" x14ac:dyDescent="0.3">
      <c r="A162" s="328">
        <v>156</v>
      </c>
      <c r="B162" s="327" t="s">
        <v>1114</v>
      </c>
      <c r="C162" s="327" t="s">
        <v>1113</v>
      </c>
      <c r="D162" s="221"/>
      <c r="E162" s="221"/>
      <c r="F162" s="221"/>
      <c r="G162" s="221"/>
    </row>
    <row r="163" spans="1:7" x14ac:dyDescent="0.3">
      <c r="A163" s="328">
        <v>157</v>
      </c>
      <c r="B163" s="327" t="s">
        <v>1112</v>
      </c>
      <c r="C163" s="327" t="s">
        <v>704</v>
      </c>
      <c r="D163" s="221"/>
      <c r="E163" s="221"/>
      <c r="F163" s="221"/>
      <c r="G163" s="221"/>
    </row>
    <row r="164" spans="1:7" x14ac:dyDescent="0.3">
      <c r="A164" s="328">
        <v>158</v>
      </c>
      <c r="B164" s="327" t="s">
        <v>1111</v>
      </c>
      <c r="C164" s="327" t="s">
        <v>1110</v>
      </c>
      <c r="D164" s="221"/>
      <c r="E164" s="221"/>
      <c r="F164" s="221"/>
      <c r="G164" s="221"/>
    </row>
    <row r="165" spans="1:7" x14ac:dyDescent="0.3">
      <c r="A165" s="328">
        <v>159</v>
      </c>
      <c r="B165" s="327" t="s">
        <v>1109</v>
      </c>
      <c r="C165" s="327" t="s">
        <v>1108</v>
      </c>
      <c r="D165" s="221"/>
      <c r="E165" s="221"/>
      <c r="F165" s="221"/>
      <c r="G165" s="221"/>
    </row>
    <row r="166" spans="1:7" x14ac:dyDescent="0.3">
      <c r="A166" s="328">
        <v>160</v>
      </c>
      <c r="B166" s="327" t="s">
        <v>1107</v>
      </c>
      <c r="C166" s="327" t="s">
        <v>1106</v>
      </c>
      <c r="D166" s="221"/>
      <c r="E166" s="221"/>
      <c r="F166" s="221"/>
      <c r="G166" s="221"/>
    </row>
    <row r="167" spans="1:7" x14ac:dyDescent="0.3">
      <c r="A167" s="328">
        <v>161</v>
      </c>
      <c r="B167" s="327" t="s">
        <v>1105</v>
      </c>
      <c r="C167" s="327" t="s">
        <v>1104</v>
      </c>
      <c r="D167" s="221"/>
      <c r="E167" s="221"/>
      <c r="F167" s="221"/>
      <c r="G167" s="221"/>
    </row>
    <row r="168" spans="1:7" x14ac:dyDescent="0.3">
      <c r="A168" s="328">
        <v>162</v>
      </c>
      <c r="B168" s="327" t="s">
        <v>1103</v>
      </c>
      <c r="C168" s="327" t="s">
        <v>1102</v>
      </c>
      <c r="D168" s="221"/>
      <c r="E168" s="221"/>
      <c r="F168" s="221"/>
      <c r="G168" s="221"/>
    </row>
    <row r="169" spans="1:7" x14ac:dyDescent="0.3">
      <c r="A169" s="328">
        <v>163</v>
      </c>
      <c r="B169" s="332" t="s">
        <v>1101</v>
      </c>
      <c r="C169" s="327" t="s">
        <v>1100</v>
      </c>
      <c r="D169" s="221"/>
      <c r="E169" s="221"/>
      <c r="F169" s="221"/>
      <c r="G169" s="221"/>
    </row>
    <row r="170" spans="1:7" x14ac:dyDescent="0.3">
      <c r="A170" s="328">
        <v>164</v>
      </c>
      <c r="B170" s="327" t="s">
        <v>1099</v>
      </c>
      <c r="C170" s="327" t="s">
        <v>1098</v>
      </c>
      <c r="D170" s="221"/>
      <c r="E170" s="221"/>
      <c r="F170" s="221"/>
      <c r="G170" s="221"/>
    </row>
    <row r="171" spans="1:7" x14ac:dyDescent="0.3">
      <c r="A171" s="328">
        <v>165</v>
      </c>
      <c r="B171" s="327" t="s">
        <v>1097</v>
      </c>
      <c r="C171" s="327" t="s">
        <v>1096</v>
      </c>
      <c r="D171" s="221"/>
      <c r="E171" s="221"/>
      <c r="F171" s="221"/>
      <c r="G171" s="221"/>
    </row>
    <row r="172" spans="1:7" x14ac:dyDescent="0.3">
      <c r="A172" s="328">
        <v>166</v>
      </c>
      <c r="B172" s="327" t="s">
        <v>1095</v>
      </c>
      <c r="C172" s="327" t="s">
        <v>1094</v>
      </c>
      <c r="D172" s="221"/>
      <c r="E172" s="221"/>
      <c r="F172" s="221"/>
      <c r="G172" s="221"/>
    </row>
    <row r="173" spans="1:7" x14ac:dyDescent="0.3">
      <c r="A173" s="328">
        <v>167</v>
      </c>
      <c r="B173" s="327" t="s">
        <v>1093</v>
      </c>
      <c r="C173" s="327" t="s">
        <v>1092</v>
      </c>
      <c r="D173" s="221"/>
      <c r="E173" s="221"/>
      <c r="F173" s="221"/>
      <c r="G173" s="221"/>
    </row>
    <row r="174" spans="1:7" x14ac:dyDescent="0.3">
      <c r="A174" s="328">
        <v>168</v>
      </c>
      <c r="B174" s="327" t="s">
        <v>1091</v>
      </c>
      <c r="C174" s="327" t="s">
        <v>1090</v>
      </c>
      <c r="D174" s="221"/>
      <c r="E174" s="221"/>
      <c r="F174" s="221"/>
      <c r="G174" s="221"/>
    </row>
    <row r="175" spans="1:7" x14ac:dyDescent="0.3">
      <c r="A175" s="328">
        <v>169</v>
      </c>
      <c r="B175" s="327" t="s">
        <v>1089</v>
      </c>
      <c r="C175" s="327" t="s">
        <v>1088</v>
      </c>
      <c r="D175" s="221"/>
      <c r="E175" s="221"/>
      <c r="F175" s="221"/>
      <c r="G175" s="221"/>
    </row>
    <row r="176" spans="1:7" x14ac:dyDescent="0.3">
      <c r="A176" s="328">
        <v>170</v>
      </c>
      <c r="B176" s="327" t="s">
        <v>1087</v>
      </c>
      <c r="C176" s="327" t="s">
        <v>1086</v>
      </c>
      <c r="D176" s="221"/>
      <c r="E176" s="221"/>
      <c r="F176" s="221"/>
      <c r="G176" s="221"/>
    </row>
    <row r="177" spans="1:8" x14ac:dyDescent="0.3">
      <c r="A177" s="328">
        <v>171</v>
      </c>
      <c r="B177" s="327" t="s">
        <v>1085</v>
      </c>
      <c r="C177" s="327" t="s">
        <v>1084</v>
      </c>
      <c r="D177" s="221"/>
      <c r="E177" s="221"/>
      <c r="F177" s="221"/>
      <c r="G177" s="221"/>
    </row>
    <row r="178" spans="1:8" x14ac:dyDescent="0.3">
      <c r="A178" s="328">
        <v>172</v>
      </c>
      <c r="B178" s="327" t="s">
        <v>1083</v>
      </c>
      <c r="C178" s="327" t="s">
        <v>1082</v>
      </c>
      <c r="D178" s="221"/>
      <c r="E178" s="221"/>
      <c r="F178" s="221"/>
      <c r="G178" s="221"/>
    </row>
    <row r="179" spans="1:8" x14ac:dyDescent="0.3">
      <c r="A179" s="328">
        <v>173</v>
      </c>
      <c r="B179" s="327" t="s">
        <v>1081</v>
      </c>
      <c r="C179" s="327" t="s">
        <v>848</v>
      </c>
      <c r="D179" s="221"/>
      <c r="E179" s="221"/>
      <c r="F179" s="221"/>
      <c r="G179" s="221"/>
    </row>
    <row r="180" spans="1:8" x14ac:dyDescent="0.3">
      <c r="A180" s="328">
        <v>174</v>
      </c>
      <c r="B180" s="327" t="s">
        <v>1080</v>
      </c>
      <c r="C180" s="237" t="s">
        <v>1079</v>
      </c>
      <c r="D180" s="221"/>
      <c r="E180" s="221"/>
      <c r="F180" s="221"/>
      <c r="G180" s="221"/>
    </row>
    <row r="181" spans="1:8" x14ac:dyDescent="0.3">
      <c r="A181" s="328">
        <v>175</v>
      </c>
      <c r="B181" s="327" t="s">
        <v>1078</v>
      </c>
      <c r="C181" s="237" t="s">
        <v>1077</v>
      </c>
      <c r="D181" s="221"/>
      <c r="E181" s="221"/>
      <c r="F181" s="221"/>
      <c r="G181" s="221"/>
    </row>
    <row r="182" spans="1:8" x14ac:dyDescent="0.3">
      <c r="A182" s="328">
        <v>176</v>
      </c>
      <c r="B182" s="327" t="s">
        <v>1076</v>
      </c>
      <c r="C182" s="327" t="s">
        <v>1075</v>
      </c>
      <c r="D182" s="221"/>
      <c r="E182" s="221"/>
      <c r="F182" s="221"/>
      <c r="G182" s="221"/>
    </row>
    <row r="183" spans="1:8" x14ac:dyDescent="0.3">
      <c r="A183" s="328">
        <v>177</v>
      </c>
      <c r="B183" s="327" t="s">
        <v>1074</v>
      </c>
      <c r="C183" s="327" t="s">
        <v>1073</v>
      </c>
      <c r="D183" s="221"/>
      <c r="E183" s="221"/>
      <c r="F183" s="221"/>
      <c r="G183" s="221"/>
    </row>
    <row r="184" spans="1:8" x14ac:dyDescent="0.3">
      <c r="A184" s="328">
        <v>178</v>
      </c>
      <c r="B184" s="327" t="s">
        <v>1072</v>
      </c>
      <c r="C184" s="327" t="s">
        <v>1070</v>
      </c>
      <c r="D184" s="221"/>
      <c r="E184" s="221"/>
      <c r="F184" s="221"/>
      <c r="G184" s="221"/>
    </row>
    <row r="185" spans="1:8" x14ac:dyDescent="0.3">
      <c r="A185" s="328">
        <v>179</v>
      </c>
      <c r="B185" s="327" t="s">
        <v>1071</v>
      </c>
      <c r="C185" s="327" t="s">
        <v>1070</v>
      </c>
      <c r="D185" s="221"/>
      <c r="E185" s="221"/>
      <c r="F185" s="221"/>
      <c r="G185" s="221"/>
    </row>
    <row r="186" spans="1:8" x14ac:dyDescent="0.3">
      <c r="A186" s="328">
        <v>180</v>
      </c>
      <c r="B186" s="237" t="s">
        <v>1069</v>
      </c>
      <c r="C186" s="327" t="s">
        <v>1068</v>
      </c>
      <c r="D186" s="221"/>
      <c r="E186" s="221"/>
      <c r="F186" s="221"/>
      <c r="G186" s="221"/>
    </row>
    <row r="187" spans="1:8" x14ac:dyDescent="0.3">
      <c r="A187" s="328">
        <v>181</v>
      </c>
      <c r="B187" s="327" t="s">
        <v>1067</v>
      </c>
      <c r="C187" s="327" t="s">
        <v>1066</v>
      </c>
      <c r="D187" s="221"/>
      <c r="E187" s="221"/>
      <c r="F187" s="221"/>
      <c r="G187" s="221"/>
    </row>
    <row r="188" spans="1:8" x14ac:dyDescent="0.3">
      <c r="A188" s="328">
        <v>182</v>
      </c>
      <c r="B188" s="327" t="s">
        <v>1065</v>
      </c>
      <c r="C188" s="327" t="s">
        <v>1064</v>
      </c>
      <c r="D188" s="221"/>
      <c r="E188" s="221"/>
      <c r="F188" s="221"/>
      <c r="G188" s="221"/>
    </row>
    <row r="189" spans="1:8" x14ac:dyDescent="0.3">
      <c r="A189" s="328">
        <v>183</v>
      </c>
      <c r="B189" s="327" t="s">
        <v>1063</v>
      </c>
      <c r="C189" s="327" t="s">
        <v>1062</v>
      </c>
      <c r="D189" s="221"/>
      <c r="E189" s="221"/>
      <c r="F189" s="221"/>
      <c r="G189" s="221"/>
    </row>
    <row r="190" spans="1:8" x14ac:dyDescent="0.3">
      <c r="A190" s="328">
        <v>184</v>
      </c>
      <c r="B190" s="327" t="s">
        <v>1061</v>
      </c>
      <c r="C190" s="327" t="s">
        <v>1060</v>
      </c>
      <c r="D190" s="221"/>
      <c r="E190" s="221"/>
      <c r="F190" s="221"/>
      <c r="G190" s="221"/>
    </row>
    <row r="191" spans="1:8" x14ac:dyDescent="0.3">
      <c r="A191" s="328">
        <v>185</v>
      </c>
      <c r="B191" s="327" t="s">
        <v>1059</v>
      </c>
      <c r="C191" s="327" t="s">
        <v>1058</v>
      </c>
      <c r="D191" s="221"/>
      <c r="E191" s="221"/>
      <c r="F191" s="221"/>
      <c r="G191" s="221"/>
    </row>
    <row r="192" spans="1:8" x14ac:dyDescent="0.3">
      <c r="A192" s="328">
        <v>186</v>
      </c>
      <c r="B192" s="327" t="s">
        <v>1057</v>
      </c>
      <c r="C192" s="327" t="s">
        <v>1056</v>
      </c>
      <c r="D192" s="221"/>
      <c r="E192" s="221"/>
      <c r="F192" s="221"/>
      <c r="G192" s="221"/>
      <c r="H192" s="221"/>
    </row>
    <row r="193" spans="1:8" x14ac:dyDescent="0.3">
      <c r="A193" s="328">
        <v>187</v>
      </c>
      <c r="B193" s="327" t="s">
        <v>1055</v>
      </c>
      <c r="C193" s="327" t="s">
        <v>1054</v>
      </c>
      <c r="D193" s="221"/>
      <c r="E193" s="221"/>
      <c r="F193" s="221"/>
      <c r="G193" s="221"/>
      <c r="H193" s="221"/>
    </row>
    <row r="194" spans="1:8" x14ac:dyDescent="0.3">
      <c r="A194" s="328">
        <v>188</v>
      </c>
      <c r="B194" s="327" t="s">
        <v>1053</v>
      </c>
      <c r="C194" s="327" t="s">
        <v>1052</v>
      </c>
      <c r="D194" s="221"/>
      <c r="E194" s="221"/>
      <c r="F194" s="221"/>
      <c r="G194" s="221"/>
      <c r="H194" s="221"/>
    </row>
    <row r="195" spans="1:8" x14ac:dyDescent="0.3">
      <c r="A195" s="328">
        <v>189</v>
      </c>
      <c r="B195" s="327" t="s">
        <v>1051</v>
      </c>
      <c r="C195" s="327" t="s">
        <v>1050</v>
      </c>
      <c r="D195" s="221"/>
      <c r="E195" s="221"/>
      <c r="F195" s="221"/>
      <c r="G195" s="221"/>
      <c r="H195" s="221"/>
    </row>
    <row r="196" spans="1:8" x14ac:dyDescent="0.3">
      <c r="A196" s="328">
        <v>190</v>
      </c>
      <c r="B196" s="327" t="s">
        <v>1049</v>
      </c>
      <c r="C196" s="327" t="s">
        <v>1048</v>
      </c>
      <c r="D196" s="221"/>
      <c r="E196" s="221"/>
      <c r="F196" s="221"/>
      <c r="G196" s="221"/>
      <c r="H196" s="221"/>
    </row>
    <row r="197" spans="1:8" x14ac:dyDescent="0.3">
      <c r="A197" s="328">
        <v>191</v>
      </c>
      <c r="B197" s="327" t="s">
        <v>1047</v>
      </c>
      <c r="C197" s="327" t="s">
        <v>1046</v>
      </c>
      <c r="D197" s="221"/>
      <c r="E197" s="221"/>
      <c r="F197" s="221"/>
      <c r="G197" s="221"/>
      <c r="H197" s="221"/>
    </row>
    <row r="198" spans="1:8" x14ac:dyDescent="0.3">
      <c r="A198" s="328">
        <v>192</v>
      </c>
      <c r="B198" s="327" t="s">
        <v>1045</v>
      </c>
      <c r="C198" s="327" t="s">
        <v>1044</v>
      </c>
      <c r="D198" s="221"/>
      <c r="E198" s="221"/>
      <c r="F198" s="221"/>
      <c r="G198" s="221"/>
      <c r="H198" s="221"/>
    </row>
    <row r="199" spans="1:8" x14ac:dyDescent="0.3">
      <c r="A199" s="328">
        <v>193</v>
      </c>
      <c r="B199" s="327" t="s">
        <v>1043</v>
      </c>
      <c r="C199" s="327" t="s">
        <v>1042</v>
      </c>
      <c r="D199" s="221"/>
      <c r="E199" s="221"/>
      <c r="F199" s="221"/>
      <c r="G199" s="221"/>
      <c r="H199" s="221"/>
    </row>
    <row r="200" spans="1:8" x14ac:dyDescent="0.3">
      <c r="A200" s="328">
        <v>194</v>
      </c>
      <c r="B200" s="327" t="s">
        <v>1041</v>
      </c>
      <c r="C200" s="327" t="s">
        <v>1040</v>
      </c>
      <c r="D200" s="221"/>
      <c r="E200" s="221"/>
      <c r="F200" s="221"/>
      <c r="G200" s="221"/>
      <c r="H200" s="221"/>
    </row>
    <row r="201" spans="1:8" x14ac:dyDescent="0.3">
      <c r="A201" s="328">
        <v>195</v>
      </c>
      <c r="B201" s="327" t="s">
        <v>1039</v>
      </c>
      <c r="C201" s="327" t="s">
        <v>1038</v>
      </c>
      <c r="D201" s="221"/>
      <c r="E201" s="221"/>
      <c r="F201" s="221"/>
      <c r="G201" s="221"/>
      <c r="H201" s="221"/>
    </row>
    <row r="202" spans="1:8" x14ac:dyDescent="0.3">
      <c r="A202" s="328">
        <v>196</v>
      </c>
      <c r="B202" s="327" t="s">
        <v>1037</v>
      </c>
      <c r="C202" s="327" t="s">
        <v>1036</v>
      </c>
      <c r="D202" s="221"/>
      <c r="E202" s="221"/>
      <c r="F202" s="221"/>
      <c r="G202" s="221"/>
      <c r="H202" s="221"/>
    </row>
    <row r="203" spans="1:8" x14ac:dyDescent="0.3">
      <c r="A203" s="328">
        <v>197</v>
      </c>
      <c r="B203" s="327" t="s">
        <v>1035</v>
      </c>
      <c r="C203" s="327" t="s">
        <v>1034</v>
      </c>
      <c r="D203" s="221"/>
      <c r="E203" s="221"/>
      <c r="F203" s="221"/>
      <c r="G203" s="221"/>
      <c r="H203" s="221"/>
    </row>
    <row r="204" spans="1:8" x14ac:dyDescent="0.3">
      <c r="A204" s="328">
        <v>198</v>
      </c>
      <c r="B204" s="327" t="s">
        <v>1033</v>
      </c>
      <c r="C204" s="327" t="s">
        <v>1032</v>
      </c>
      <c r="D204" s="221"/>
      <c r="E204" s="221"/>
      <c r="F204" s="221"/>
      <c r="G204" s="221"/>
      <c r="H204" s="221"/>
    </row>
    <row r="205" spans="1:8" ht="26.4" x14ac:dyDescent="0.3">
      <c r="A205" s="328">
        <v>199</v>
      </c>
      <c r="B205" s="327" t="s">
        <v>1031</v>
      </c>
      <c r="C205" s="327" t="s">
        <v>1030</v>
      </c>
      <c r="D205" s="221"/>
      <c r="E205" s="221"/>
      <c r="F205" s="221"/>
      <c r="G205" s="221"/>
      <c r="H205" s="221"/>
    </row>
    <row r="206" spans="1:8" ht="26.4" x14ac:dyDescent="0.3">
      <c r="A206" s="328">
        <v>200</v>
      </c>
      <c r="B206" s="327" t="s">
        <v>1029</v>
      </c>
      <c r="C206" s="327" t="s">
        <v>1028</v>
      </c>
      <c r="D206" s="221"/>
      <c r="E206" s="221"/>
      <c r="F206" s="221"/>
      <c r="G206" s="221"/>
      <c r="H206" s="221"/>
    </row>
    <row r="207" spans="1:8" x14ac:dyDescent="0.3">
      <c r="A207" s="328">
        <v>201</v>
      </c>
      <c r="B207" s="327" t="s">
        <v>1027</v>
      </c>
      <c r="C207" s="327" t="s">
        <v>1026</v>
      </c>
      <c r="D207" s="221"/>
      <c r="E207" s="221"/>
      <c r="F207" s="221"/>
      <c r="G207" s="221"/>
      <c r="H207" s="221"/>
    </row>
    <row r="208" spans="1:8" x14ac:dyDescent="0.3">
      <c r="A208" s="328">
        <v>202</v>
      </c>
      <c r="B208" s="327" t="s">
        <v>1025</v>
      </c>
      <c r="C208" s="327" t="s">
        <v>1024</v>
      </c>
      <c r="D208" s="221"/>
      <c r="E208" s="221"/>
      <c r="F208" s="221"/>
      <c r="G208" s="221"/>
      <c r="H208" s="221"/>
    </row>
    <row r="209" spans="1:8" x14ac:dyDescent="0.3">
      <c r="A209" s="328">
        <v>203</v>
      </c>
      <c r="B209" s="237" t="s">
        <v>1023</v>
      </c>
      <c r="C209" s="327" t="s">
        <v>1022</v>
      </c>
      <c r="D209" s="221"/>
      <c r="E209" s="221"/>
      <c r="F209" s="221"/>
      <c r="G209" s="221"/>
      <c r="H209" s="221"/>
    </row>
    <row r="210" spans="1:8" x14ac:dyDescent="0.3">
      <c r="A210" s="328">
        <v>204</v>
      </c>
      <c r="B210" s="237" t="s">
        <v>1021</v>
      </c>
      <c r="C210" s="327" t="s">
        <v>1020</v>
      </c>
      <c r="D210" s="221"/>
      <c r="E210" s="221"/>
      <c r="F210" s="221"/>
      <c r="G210" s="221"/>
      <c r="H210" s="221"/>
    </row>
    <row r="211" spans="1:8" x14ac:dyDescent="0.3">
      <c r="A211" s="328">
        <v>205</v>
      </c>
      <c r="B211" s="327" t="s">
        <v>1019</v>
      </c>
      <c r="C211" s="327" t="s">
        <v>1018</v>
      </c>
      <c r="D211" s="221"/>
      <c r="E211" s="221"/>
      <c r="F211" s="221"/>
      <c r="G211" s="221"/>
      <c r="H211" s="221"/>
    </row>
    <row r="212" spans="1:8" x14ac:dyDescent="0.3">
      <c r="A212" s="328">
        <v>206</v>
      </c>
      <c r="B212" s="327" t="s">
        <v>1017</v>
      </c>
      <c r="C212" s="327" t="s">
        <v>1016</v>
      </c>
      <c r="D212" s="221"/>
      <c r="E212" s="221"/>
      <c r="F212" s="221"/>
      <c r="G212" s="221"/>
      <c r="H212" s="221"/>
    </row>
    <row r="213" spans="1:8" x14ac:dyDescent="0.3">
      <c r="A213" s="328">
        <v>207</v>
      </c>
      <c r="B213" s="327" t="s">
        <v>1015</v>
      </c>
      <c r="C213" s="327" t="s">
        <v>1014</v>
      </c>
      <c r="D213" s="221"/>
      <c r="E213" s="221"/>
      <c r="F213" s="221"/>
      <c r="G213" s="221"/>
      <c r="H213" s="221"/>
    </row>
    <row r="214" spans="1:8" x14ac:dyDescent="0.3">
      <c r="A214" s="328">
        <v>208</v>
      </c>
      <c r="B214" s="327" t="s">
        <v>1013</v>
      </c>
      <c r="C214" s="327" t="s">
        <v>1012</v>
      </c>
      <c r="D214" s="221"/>
      <c r="E214" s="221"/>
      <c r="F214" s="221"/>
      <c r="G214" s="221"/>
      <c r="H214" s="221"/>
    </row>
    <row r="215" spans="1:8" x14ac:dyDescent="0.3">
      <c r="A215" s="328">
        <v>209</v>
      </c>
      <c r="B215" s="327" t="s">
        <v>1011</v>
      </c>
      <c r="C215" s="327" t="s">
        <v>1010</v>
      </c>
      <c r="D215" s="221"/>
      <c r="E215" s="221"/>
      <c r="F215" s="221"/>
      <c r="G215" s="221"/>
      <c r="H215" s="221"/>
    </row>
    <row r="216" spans="1:8" x14ac:dyDescent="0.3">
      <c r="A216" s="328">
        <v>210</v>
      </c>
      <c r="B216" s="327" t="s">
        <v>1009</v>
      </c>
      <c r="C216" s="237" t="s">
        <v>1008</v>
      </c>
      <c r="D216" s="221"/>
      <c r="E216" s="221"/>
      <c r="F216" s="221"/>
      <c r="G216" s="221"/>
      <c r="H216" s="221"/>
    </row>
    <row r="217" spans="1:8" x14ac:dyDescent="0.3">
      <c r="A217" s="328">
        <v>211</v>
      </c>
      <c r="B217" s="327" t="s">
        <v>1007</v>
      </c>
      <c r="C217" s="327" t="s">
        <v>1006</v>
      </c>
      <c r="D217" s="221"/>
      <c r="E217" s="221"/>
      <c r="F217" s="221"/>
      <c r="G217" s="221"/>
      <c r="H217" s="221"/>
    </row>
    <row r="218" spans="1:8" x14ac:dyDescent="0.3">
      <c r="A218" s="328">
        <v>212</v>
      </c>
      <c r="B218" s="327" t="s">
        <v>1005</v>
      </c>
      <c r="C218" s="327" t="s">
        <v>1004</v>
      </c>
      <c r="D218" s="221"/>
      <c r="E218" s="221"/>
      <c r="F218" s="221"/>
      <c r="G218" s="221"/>
      <c r="H218" s="221"/>
    </row>
    <row r="219" spans="1:8" x14ac:dyDescent="0.3">
      <c r="A219" s="328">
        <v>213</v>
      </c>
      <c r="B219" s="327" t="s">
        <v>1003</v>
      </c>
      <c r="C219" s="327" t="s">
        <v>1002</v>
      </c>
      <c r="D219" s="221"/>
      <c r="E219" s="221"/>
      <c r="F219" s="221"/>
      <c r="G219" s="221"/>
      <c r="H219" s="221"/>
    </row>
    <row r="220" spans="1:8" x14ac:dyDescent="0.3">
      <c r="A220" s="328">
        <v>214</v>
      </c>
      <c r="B220" s="327" t="s">
        <v>1001</v>
      </c>
      <c r="C220" s="327" t="s">
        <v>1000</v>
      </c>
      <c r="D220" s="221"/>
      <c r="E220" s="221"/>
      <c r="F220" s="221"/>
      <c r="G220" s="221"/>
      <c r="H220" s="221"/>
    </row>
    <row r="221" spans="1:8" x14ac:dyDescent="0.3">
      <c r="A221" s="328">
        <v>215</v>
      </c>
      <c r="B221" s="327" t="s">
        <v>999</v>
      </c>
      <c r="C221" s="327" t="s">
        <v>998</v>
      </c>
      <c r="D221" s="221"/>
      <c r="E221" s="221"/>
      <c r="F221" s="221"/>
      <c r="G221" s="221"/>
      <c r="H221" s="221"/>
    </row>
    <row r="222" spans="1:8" x14ac:dyDescent="0.3">
      <c r="A222" s="328">
        <v>216</v>
      </c>
      <c r="B222" s="327" t="s">
        <v>997</v>
      </c>
      <c r="C222" s="327" t="s">
        <v>996</v>
      </c>
      <c r="D222" s="221"/>
      <c r="E222" s="221"/>
      <c r="F222" s="221"/>
      <c r="G222" s="221"/>
      <c r="H222" s="221"/>
    </row>
    <row r="223" spans="1:8" x14ac:dyDescent="0.3">
      <c r="A223" s="328">
        <v>217</v>
      </c>
      <c r="B223" s="327" t="s">
        <v>995</v>
      </c>
      <c r="C223" s="327" t="s">
        <v>993</v>
      </c>
      <c r="D223" s="221"/>
      <c r="E223" s="221"/>
      <c r="F223" s="221"/>
      <c r="G223" s="221"/>
      <c r="H223" s="221"/>
    </row>
    <row r="224" spans="1:8" ht="26.4" x14ac:dyDescent="0.3">
      <c r="A224" s="328">
        <v>218</v>
      </c>
      <c r="B224" s="327" t="s">
        <v>994</v>
      </c>
      <c r="C224" s="327" t="s">
        <v>993</v>
      </c>
      <c r="D224" s="221"/>
      <c r="E224" s="221"/>
      <c r="F224" s="221"/>
      <c r="G224" s="221"/>
      <c r="H224" s="221"/>
    </row>
    <row r="225" spans="1:8" x14ac:dyDescent="0.3">
      <c r="A225" s="328">
        <v>219</v>
      </c>
      <c r="B225" s="327" t="s">
        <v>992</v>
      </c>
      <c r="C225" s="327" t="s">
        <v>991</v>
      </c>
      <c r="D225" s="221"/>
      <c r="E225" s="221"/>
      <c r="F225" s="221"/>
      <c r="G225" s="221"/>
      <c r="H225" s="221"/>
    </row>
    <row r="226" spans="1:8" x14ac:dyDescent="0.3">
      <c r="A226" s="328">
        <v>220</v>
      </c>
      <c r="B226" s="327" t="s">
        <v>990</v>
      </c>
      <c r="C226" s="327" t="s">
        <v>989</v>
      </c>
      <c r="D226" s="221"/>
      <c r="E226" s="221"/>
      <c r="F226" s="221"/>
      <c r="G226" s="221"/>
      <c r="H226" s="221"/>
    </row>
    <row r="227" spans="1:8" x14ac:dyDescent="0.3">
      <c r="A227" s="328">
        <v>221</v>
      </c>
      <c r="B227" s="327" t="s">
        <v>988</v>
      </c>
      <c r="C227" s="327" t="s">
        <v>987</v>
      </c>
      <c r="D227" s="221"/>
      <c r="E227" s="221"/>
      <c r="F227" s="221"/>
      <c r="G227" s="221"/>
      <c r="H227" s="221"/>
    </row>
    <row r="228" spans="1:8" x14ac:dyDescent="0.3">
      <c r="A228" s="328">
        <v>222</v>
      </c>
      <c r="B228" s="327" t="s">
        <v>986</v>
      </c>
      <c r="C228" s="327" t="s">
        <v>985</v>
      </c>
      <c r="D228" s="221"/>
      <c r="E228" s="221"/>
      <c r="F228" s="221"/>
      <c r="G228" s="221"/>
      <c r="H228" s="221"/>
    </row>
    <row r="229" spans="1:8" x14ac:dyDescent="0.3">
      <c r="A229" s="328">
        <v>223</v>
      </c>
      <c r="B229" s="327" t="s">
        <v>984</v>
      </c>
      <c r="C229" s="327" t="s">
        <v>983</v>
      </c>
      <c r="D229" s="221"/>
      <c r="E229" s="221"/>
      <c r="F229" s="221"/>
      <c r="G229" s="221"/>
      <c r="H229" s="221"/>
    </row>
    <row r="230" spans="1:8" x14ac:dyDescent="0.3">
      <c r="A230" s="328">
        <v>224</v>
      </c>
      <c r="B230" s="327" t="s">
        <v>982</v>
      </c>
      <c r="C230" s="327" t="s">
        <v>981</v>
      </c>
      <c r="D230" s="221"/>
      <c r="E230" s="221"/>
      <c r="F230" s="221"/>
      <c r="G230" s="221"/>
      <c r="H230" s="221"/>
    </row>
    <row r="231" spans="1:8" x14ac:dyDescent="0.3">
      <c r="A231" s="328">
        <v>225</v>
      </c>
      <c r="B231" s="327" t="s">
        <v>980</v>
      </c>
      <c r="C231" s="327" t="s">
        <v>979</v>
      </c>
      <c r="D231" s="221"/>
      <c r="E231" s="221"/>
      <c r="F231" s="221"/>
      <c r="G231" s="221"/>
      <c r="H231" s="221"/>
    </row>
    <row r="232" spans="1:8" x14ac:dyDescent="0.3">
      <c r="A232" s="328">
        <v>226</v>
      </c>
      <c r="B232" s="327" t="s">
        <v>978</v>
      </c>
      <c r="C232" s="327" t="s">
        <v>977</v>
      </c>
      <c r="D232" s="221"/>
      <c r="E232" s="221"/>
      <c r="F232" s="221"/>
      <c r="G232" s="221"/>
      <c r="H232" s="221"/>
    </row>
    <row r="233" spans="1:8" x14ac:dyDescent="0.3">
      <c r="A233" s="328">
        <v>227</v>
      </c>
      <c r="B233" s="327" t="s">
        <v>976</v>
      </c>
      <c r="C233" s="327" t="s">
        <v>975</v>
      </c>
      <c r="D233" s="221"/>
      <c r="E233" s="221"/>
      <c r="F233" s="221"/>
      <c r="G233" s="221"/>
      <c r="H233" s="221"/>
    </row>
    <row r="234" spans="1:8" x14ac:dyDescent="0.3">
      <c r="A234" s="328">
        <v>228</v>
      </c>
      <c r="B234" s="327" t="s">
        <v>974</v>
      </c>
      <c r="C234" s="327" t="s">
        <v>973</v>
      </c>
      <c r="D234" s="221"/>
      <c r="E234" s="221"/>
      <c r="F234" s="221"/>
      <c r="G234" s="221"/>
      <c r="H234" s="221"/>
    </row>
    <row r="235" spans="1:8" x14ac:dyDescent="0.3">
      <c r="A235" s="328">
        <v>229</v>
      </c>
      <c r="B235" s="327" t="s">
        <v>972</v>
      </c>
      <c r="C235" s="327" t="s">
        <v>971</v>
      </c>
      <c r="D235" s="221"/>
      <c r="E235" s="221"/>
      <c r="F235" s="221"/>
      <c r="G235" s="221"/>
      <c r="H235" s="221"/>
    </row>
    <row r="236" spans="1:8" x14ac:dyDescent="0.3">
      <c r="A236" s="328">
        <v>230</v>
      </c>
      <c r="B236" s="327" t="s">
        <v>970</v>
      </c>
      <c r="C236" s="327" t="s">
        <v>969</v>
      </c>
      <c r="D236" s="221"/>
      <c r="E236" s="221"/>
      <c r="F236" s="221"/>
      <c r="G236" s="221"/>
      <c r="H236" s="221"/>
    </row>
    <row r="237" spans="1:8" x14ac:dyDescent="0.3">
      <c r="A237" s="328">
        <v>231</v>
      </c>
      <c r="B237" s="327" t="s">
        <v>968</v>
      </c>
      <c r="C237" s="327" t="s">
        <v>967</v>
      </c>
      <c r="D237" s="221"/>
      <c r="E237" s="221"/>
      <c r="F237" s="221"/>
      <c r="G237" s="221"/>
      <c r="H237" s="221"/>
    </row>
    <row r="238" spans="1:8" x14ac:dyDescent="0.3">
      <c r="A238" s="328">
        <v>232</v>
      </c>
      <c r="B238" s="329" t="s">
        <v>966</v>
      </c>
      <c r="C238" s="329" t="s">
        <v>965</v>
      </c>
      <c r="D238" s="221"/>
      <c r="E238" s="221"/>
      <c r="F238" s="221"/>
      <c r="G238" s="221"/>
      <c r="H238" s="221"/>
    </row>
    <row r="239" spans="1:8" x14ac:dyDescent="0.3">
      <c r="A239" s="328">
        <v>233</v>
      </c>
      <c r="B239" s="327" t="s">
        <v>964</v>
      </c>
      <c r="C239" s="327" t="s">
        <v>963</v>
      </c>
      <c r="D239" s="221"/>
      <c r="E239" s="221"/>
      <c r="F239" s="221"/>
      <c r="G239" s="221"/>
      <c r="H239" s="221"/>
    </row>
    <row r="240" spans="1:8" x14ac:dyDescent="0.3">
      <c r="A240" s="328">
        <v>234</v>
      </c>
      <c r="B240" s="327" t="s">
        <v>962</v>
      </c>
      <c r="C240" s="327" t="s">
        <v>961</v>
      </c>
      <c r="D240" s="221"/>
      <c r="E240" s="221"/>
      <c r="F240" s="221"/>
      <c r="G240" s="221"/>
      <c r="H240" s="221"/>
    </row>
    <row r="241" spans="1:8" x14ac:dyDescent="0.3">
      <c r="A241" s="328">
        <v>235</v>
      </c>
      <c r="B241" s="327" t="s">
        <v>960</v>
      </c>
      <c r="C241" s="327" t="s">
        <v>959</v>
      </c>
      <c r="D241" s="221"/>
      <c r="E241" s="221"/>
      <c r="F241" s="221"/>
      <c r="G241" s="221"/>
      <c r="H241" s="221"/>
    </row>
    <row r="242" spans="1:8" ht="26.4" x14ac:dyDescent="0.3">
      <c r="A242" s="328">
        <v>236</v>
      </c>
      <c r="B242" s="327" t="s">
        <v>958</v>
      </c>
      <c r="C242" s="327" t="s">
        <v>957</v>
      </c>
      <c r="D242" s="221"/>
      <c r="E242" s="221"/>
      <c r="F242" s="221"/>
      <c r="G242" s="221"/>
      <c r="H242" s="221"/>
    </row>
    <row r="243" spans="1:8" x14ac:dyDescent="0.3">
      <c r="A243" s="328">
        <v>237</v>
      </c>
      <c r="B243" s="327" t="s">
        <v>956</v>
      </c>
      <c r="C243" s="327" t="s">
        <v>955</v>
      </c>
      <c r="D243" s="221"/>
      <c r="E243" s="221"/>
      <c r="F243" s="221"/>
      <c r="G243" s="221"/>
      <c r="H243" s="221"/>
    </row>
    <row r="244" spans="1:8" x14ac:dyDescent="0.3">
      <c r="A244" s="328">
        <v>238</v>
      </c>
      <c r="B244" s="327" t="s">
        <v>954</v>
      </c>
      <c r="C244" s="327" t="s">
        <v>953</v>
      </c>
      <c r="D244" s="221"/>
      <c r="E244" s="221"/>
      <c r="F244" s="221"/>
      <c r="G244" s="221"/>
      <c r="H244" s="221"/>
    </row>
    <row r="245" spans="1:8" x14ac:dyDescent="0.3">
      <c r="A245" s="328">
        <v>239</v>
      </c>
      <c r="B245" s="327" t="s">
        <v>952</v>
      </c>
      <c r="C245" s="327" t="s">
        <v>951</v>
      </c>
      <c r="D245" s="221"/>
      <c r="E245" s="221"/>
      <c r="F245" s="221"/>
      <c r="G245" s="221"/>
      <c r="H245" s="221"/>
    </row>
    <row r="246" spans="1:8" ht="26.4" x14ac:dyDescent="0.3">
      <c r="A246" s="328">
        <v>240</v>
      </c>
      <c r="B246" s="327" t="s">
        <v>950</v>
      </c>
      <c r="C246" s="327" t="s">
        <v>949</v>
      </c>
      <c r="D246" s="221"/>
      <c r="E246" s="221"/>
      <c r="F246" s="221"/>
      <c r="G246" s="221"/>
      <c r="H246" s="221"/>
    </row>
    <row r="247" spans="1:8" x14ac:dyDescent="0.3">
      <c r="A247" s="328">
        <v>241</v>
      </c>
      <c r="B247" s="327" t="s">
        <v>948</v>
      </c>
      <c r="C247" s="327" t="s">
        <v>947</v>
      </c>
      <c r="D247" s="221"/>
      <c r="E247" s="221"/>
      <c r="F247" s="221"/>
      <c r="G247" s="221"/>
      <c r="H247" s="221"/>
    </row>
    <row r="248" spans="1:8" x14ac:dyDescent="0.3">
      <c r="A248" s="328">
        <v>242</v>
      </c>
      <c r="B248" s="327" t="s">
        <v>946</v>
      </c>
      <c r="C248" s="327" t="s">
        <v>945</v>
      </c>
      <c r="D248" s="221"/>
      <c r="E248" s="221"/>
      <c r="F248" s="221"/>
      <c r="G248" s="221"/>
      <c r="H248" s="221"/>
    </row>
    <row r="249" spans="1:8" x14ac:dyDescent="0.3">
      <c r="A249" s="328">
        <v>243</v>
      </c>
      <c r="B249" s="327" t="s">
        <v>944</v>
      </c>
      <c r="C249" s="327" t="s">
        <v>943</v>
      </c>
      <c r="D249" s="221"/>
      <c r="E249" s="221"/>
      <c r="F249" s="221"/>
      <c r="G249" s="221"/>
      <c r="H249" s="221"/>
    </row>
    <row r="250" spans="1:8" x14ac:dyDescent="0.3">
      <c r="A250" s="328">
        <v>244</v>
      </c>
      <c r="B250" s="327" t="s">
        <v>942</v>
      </c>
      <c r="C250" s="327" t="s">
        <v>941</v>
      </c>
      <c r="D250" s="221"/>
      <c r="E250" s="221"/>
      <c r="F250" s="221"/>
      <c r="G250" s="221"/>
      <c r="H250" s="221"/>
    </row>
    <row r="251" spans="1:8" x14ac:dyDescent="0.3">
      <c r="A251" s="328">
        <v>245</v>
      </c>
      <c r="B251" s="327" t="s">
        <v>940</v>
      </c>
      <c r="C251" s="327" t="s">
        <v>939</v>
      </c>
      <c r="D251" s="221"/>
      <c r="E251" s="221"/>
      <c r="F251" s="221"/>
      <c r="G251" s="221"/>
      <c r="H251" s="221"/>
    </row>
    <row r="252" spans="1:8" x14ac:dyDescent="0.3">
      <c r="A252" s="328">
        <v>246</v>
      </c>
      <c r="B252" s="327" t="s">
        <v>938</v>
      </c>
      <c r="C252" s="327" t="s">
        <v>937</v>
      </c>
      <c r="D252" s="221"/>
      <c r="E252" s="221"/>
      <c r="F252" s="221"/>
      <c r="G252" s="221"/>
      <c r="H252" s="221"/>
    </row>
    <row r="253" spans="1:8" x14ac:dyDescent="0.3">
      <c r="A253" s="328">
        <v>247</v>
      </c>
      <c r="B253" s="327" t="s">
        <v>936</v>
      </c>
      <c r="C253" s="327" t="s">
        <v>932</v>
      </c>
      <c r="D253" s="221"/>
      <c r="E253" s="221"/>
      <c r="F253" s="221"/>
      <c r="G253" s="221"/>
      <c r="H253" s="221"/>
    </row>
    <row r="254" spans="1:8" x14ac:dyDescent="0.3">
      <c r="A254" s="328">
        <v>248</v>
      </c>
      <c r="B254" s="327" t="s">
        <v>935</v>
      </c>
      <c r="C254" s="327" t="s">
        <v>934</v>
      </c>
      <c r="D254" s="221"/>
      <c r="E254" s="221"/>
      <c r="F254" s="221"/>
      <c r="G254" s="221"/>
      <c r="H254" s="221"/>
    </row>
    <row r="255" spans="1:8" x14ac:dyDescent="0.3">
      <c r="A255" s="328">
        <v>249</v>
      </c>
      <c r="B255" s="327" t="s">
        <v>933</v>
      </c>
      <c r="C255" s="327" t="s">
        <v>932</v>
      </c>
      <c r="D255" s="221"/>
      <c r="E255" s="221"/>
      <c r="F255" s="221"/>
      <c r="G255" s="221"/>
      <c r="H255" s="221"/>
    </row>
    <row r="256" spans="1:8" x14ac:dyDescent="0.3">
      <c r="A256" s="328">
        <v>250</v>
      </c>
      <c r="B256" s="327" t="s">
        <v>931</v>
      </c>
      <c r="C256" s="327" t="s">
        <v>704</v>
      </c>
      <c r="D256" s="221"/>
      <c r="E256" s="221"/>
      <c r="F256" s="221"/>
      <c r="G256" s="221"/>
      <c r="H256" s="221"/>
    </row>
    <row r="257" spans="1:8" x14ac:dyDescent="0.3">
      <c r="A257" s="328">
        <v>251</v>
      </c>
      <c r="B257" s="327" t="s">
        <v>930</v>
      </c>
      <c r="C257" s="327" t="s">
        <v>929</v>
      </c>
      <c r="D257" s="221"/>
      <c r="E257" s="221"/>
      <c r="F257" s="221"/>
      <c r="G257" s="221"/>
      <c r="H257" s="221"/>
    </row>
    <row r="258" spans="1:8" x14ac:dyDescent="0.3">
      <c r="A258" s="328">
        <v>252</v>
      </c>
      <c r="B258" s="327" t="s">
        <v>928</v>
      </c>
      <c r="C258" s="327" t="s">
        <v>927</v>
      </c>
      <c r="D258" s="221"/>
      <c r="E258" s="221"/>
      <c r="F258" s="221"/>
      <c r="G258" s="221"/>
      <c r="H258" s="221"/>
    </row>
    <row r="259" spans="1:8" x14ac:dyDescent="0.3">
      <c r="A259" s="328">
        <v>253</v>
      </c>
      <c r="B259" s="327" t="s">
        <v>926</v>
      </c>
      <c r="C259" s="327" t="s">
        <v>925</v>
      </c>
      <c r="D259" s="221"/>
      <c r="E259" s="221"/>
      <c r="F259" s="221"/>
      <c r="G259" s="221"/>
      <c r="H259" s="221"/>
    </row>
    <row r="260" spans="1:8" x14ac:dyDescent="0.3">
      <c r="A260" s="328">
        <v>254</v>
      </c>
      <c r="B260" s="327" t="s">
        <v>924</v>
      </c>
      <c r="C260" s="327" t="s">
        <v>923</v>
      </c>
      <c r="D260" s="221"/>
      <c r="E260" s="221"/>
      <c r="F260" s="221"/>
      <c r="G260" s="221"/>
      <c r="H260" s="221"/>
    </row>
    <row r="261" spans="1:8" ht="26.4" x14ac:dyDescent="0.3">
      <c r="A261" s="328">
        <v>255</v>
      </c>
      <c r="B261" s="327" t="s">
        <v>922</v>
      </c>
      <c r="C261" s="327" t="s">
        <v>921</v>
      </c>
      <c r="D261" s="221"/>
      <c r="E261" s="221"/>
      <c r="F261" s="221"/>
      <c r="G261" s="221"/>
      <c r="H261" s="221"/>
    </row>
    <row r="262" spans="1:8" x14ac:dyDescent="0.3">
      <c r="A262" s="328">
        <v>256</v>
      </c>
      <c r="B262" s="237" t="s">
        <v>920</v>
      </c>
      <c r="C262" s="327" t="s">
        <v>919</v>
      </c>
      <c r="D262" s="221"/>
      <c r="E262" s="221"/>
      <c r="F262" s="221"/>
      <c r="G262" s="221"/>
      <c r="H262" s="221"/>
    </row>
    <row r="263" spans="1:8" x14ac:dyDescent="0.3">
      <c r="A263" s="328">
        <v>257</v>
      </c>
      <c r="B263" s="327" t="s">
        <v>918</v>
      </c>
      <c r="C263" s="327" t="s">
        <v>917</v>
      </c>
      <c r="D263" s="221"/>
      <c r="E263" s="221"/>
      <c r="F263" s="221"/>
      <c r="G263" s="221"/>
      <c r="H263" s="221"/>
    </row>
    <row r="264" spans="1:8" x14ac:dyDescent="0.3">
      <c r="A264" s="328">
        <v>258</v>
      </c>
      <c r="B264" s="237" t="s">
        <v>916</v>
      </c>
      <c r="C264" s="327" t="s">
        <v>915</v>
      </c>
      <c r="D264" s="221"/>
      <c r="E264" s="221"/>
      <c r="F264" s="221"/>
      <c r="G264" s="221"/>
      <c r="H264" s="221"/>
    </row>
    <row r="265" spans="1:8" x14ac:dyDescent="0.3">
      <c r="A265" s="328">
        <v>259</v>
      </c>
      <c r="B265" s="237" t="s">
        <v>914</v>
      </c>
      <c r="C265" s="327" t="s">
        <v>913</v>
      </c>
      <c r="D265" s="221"/>
      <c r="E265" s="221"/>
      <c r="F265" s="221"/>
      <c r="G265" s="221"/>
      <c r="H265" s="221"/>
    </row>
    <row r="266" spans="1:8" x14ac:dyDescent="0.3">
      <c r="A266" s="328">
        <v>260</v>
      </c>
      <c r="B266" s="237" t="s">
        <v>912</v>
      </c>
      <c r="C266" s="327" t="s">
        <v>911</v>
      </c>
      <c r="D266" s="221"/>
      <c r="E266" s="221"/>
      <c r="F266" s="221"/>
      <c r="G266" s="221"/>
      <c r="H266" s="221"/>
    </row>
    <row r="267" spans="1:8" x14ac:dyDescent="0.3">
      <c r="A267" s="328">
        <v>261</v>
      </c>
      <c r="B267" s="237" t="s">
        <v>910</v>
      </c>
      <c r="C267" s="327" t="s">
        <v>909</v>
      </c>
      <c r="D267" s="221"/>
      <c r="E267" s="221"/>
      <c r="F267" s="221"/>
      <c r="G267" s="221"/>
      <c r="H267" s="221"/>
    </row>
    <row r="268" spans="1:8" x14ac:dyDescent="0.3">
      <c r="A268" s="328">
        <v>262</v>
      </c>
      <c r="B268" s="237" t="s">
        <v>908</v>
      </c>
      <c r="C268" s="327" t="s">
        <v>907</v>
      </c>
      <c r="D268" s="221"/>
      <c r="E268" s="221"/>
      <c r="F268" s="221"/>
      <c r="G268" s="221"/>
      <c r="H268" s="221"/>
    </row>
    <row r="269" spans="1:8" x14ac:dyDescent="0.3">
      <c r="A269" s="328">
        <v>263</v>
      </c>
      <c r="B269" s="237" t="s">
        <v>906</v>
      </c>
      <c r="C269" s="327" t="s">
        <v>905</v>
      </c>
      <c r="D269" s="221"/>
      <c r="E269" s="221"/>
      <c r="F269" s="221"/>
      <c r="G269" s="221"/>
      <c r="H269" s="221"/>
    </row>
    <row r="270" spans="1:8" x14ac:dyDescent="0.3">
      <c r="A270" s="328">
        <v>264</v>
      </c>
      <c r="B270" s="237" t="s">
        <v>904</v>
      </c>
      <c r="C270" s="327" t="s">
        <v>903</v>
      </c>
      <c r="D270" s="221"/>
      <c r="E270" s="221"/>
      <c r="F270" s="221"/>
      <c r="G270" s="221"/>
      <c r="H270" s="221"/>
    </row>
    <row r="271" spans="1:8" x14ac:dyDescent="0.3">
      <c r="A271" s="328">
        <v>265</v>
      </c>
      <c r="B271" s="237" t="s">
        <v>902</v>
      </c>
      <c r="C271" s="327" t="s">
        <v>901</v>
      </c>
      <c r="D271" s="221"/>
      <c r="E271" s="221"/>
      <c r="F271" s="221"/>
      <c r="G271" s="221"/>
      <c r="H271" s="221"/>
    </row>
    <row r="272" spans="1:8" x14ac:dyDescent="0.3">
      <c r="A272" s="328">
        <v>266</v>
      </c>
      <c r="B272" s="237" t="s">
        <v>900</v>
      </c>
      <c r="C272" s="327" t="s">
        <v>899</v>
      </c>
      <c r="D272" s="221"/>
      <c r="E272" s="221"/>
      <c r="F272" s="221"/>
      <c r="G272" s="221"/>
      <c r="H272" s="221"/>
    </row>
    <row r="273" spans="1:8" x14ac:dyDescent="0.3">
      <c r="A273" s="328">
        <v>267</v>
      </c>
      <c r="B273" s="331" t="s">
        <v>898</v>
      </c>
      <c r="C273" s="327" t="s">
        <v>897</v>
      </c>
      <c r="D273" s="221"/>
      <c r="E273" s="221"/>
      <c r="F273" s="221"/>
      <c r="G273" s="221"/>
      <c r="H273" s="221"/>
    </row>
    <row r="274" spans="1:8" ht="26.4" x14ac:dyDescent="0.3">
      <c r="A274" s="328">
        <v>268</v>
      </c>
      <c r="B274" s="221" t="s">
        <v>896</v>
      </c>
      <c r="C274" s="327" t="s">
        <v>895</v>
      </c>
      <c r="D274" s="221"/>
      <c r="E274" s="221"/>
      <c r="F274" s="221"/>
      <c r="G274" s="221"/>
      <c r="H274" s="221"/>
    </row>
    <row r="275" spans="1:8" x14ac:dyDescent="0.3">
      <c r="A275" s="328">
        <v>269</v>
      </c>
      <c r="B275" s="237" t="s">
        <v>894</v>
      </c>
      <c r="C275" s="327" t="s">
        <v>893</v>
      </c>
      <c r="D275" s="221"/>
      <c r="E275" s="221"/>
      <c r="F275" s="221"/>
      <c r="G275" s="221"/>
      <c r="H275" s="221"/>
    </row>
    <row r="276" spans="1:8" x14ac:dyDescent="0.3">
      <c r="A276" s="328">
        <v>270</v>
      </c>
      <c r="B276" s="232" t="s">
        <v>892</v>
      </c>
      <c r="C276" s="329" t="s">
        <v>891</v>
      </c>
      <c r="D276" s="221"/>
      <c r="E276" s="221"/>
      <c r="F276" s="221"/>
      <c r="G276" s="221"/>
      <c r="H276" s="221"/>
    </row>
    <row r="277" spans="1:8" x14ac:dyDescent="0.3">
      <c r="A277" s="328">
        <v>271</v>
      </c>
      <c r="B277" s="232" t="s">
        <v>890</v>
      </c>
      <c r="C277" s="329" t="s">
        <v>889</v>
      </c>
      <c r="D277" s="221"/>
      <c r="E277" s="221"/>
      <c r="F277" s="221"/>
      <c r="G277" s="221"/>
      <c r="H277" s="221"/>
    </row>
    <row r="278" spans="1:8" x14ac:dyDescent="0.3">
      <c r="A278" s="328">
        <v>272</v>
      </c>
      <c r="B278" s="237" t="s">
        <v>888</v>
      </c>
      <c r="C278" s="327" t="s">
        <v>887</v>
      </c>
      <c r="D278" s="221"/>
      <c r="E278" s="221"/>
      <c r="F278" s="221"/>
      <c r="G278" s="221"/>
      <c r="H278" s="221"/>
    </row>
    <row r="279" spans="1:8" x14ac:dyDescent="0.3">
      <c r="A279" s="328">
        <v>273</v>
      </c>
      <c r="B279" s="237" t="s">
        <v>886</v>
      </c>
      <c r="C279" s="237" t="s">
        <v>885</v>
      </c>
      <c r="D279" s="221"/>
      <c r="E279" s="221"/>
      <c r="F279" s="221"/>
      <c r="G279" s="221"/>
      <c r="H279" s="221"/>
    </row>
    <row r="280" spans="1:8" x14ac:dyDescent="0.3">
      <c r="A280" s="328">
        <v>274</v>
      </c>
      <c r="B280" s="237" t="s">
        <v>884</v>
      </c>
      <c r="C280" s="327" t="s">
        <v>883</v>
      </c>
      <c r="D280" s="221"/>
      <c r="E280" s="221"/>
      <c r="F280" s="221"/>
      <c r="G280" s="221"/>
      <c r="H280" s="221"/>
    </row>
    <row r="281" spans="1:8" x14ac:dyDescent="0.3">
      <c r="A281" s="328">
        <v>275</v>
      </c>
      <c r="B281" s="237" t="s">
        <v>882</v>
      </c>
      <c r="C281" s="327" t="s">
        <v>881</v>
      </c>
      <c r="D281" s="221"/>
      <c r="E281" s="221"/>
      <c r="F281" s="221"/>
      <c r="G281" s="221"/>
      <c r="H281" s="221"/>
    </row>
    <row r="282" spans="1:8" x14ac:dyDescent="0.3">
      <c r="A282" s="328">
        <v>276</v>
      </c>
      <c r="B282" s="237" t="s">
        <v>880</v>
      </c>
      <c r="C282" s="327" t="s">
        <v>879</v>
      </c>
      <c r="D282" s="221"/>
      <c r="E282" s="221"/>
      <c r="F282" s="221"/>
      <c r="G282" s="221"/>
      <c r="H282" s="221"/>
    </row>
    <row r="283" spans="1:8" x14ac:dyDescent="0.3">
      <c r="A283" s="328">
        <v>277</v>
      </c>
      <c r="B283" s="237" t="s">
        <v>878</v>
      </c>
      <c r="C283" s="327" t="s">
        <v>877</v>
      </c>
      <c r="D283" s="221"/>
      <c r="E283" s="221"/>
      <c r="F283" s="221"/>
      <c r="G283" s="221"/>
      <c r="H283" s="221"/>
    </row>
    <row r="284" spans="1:8" x14ac:dyDescent="0.3">
      <c r="A284" s="328">
        <v>278</v>
      </c>
      <c r="B284" s="237" t="s">
        <v>876</v>
      </c>
      <c r="C284" s="330" t="s">
        <v>875</v>
      </c>
      <c r="D284" s="221"/>
      <c r="E284" s="221"/>
      <c r="F284" s="221"/>
      <c r="G284" s="221"/>
      <c r="H284" s="221"/>
    </row>
    <row r="285" spans="1:8" x14ac:dyDescent="0.3">
      <c r="A285" s="328">
        <v>279</v>
      </c>
      <c r="B285" s="237" t="s">
        <v>874</v>
      </c>
      <c r="C285" s="330" t="s">
        <v>873</v>
      </c>
      <c r="D285" s="221"/>
      <c r="E285" s="221"/>
      <c r="F285" s="221"/>
      <c r="G285" s="221"/>
      <c r="H285" s="221"/>
    </row>
    <row r="286" spans="1:8" x14ac:dyDescent="0.3">
      <c r="A286" s="328">
        <v>280</v>
      </c>
      <c r="B286" s="327" t="s">
        <v>872</v>
      </c>
      <c r="C286" s="327" t="s">
        <v>871</v>
      </c>
      <c r="D286" s="221"/>
      <c r="E286" s="221"/>
      <c r="F286" s="221"/>
      <c r="G286" s="221"/>
      <c r="H286" s="221"/>
    </row>
    <row r="287" spans="1:8" x14ac:dyDescent="0.3">
      <c r="A287" s="328">
        <v>281</v>
      </c>
      <c r="B287" s="237" t="s">
        <v>870</v>
      </c>
      <c r="C287" s="327" t="s">
        <v>869</v>
      </c>
      <c r="D287" s="221"/>
      <c r="E287" s="221"/>
      <c r="F287" s="221"/>
      <c r="G287" s="221"/>
      <c r="H287" s="221"/>
    </row>
    <row r="288" spans="1:8" x14ac:dyDescent="0.3">
      <c r="A288" s="328">
        <v>282</v>
      </c>
      <c r="B288" s="237" t="s">
        <v>868</v>
      </c>
      <c r="C288" s="327" t="s">
        <v>867</v>
      </c>
      <c r="D288" s="221"/>
      <c r="E288" s="221"/>
      <c r="F288" s="221"/>
      <c r="G288" s="221"/>
      <c r="H288" s="221"/>
    </row>
    <row r="289" spans="1:8" x14ac:dyDescent="0.3">
      <c r="A289" s="328">
        <v>283</v>
      </c>
      <c r="B289" s="237" t="s">
        <v>866</v>
      </c>
      <c r="C289" s="327" t="s">
        <v>865</v>
      </c>
      <c r="D289" s="221"/>
      <c r="E289" s="221"/>
      <c r="F289" s="221"/>
      <c r="G289" s="221"/>
      <c r="H289" s="221"/>
    </row>
    <row r="290" spans="1:8" x14ac:dyDescent="0.3">
      <c r="A290" s="328">
        <v>284</v>
      </c>
      <c r="B290" s="237" t="s">
        <v>864</v>
      </c>
      <c r="C290" s="327" t="s">
        <v>863</v>
      </c>
      <c r="D290" s="221"/>
      <c r="E290" s="221"/>
      <c r="F290" s="221"/>
      <c r="G290" s="221"/>
      <c r="H290" s="221"/>
    </row>
    <row r="291" spans="1:8" x14ac:dyDescent="0.3">
      <c r="A291" s="328">
        <v>285</v>
      </c>
      <c r="B291" s="237" t="s">
        <v>862</v>
      </c>
      <c r="C291" s="327" t="s">
        <v>861</v>
      </c>
      <c r="D291" s="221"/>
      <c r="E291" s="221"/>
      <c r="F291" s="221"/>
      <c r="G291" s="221"/>
      <c r="H291" s="221"/>
    </row>
    <row r="292" spans="1:8" x14ac:dyDescent="0.3">
      <c r="A292" s="328">
        <v>286</v>
      </c>
      <c r="B292" s="237" t="s">
        <v>860</v>
      </c>
      <c r="C292" s="327" t="s">
        <v>859</v>
      </c>
      <c r="D292" s="221"/>
      <c r="E292" s="221"/>
      <c r="F292" s="221"/>
      <c r="G292" s="221"/>
      <c r="H292" s="221"/>
    </row>
    <row r="293" spans="1:8" x14ac:dyDescent="0.3">
      <c r="A293" s="328">
        <v>287</v>
      </c>
      <c r="B293" s="237" t="s">
        <v>858</v>
      </c>
      <c r="C293" s="327" t="s">
        <v>857</v>
      </c>
      <c r="D293" s="221"/>
      <c r="E293" s="221"/>
      <c r="F293" s="221"/>
      <c r="G293" s="221"/>
      <c r="H293" s="221"/>
    </row>
    <row r="294" spans="1:8" x14ac:dyDescent="0.3">
      <c r="A294" s="328">
        <v>288</v>
      </c>
      <c r="B294" s="237" t="s">
        <v>856</v>
      </c>
      <c r="C294" s="327" t="s">
        <v>855</v>
      </c>
      <c r="D294" s="221"/>
      <c r="E294" s="221"/>
      <c r="F294" s="221"/>
      <c r="G294" s="221"/>
      <c r="H294" s="221"/>
    </row>
    <row r="295" spans="1:8" x14ac:dyDescent="0.3">
      <c r="A295" s="328">
        <v>289</v>
      </c>
      <c r="B295" s="327" t="s">
        <v>854</v>
      </c>
      <c r="C295" s="327" t="s">
        <v>853</v>
      </c>
      <c r="D295" s="221"/>
      <c r="E295" s="221"/>
      <c r="F295" s="221"/>
      <c r="G295" s="221"/>
      <c r="H295" s="221"/>
    </row>
    <row r="296" spans="1:8" x14ac:dyDescent="0.3">
      <c r="A296" s="328">
        <v>290</v>
      </c>
      <c r="B296" s="237" t="s">
        <v>852</v>
      </c>
      <c r="C296" s="327" t="s">
        <v>851</v>
      </c>
      <c r="D296" s="221"/>
      <c r="E296" s="221"/>
      <c r="F296" s="221"/>
      <c r="G296" s="221"/>
      <c r="H296" s="221"/>
    </row>
    <row r="297" spans="1:8" x14ac:dyDescent="0.3">
      <c r="A297" s="328">
        <v>291</v>
      </c>
      <c r="B297" s="237" t="s">
        <v>850</v>
      </c>
      <c r="C297" s="327" t="s">
        <v>818</v>
      </c>
      <c r="D297" s="221"/>
      <c r="E297" s="221"/>
      <c r="F297" s="221"/>
      <c r="G297" s="221"/>
      <c r="H297" s="221"/>
    </row>
    <row r="298" spans="1:8" x14ac:dyDescent="0.3">
      <c r="A298" s="328">
        <v>292</v>
      </c>
      <c r="B298" s="237" t="s">
        <v>849</v>
      </c>
      <c r="C298" s="327" t="s">
        <v>848</v>
      </c>
      <c r="D298" s="221"/>
      <c r="E298" s="221"/>
      <c r="F298" s="221"/>
      <c r="G298" s="221"/>
      <c r="H298" s="221"/>
    </row>
    <row r="299" spans="1:8" x14ac:dyDescent="0.3">
      <c r="A299" s="328">
        <v>293</v>
      </c>
      <c r="B299" s="237" t="s">
        <v>847</v>
      </c>
      <c r="C299" s="327" t="s">
        <v>846</v>
      </c>
      <c r="D299" s="221"/>
      <c r="E299" s="221"/>
      <c r="F299" s="221"/>
      <c r="G299" s="221"/>
      <c r="H299" s="221"/>
    </row>
    <row r="300" spans="1:8" x14ac:dyDescent="0.3">
      <c r="A300" s="328">
        <v>294</v>
      </c>
      <c r="B300" s="237" t="s">
        <v>845</v>
      </c>
      <c r="C300" s="327" t="s">
        <v>844</v>
      </c>
      <c r="D300" s="221"/>
      <c r="E300" s="221"/>
      <c r="F300" s="221"/>
      <c r="G300" s="221"/>
      <c r="H300" s="221"/>
    </row>
    <row r="301" spans="1:8" x14ac:dyDescent="0.3">
      <c r="A301" s="328">
        <v>295</v>
      </c>
      <c r="B301" s="237" t="s">
        <v>843</v>
      </c>
      <c r="C301" s="327" t="s">
        <v>842</v>
      </c>
      <c r="D301" s="221"/>
      <c r="E301" s="221"/>
      <c r="F301" s="221"/>
      <c r="G301" s="221"/>
      <c r="H301" s="221"/>
    </row>
    <row r="302" spans="1:8" x14ac:dyDescent="0.3">
      <c r="A302" s="328">
        <v>296</v>
      </c>
      <c r="B302" s="237" t="s">
        <v>841</v>
      </c>
      <c r="C302" s="327" t="s">
        <v>840</v>
      </c>
      <c r="D302" s="221"/>
      <c r="E302" s="221"/>
      <c r="F302" s="221"/>
      <c r="G302" s="221"/>
      <c r="H302" s="221"/>
    </row>
    <row r="303" spans="1:8" x14ac:dyDescent="0.3">
      <c r="A303" s="328">
        <v>297</v>
      </c>
      <c r="B303" s="237" t="s">
        <v>839</v>
      </c>
      <c r="C303" s="327" t="s">
        <v>838</v>
      </c>
      <c r="D303" s="221"/>
      <c r="E303" s="221"/>
      <c r="F303" s="221"/>
      <c r="G303" s="221"/>
      <c r="H303" s="221"/>
    </row>
    <row r="304" spans="1:8" x14ac:dyDescent="0.3">
      <c r="A304" s="328">
        <v>298</v>
      </c>
      <c r="B304" s="237" t="s">
        <v>837</v>
      </c>
      <c r="C304" s="327" t="s">
        <v>836</v>
      </c>
      <c r="D304" s="221"/>
      <c r="E304" s="221"/>
      <c r="F304" s="221"/>
      <c r="G304" s="221"/>
      <c r="H304" s="221"/>
    </row>
    <row r="305" spans="1:8" x14ac:dyDescent="0.3">
      <c r="A305" s="328">
        <v>299</v>
      </c>
      <c r="B305" s="237" t="s">
        <v>835</v>
      </c>
      <c r="C305" s="327" t="s">
        <v>834</v>
      </c>
      <c r="D305" s="221"/>
      <c r="E305" s="221"/>
      <c r="F305" s="221"/>
      <c r="G305" s="221"/>
      <c r="H305" s="221"/>
    </row>
    <row r="306" spans="1:8" x14ac:dyDescent="0.3">
      <c r="A306" s="328">
        <v>300</v>
      </c>
      <c r="B306" s="237" t="s">
        <v>833</v>
      </c>
      <c r="C306" s="327" t="s">
        <v>832</v>
      </c>
      <c r="D306" s="221"/>
      <c r="E306" s="221"/>
      <c r="F306" s="221"/>
      <c r="G306" s="221"/>
      <c r="H306" s="221"/>
    </row>
    <row r="307" spans="1:8" x14ac:dyDescent="0.3">
      <c r="A307" s="328">
        <v>301</v>
      </c>
      <c r="B307" s="237" t="s">
        <v>831</v>
      </c>
      <c r="C307" s="327" t="s">
        <v>830</v>
      </c>
      <c r="D307" s="221"/>
      <c r="E307" s="221"/>
      <c r="F307" s="221"/>
      <c r="G307" s="221"/>
      <c r="H307" s="221"/>
    </row>
    <row r="308" spans="1:8" x14ac:dyDescent="0.3">
      <c r="A308" s="328">
        <v>302</v>
      </c>
      <c r="B308" s="327" t="s">
        <v>829</v>
      </c>
      <c r="C308" s="329" t="s">
        <v>828</v>
      </c>
      <c r="D308" s="221"/>
      <c r="E308" s="221"/>
      <c r="F308" s="221"/>
      <c r="G308" s="221"/>
      <c r="H308" s="221"/>
    </row>
    <row r="309" spans="1:8" x14ac:dyDescent="0.3">
      <c r="A309" s="328">
        <v>303</v>
      </c>
      <c r="B309" s="237" t="s">
        <v>827</v>
      </c>
      <c r="C309" s="327" t="s">
        <v>826</v>
      </c>
      <c r="D309" s="221"/>
      <c r="E309" s="221"/>
      <c r="F309" s="221"/>
      <c r="G309" s="221"/>
      <c r="H309" s="221"/>
    </row>
    <row r="310" spans="1:8" x14ac:dyDescent="0.3">
      <c r="A310" s="328">
        <v>304</v>
      </c>
      <c r="B310" s="237" t="s">
        <v>825</v>
      </c>
      <c r="C310" s="327" t="s">
        <v>824</v>
      </c>
      <c r="D310" s="221"/>
      <c r="E310" s="221"/>
      <c r="F310" s="221"/>
      <c r="G310" s="221"/>
      <c r="H310" s="221"/>
    </row>
    <row r="311" spans="1:8" x14ac:dyDescent="0.3">
      <c r="A311" s="328">
        <v>305</v>
      </c>
      <c r="B311" s="237" t="s">
        <v>823</v>
      </c>
      <c r="C311" s="327" t="s">
        <v>822</v>
      </c>
      <c r="D311" s="221"/>
      <c r="E311" s="221"/>
      <c r="F311" s="221"/>
      <c r="G311" s="221"/>
      <c r="H311" s="221"/>
    </row>
    <row r="312" spans="1:8" x14ac:dyDescent="0.3">
      <c r="A312" s="328">
        <v>306</v>
      </c>
      <c r="B312" s="237" t="s">
        <v>821</v>
      </c>
      <c r="C312" s="327" t="s">
        <v>820</v>
      </c>
      <c r="D312" s="221"/>
      <c r="E312" s="221"/>
      <c r="F312" s="221"/>
      <c r="G312" s="221"/>
      <c r="H312" s="221"/>
    </row>
    <row r="313" spans="1:8" x14ac:dyDescent="0.3">
      <c r="A313" s="328">
        <v>307</v>
      </c>
      <c r="B313" s="237" t="s">
        <v>819</v>
      </c>
      <c r="C313" s="327" t="s">
        <v>818</v>
      </c>
      <c r="D313" s="221"/>
      <c r="E313" s="221"/>
      <c r="F313" s="221"/>
      <c r="G313" s="221"/>
      <c r="H313" s="221"/>
    </row>
    <row r="314" spans="1:8" x14ac:dyDescent="0.3">
      <c r="A314" s="328">
        <v>308</v>
      </c>
      <c r="B314" s="237" t="s">
        <v>817</v>
      </c>
      <c r="C314" s="327" t="s">
        <v>816</v>
      </c>
      <c r="D314" s="221"/>
      <c r="E314" s="221"/>
      <c r="F314" s="221"/>
      <c r="G314" s="221"/>
      <c r="H314" s="221"/>
    </row>
    <row r="315" spans="1:8" x14ac:dyDescent="0.3">
      <c r="A315" s="328">
        <v>309</v>
      </c>
      <c r="B315" s="237" t="s">
        <v>815</v>
      </c>
      <c r="C315" s="327" t="s">
        <v>814</v>
      </c>
      <c r="D315" s="221"/>
      <c r="E315" s="221"/>
      <c r="F315" s="221"/>
      <c r="G315" s="221"/>
      <c r="H315" s="221"/>
    </row>
    <row r="316" spans="1:8" x14ac:dyDescent="0.3">
      <c r="A316" s="328">
        <v>310</v>
      </c>
      <c r="B316" s="237" t="s">
        <v>813</v>
      </c>
      <c r="C316" s="327" t="s">
        <v>812</v>
      </c>
      <c r="D316" s="221"/>
      <c r="E316" s="221"/>
      <c r="F316" s="221"/>
      <c r="G316" s="221"/>
      <c r="H316" s="221"/>
    </row>
    <row r="317" spans="1:8" x14ac:dyDescent="0.3">
      <c r="A317" s="328">
        <v>311</v>
      </c>
      <c r="B317" s="237" t="s">
        <v>811</v>
      </c>
      <c r="C317" s="327" t="s">
        <v>810</v>
      </c>
      <c r="D317" s="221"/>
      <c r="E317" s="221"/>
      <c r="F317" s="221"/>
      <c r="G317" s="221"/>
      <c r="H317" s="221"/>
    </row>
    <row r="318" spans="1:8" ht="26.4" x14ac:dyDescent="0.3">
      <c r="A318" s="328">
        <v>312</v>
      </c>
      <c r="B318" s="237" t="s">
        <v>809</v>
      </c>
      <c r="C318" s="327" t="s">
        <v>808</v>
      </c>
      <c r="D318" s="221"/>
      <c r="E318" s="221"/>
      <c r="F318" s="221"/>
      <c r="G318" s="221"/>
      <c r="H318" s="221"/>
    </row>
    <row r="319" spans="1:8" x14ac:dyDescent="0.3">
      <c r="A319" s="328">
        <v>313</v>
      </c>
      <c r="B319" s="237" t="s">
        <v>807</v>
      </c>
      <c r="C319" s="327" t="s">
        <v>806</v>
      </c>
      <c r="D319" s="221"/>
      <c r="E319" s="221"/>
      <c r="F319" s="221"/>
      <c r="G319" s="221"/>
      <c r="H319" s="221"/>
    </row>
    <row r="320" spans="1:8" x14ac:dyDescent="0.3">
      <c r="A320" s="328">
        <v>314</v>
      </c>
      <c r="B320" s="237" t="s">
        <v>805</v>
      </c>
      <c r="C320" s="327" t="s">
        <v>804</v>
      </c>
      <c r="D320" s="221"/>
      <c r="E320" s="221"/>
      <c r="F320" s="221"/>
      <c r="G320" s="221"/>
      <c r="H320" s="221"/>
    </row>
    <row r="321" spans="1:8" x14ac:dyDescent="0.3">
      <c r="A321" s="328">
        <v>315</v>
      </c>
      <c r="B321" s="237" t="s">
        <v>803</v>
      </c>
      <c r="C321" s="327" t="s">
        <v>802</v>
      </c>
      <c r="D321" s="221"/>
      <c r="E321" s="221"/>
      <c r="F321" s="221"/>
      <c r="G321" s="221"/>
      <c r="H321" s="221"/>
    </row>
    <row r="322" spans="1:8" x14ac:dyDescent="0.3">
      <c r="A322" s="328">
        <v>316</v>
      </c>
      <c r="B322" s="237" t="s">
        <v>801</v>
      </c>
      <c r="C322" s="327" t="s">
        <v>800</v>
      </c>
      <c r="D322" s="221"/>
      <c r="E322" s="221"/>
      <c r="F322" s="221"/>
      <c r="G322" s="221"/>
      <c r="H322" s="221"/>
    </row>
    <row r="323" spans="1:8" x14ac:dyDescent="0.3">
      <c r="A323" s="328">
        <v>317</v>
      </c>
      <c r="B323" s="237" t="s">
        <v>799</v>
      </c>
      <c r="C323" s="327" t="s">
        <v>798</v>
      </c>
      <c r="D323" s="221"/>
      <c r="E323" s="221"/>
      <c r="F323" s="221"/>
      <c r="G323" s="221"/>
      <c r="H323" s="221"/>
    </row>
    <row r="324" spans="1:8" ht="26.4" x14ac:dyDescent="0.3">
      <c r="A324" s="328">
        <v>318</v>
      </c>
      <c r="B324" s="237" t="s">
        <v>797</v>
      </c>
      <c r="C324" s="327" t="s">
        <v>796</v>
      </c>
      <c r="D324" s="221"/>
      <c r="E324" s="221"/>
      <c r="F324" s="221"/>
      <c r="G324" s="221"/>
      <c r="H324" s="221"/>
    </row>
    <row r="325" spans="1:8" x14ac:dyDescent="0.3">
      <c r="A325" s="328">
        <v>319</v>
      </c>
      <c r="B325" s="237" t="s">
        <v>795</v>
      </c>
      <c r="C325" s="327" t="s">
        <v>794</v>
      </c>
      <c r="D325" s="221"/>
      <c r="E325" s="221"/>
      <c r="F325" s="221"/>
      <c r="G325" s="221"/>
      <c r="H325" s="221"/>
    </row>
    <row r="326" spans="1:8" x14ac:dyDescent="0.3">
      <c r="A326" s="328">
        <v>320</v>
      </c>
      <c r="B326" s="237" t="s">
        <v>793</v>
      </c>
      <c r="C326" s="327" t="s">
        <v>792</v>
      </c>
      <c r="D326" s="221"/>
      <c r="E326" s="221"/>
      <c r="F326" s="221"/>
      <c r="G326" s="221"/>
      <c r="H326" s="221"/>
    </row>
    <row r="327" spans="1:8" x14ac:dyDescent="0.3">
      <c r="A327" s="328">
        <v>321</v>
      </c>
      <c r="B327" s="237" t="s">
        <v>791</v>
      </c>
      <c r="C327" s="327" t="s">
        <v>790</v>
      </c>
      <c r="D327" s="221"/>
      <c r="E327" s="221"/>
      <c r="F327" s="221"/>
      <c r="G327" s="221"/>
      <c r="H327" s="221"/>
    </row>
    <row r="328" spans="1:8" x14ac:dyDescent="0.3">
      <c r="A328" s="328">
        <v>322</v>
      </c>
      <c r="B328" s="237" t="s">
        <v>97</v>
      </c>
      <c r="C328" s="327" t="s">
        <v>789</v>
      </c>
      <c r="D328" s="221"/>
      <c r="E328" s="221"/>
      <c r="F328" s="221"/>
      <c r="G328" s="221"/>
      <c r="H328" s="221"/>
    </row>
    <row r="329" spans="1:8" x14ac:dyDescent="0.3">
      <c r="A329" s="328">
        <v>323</v>
      </c>
      <c r="B329" s="237" t="s">
        <v>788</v>
      </c>
      <c r="C329" s="327" t="s">
        <v>787</v>
      </c>
      <c r="D329" s="221"/>
      <c r="E329" s="221"/>
      <c r="F329" s="221"/>
      <c r="G329" s="221"/>
      <c r="H329" s="221"/>
    </row>
    <row r="330" spans="1:8" x14ac:dyDescent="0.3">
      <c r="A330" s="328">
        <v>324</v>
      </c>
      <c r="B330" s="237" t="s">
        <v>786</v>
      </c>
      <c r="C330" s="327" t="s">
        <v>785</v>
      </c>
      <c r="D330" s="221"/>
      <c r="E330" s="221"/>
      <c r="F330" s="221"/>
      <c r="G330" s="221"/>
      <c r="H330" s="221"/>
    </row>
    <row r="331" spans="1:8" x14ac:dyDescent="0.3">
      <c r="A331" s="328">
        <v>325</v>
      </c>
      <c r="B331" s="237" t="s">
        <v>784</v>
      </c>
      <c r="C331" s="327" t="s">
        <v>783</v>
      </c>
      <c r="D331" s="221"/>
      <c r="E331" s="221"/>
      <c r="F331" s="221"/>
      <c r="G331" s="221"/>
      <c r="H331" s="221"/>
    </row>
    <row r="332" spans="1:8" x14ac:dyDescent="0.3">
      <c r="A332" s="328">
        <v>326</v>
      </c>
      <c r="B332" s="237" t="s">
        <v>782</v>
      </c>
      <c r="C332" s="327" t="s">
        <v>781</v>
      </c>
      <c r="D332" s="221"/>
      <c r="E332" s="221"/>
      <c r="F332" s="221"/>
      <c r="G332" s="221"/>
      <c r="H332" s="221"/>
    </row>
    <row r="333" spans="1:8" x14ac:dyDescent="0.3">
      <c r="A333" s="328">
        <v>327</v>
      </c>
      <c r="B333" s="237" t="s">
        <v>780</v>
      </c>
      <c r="C333" s="327" t="s">
        <v>779</v>
      </c>
    </row>
    <row r="334" spans="1:8" x14ac:dyDescent="0.3">
      <c r="A334" s="328">
        <v>328</v>
      </c>
      <c r="B334" s="237" t="s">
        <v>778</v>
      </c>
      <c r="C334" s="327" t="s">
        <v>777</v>
      </c>
    </row>
    <row r="335" spans="1:8" x14ac:dyDescent="0.3">
      <c r="A335" s="328">
        <v>329</v>
      </c>
      <c r="B335" s="237" t="s">
        <v>776</v>
      </c>
      <c r="C335" s="327" t="s">
        <v>775</v>
      </c>
    </row>
    <row r="336" spans="1:8" x14ac:dyDescent="0.3">
      <c r="A336" s="328">
        <v>330</v>
      </c>
      <c r="B336" s="327" t="s">
        <v>774</v>
      </c>
      <c r="C336" s="327" t="s">
        <v>773</v>
      </c>
    </row>
    <row r="337" spans="1:3" x14ac:dyDescent="0.3">
      <c r="A337" s="328">
        <v>331</v>
      </c>
      <c r="B337" s="327" t="s">
        <v>772</v>
      </c>
      <c r="C337" s="327" t="s">
        <v>771</v>
      </c>
    </row>
    <row r="338" spans="1:3" x14ac:dyDescent="0.3">
      <c r="A338" s="328">
        <v>332</v>
      </c>
      <c r="B338" s="327" t="s">
        <v>770</v>
      </c>
      <c r="C338" s="327" t="s">
        <v>769</v>
      </c>
    </row>
    <row r="339" spans="1:3" x14ac:dyDescent="0.3">
      <c r="A339" s="328">
        <v>333</v>
      </c>
      <c r="B339" s="237" t="s">
        <v>768</v>
      </c>
      <c r="C339" s="327" t="s">
        <v>767</v>
      </c>
    </row>
    <row r="340" spans="1:3" ht="26.4" x14ac:dyDescent="0.3">
      <c r="A340" s="328">
        <v>334</v>
      </c>
      <c r="B340" s="237" t="s">
        <v>766</v>
      </c>
      <c r="C340" s="327" t="s">
        <v>765</v>
      </c>
    </row>
    <row r="341" spans="1:3" x14ac:dyDescent="0.3">
      <c r="A341" s="328">
        <v>335</v>
      </c>
      <c r="B341" s="237" t="s">
        <v>764</v>
      </c>
      <c r="C341" s="327" t="s">
        <v>763</v>
      </c>
    </row>
    <row r="342" spans="1:3" x14ac:dyDescent="0.3">
      <c r="A342" s="328">
        <v>336</v>
      </c>
      <c r="B342" s="237" t="s">
        <v>762</v>
      </c>
      <c r="C342" s="327" t="s">
        <v>761</v>
      </c>
    </row>
    <row r="343" spans="1:3" x14ac:dyDescent="0.3">
      <c r="A343" s="328">
        <v>337</v>
      </c>
      <c r="B343" s="237" t="s">
        <v>760</v>
      </c>
      <c r="C343" s="327" t="s">
        <v>759</v>
      </c>
    </row>
    <row r="344" spans="1:3" x14ac:dyDescent="0.3">
      <c r="A344" s="328">
        <v>338</v>
      </c>
      <c r="B344" s="237" t="s">
        <v>758</v>
      </c>
      <c r="C344" s="327" t="s">
        <v>757</v>
      </c>
    </row>
    <row r="345" spans="1:3" x14ac:dyDescent="0.3">
      <c r="A345" s="328">
        <v>339</v>
      </c>
      <c r="B345" s="237" t="s">
        <v>756</v>
      </c>
      <c r="C345" s="327" t="s">
        <v>755</v>
      </c>
    </row>
    <row r="346" spans="1:3" x14ac:dyDescent="0.3">
      <c r="A346" s="328">
        <v>340</v>
      </c>
      <c r="B346" s="237" t="s">
        <v>754</v>
      </c>
      <c r="C346" s="327" t="s">
        <v>753</v>
      </c>
    </row>
    <row r="347" spans="1:3" x14ac:dyDescent="0.3">
      <c r="A347" s="328">
        <v>341</v>
      </c>
      <c r="B347" s="237" t="s">
        <v>752</v>
      </c>
      <c r="C347" s="327" t="s">
        <v>751</v>
      </c>
    </row>
    <row r="348" spans="1:3" x14ac:dyDescent="0.3">
      <c r="A348" s="328">
        <v>342</v>
      </c>
      <c r="B348" s="237" t="s">
        <v>750</v>
      </c>
      <c r="C348" s="327" t="s">
        <v>749</v>
      </c>
    </row>
    <row r="349" spans="1:3" x14ac:dyDescent="0.3">
      <c r="A349" s="328">
        <v>343</v>
      </c>
      <c r="B349" s="237" t="s">
        <v>748</v>
      </c>
      <c r="C349" s="327" t="s">
        <v>747</v>
      </c>
    </row>
    <row r="350" spans="1:3" x14ac:dyDescent="0.3">
      <c r="A350" s="328">
        <v>344</v>
      </c>
      <c r="B350" s="237" t="s">
        <v>746</v>
      </c>
      <c r="C350" s="327" t="s">
        <v>745</v>
      </c>
    </row>
    <row r="351" spans="1:3" x14ac:dyDescent="0.3">
      <c r="A351" s="328">
        <v>345</v>
      </c>
      <c r="B351" s="237" t="s">
        <v>744</v>
      </c>
      <c r="C351" s="327" t="s">
        <v>743</v>
      </c>
    </row>
    <row r="352" spans="1:3" x14ac:dyDescent="0.3">
      <c r="A352" s="328">
        <v>346</v>
      </c>
      <c r="B352" s="237" t="s">
        <v>742</v>
      </c>
      <c r="C352" s="327" t="s">
        <v>741</v>
      </c>
    </row>
    <row r="353" spans="1:3" x14ac:dyDescent="0.3">
      <c r="A353" s="328">
        <v>347</v>
      </c>
      <c r="B353" s="237" t="s">
        <v>740</v>
      </c>
      <c r="C353" s="327" t="s">
        <v>739</v>
      </c>
    </row>
    <row r="354" spans="1:3" x14ac:dyDescent="0.3">
      <c r="A354" s="328">
        <v>348</v>
      </c>
      <c r="B354" s="237" t="s">
        <v>738</v>
      </c>
      <c r="C354" s="327" t="s">
        <v>737</v>
      </c>
    </row>
    <row r="355" spans="1:3" x14ac:dyDescent="0.3">
      <c r="A355" s="328">
        <v>349</v>
      </c>
      <c r="B355" s="237" t="s">
        <v>736</v>
      </c>
      <c r="C355" s="327" t="s">
        <v>735</v>
      </c>
    </row>
    <row r="356" spans="1:3" x14ac:dyDescent="0.3">
      <c r="A356" s="328">
        <v>350</v>
      </c>
      <c r="B356" s="237" t="s">
        <v>734</v>
      </c>
      <c r="C356" s="327" t="s">
        <v>733</v>
      </c>
    </row>
    <row r="357" spans="1:3" x14ac:dyDescent="0.3">
      <c r="A357" s="328">
        <v>351</v>
      </c>
      <c r="B357" s="237" t="s">
        <v>732</v>
      </c>
      <c r="C357" s="327" t="s">
        <v>731</v>
      </c>
    </row>
    <row r="358" spans="1:3" x14ac:dyDescent="0.3">
      <c r="A358" s="328">
        <v>352</v>
      </c>
      <c r="B358" s="237" t="s">
        <v>730</v>
      </c>
      <c r="C358" s="327" t="s">
        <v>729</v>
      </c>
    </row>
    <row r="359" spans="1:3" x14ac:dyDescent="0.3">
      <c r="A359" s="328">
        <v>353</v>
      </c>
      <c r="B359" s="237" t="s">
        <v>728</v>
      </c>
      <c r="C359" s="327" t="s">
        <v>727</v>
      </c>
    </row>
    <row r="360" spans="1:3" x14ac:dyDescent="0.3">
      <c r="A360" s="328">
        <v>354</v>
      </c>
      <c r="B360" s="237" t="s">
        <v>726</v>
      </c>
      <c r="C360" s="237" t="s">
        <v>725</v>
      </c>
    </row>
    <row r="361" spans="1:3" x14ac:dyDescent="0.3">
      <c r="A361" s="328">
        <v>355</v>
      </c>
      <c r="B361" s="237" t="s">
        <v>724</v>
      </c>
      <c r="C361" s="237" t="s">
        <v>723</v>
      </c>
    </row>
    <row r="362" spans="1:3" x14ac:dyDescent="0.3">
      <c r="A362" s="328">
        <v>356</v>
      </c>
      <c r="B362" s="237" t="s">
        <v>722</v>
      </c>
      <c r="C362" s="237" t="s">
        <v>721</v>
      </c>
    </row>
    <row r="363" spans="1:3" x14ac:dyDescent="0.3">
      <c r="A363" s="328">
        <v>357</v>
      </c>
      <c r="B363" s="237" t="s">
        <v>720</v>
      </c>
      <c r="C363" s="237" t="s">
        <v>719</v>
      </c>
    </row>
    <row r="364" spans="1:3" x14ac:dyDescent="0.3">
      <c r="A364" s="328">
        <v>358</v>
      </c>
      <c r="B364" s="237" t="s">
        <v>718</v>
      </c>
      <c r="C364" s="237" t="s">
        <v>717</v>
      </c>
    </row>
    <row r="365" spans="1:3" x14ac:dyDescent="0.3">
      <c r="A365" s="328">
        <v>359</v>
      </c>
      <c r="B365" s="237" t="s">
        <v>716</v>
      </c>
      <c r="C365" s="237" t="s">
        <v>715</v>
      </c>
    </row>
    <row r="366" spans="1:3" x14ac:dyDescent="0.3">
      <c r="A366" s="328">
        <v>360</v>
      </c>
      <c r="B366" s="237" t="s">
        <v>714</v>
      </c>
      <c r="C366" s="237" t="s">
        <v>713</v>
      </c>
    </row>
    <row r="367" spans="1:3" x14ac:dyDescent="0.3">
      <c r="A367" s="328">
        <v>361</v>
      </c>
      <c r="B367" s="237" t="s">
        <v>712</v>
      </c>
      <c r="C367" s="237" t="s">
        <v>711</v>
      </c>
    </row>
    <row r="368" spans="1:3" x14ac:dyDescent="0.3">
      <c r="A368" s="328">
        <v>362</v>
      </c>
      <c r="B368" s="237" t="s">
        <v>710</v>
      </c>
      <c r="C368" s="237" t="s">
        <v>709</v>
      </c>
    </row>
    <row r="369" spans="1:3" x14ac:dyDescent="0.3">
      <c r="A369" s="328">
        <v>363</v>
      </c>
      <c r="B369" s="237" t="s">
        <v>708</v>
      </c>
      <c r="C369" s="237" t="s">
        <v>704</v>
      </c>
    </row>
    <row r="370" spans="1:3" x14ac:dyDescent="0.3">
      <c r="A370" s="328">
        <v>364</v>
      </c>
      <c r="B370" s="237" t="s">
        <v>707</v>
      </c>
      <c r="C370" s="237" t="s">
        <v>706</v>
      </c>
    </row>
    <row r="371" spans="1:3" x14ac:dyDescent="0.3">
      <c r="A371" s="328">
        <v>365</v>
      </c>
      <c r="B371" s="31" t="s">
        <v>705</v>
      </c>
      <c r="C371" s="31" t="s">
        <v>704</v>
      </c>
    </row>
    <row r="372" spans="1:3" x14ac:dyDescent="0.3">
      <c r="A372" s="328"/>
      <c r="B372" s="327" t="s">
        <v>703</v>
      </c>
      <c r="C372" s="327" t="s">
        <v>702</v>
      </c>
    </row>
  </sheetData>
  <mergeCells count="2">
    <mergeCell ref="A2:C2"/>
    <mergeCell ref="B3:C3"/>
  </mergeCells>
  <conditionalFormatting sqref="B27">
    <cfRule type="duplicateValues" dxfId="20" priority="7"/>
  </conditionalFormatting>
  <conditionalFormatting sqref="B94">
    <cfRule type="duplicateValues" dxfId="19" priority="15"/>
  </conditionalFormatting>
  <conditionalFormatting sqref="B116">
    <cfRule type="duplicateValues" dxfId="18" priority="4"/>
  </conditionalFormatting>
  <conditionalFormatting sqref="B132:B133">
    <cfRule type="duplicateValues" dxfId="17" priority="11"/>
  </conditionalFormatting>
  <conditionalFormatting sqref="B153">
    <cfRule type="duplicateValues" dxfId="16" priority="6"/>
  </conditionalFormatting>
  <conditionalFormatting sqref="B162">
    <cfRule type="duplicateValues" dxfId="15" priority="14"/>
  </conditionalFormatting>
  <conditionalFormatting sqref="B184">
    <cfRule type="duplicateValues" dxfId="14" priority="2"/>
  </conditionalFormatting>
  <conditionalFormatting sqref="B191">
    <cfRule type="duplicateValues" dxfId="13" priority="9"/>
  </conditionalFormatting>
  <conditionalFormatting sqref="B207">
    <cfRule type="duplicateValues" dxfId="12" priority="13"/>
  </conditionalFormatting>
  <conditionalFormatting sqref="B211:B212">
    <cfRule type="duplicateValues" dxfId="11" priority="17"/>
  </conditionalFormatting>
  <conditionalFormatting sqref="B213:B214">
    <cfRule type="duplicateValues" dxfId="10" priority="10"/>
  </conditionalFormatting>
  <conditionalFormatting sqref="B235:B236">
    <cfRule type="duplicateValues" dxfId="9" priority="18"/>
  </conditionalFormatting>
  <conditionalFormatting sqref="B237">
    <cfRule type="duplicateValues" dxfId="8" priority="8"/>
  </conditionalFormatting>
  <conditionalFormatting sqref="B259">
    <cfRule type="duplicateValues" dxfId="7" priority="5"/>
  </conditionalFormatting>
  <conditionalFormatting sqref="B266">
    <cfRule type="duplicateValues" dxfId="6" priority="12"/>
  </conditionalFormatting>
  <conditionalFormatting sqref="B299">
    <cfRule type="duplicateValues" dxfId="5" priority="16"/>
  </conditionalFormatting>
  <conditionalFormatting sqref="B300:B332 B238:B246 B95:B115 B163:B183 B5:B11 B208:B210 B267:B272 B134:B152 B215:B234 B45:B93 B17:B26 B192:B206 B248:B258 B120:B131 B13:B15 B28:B43 B154:B161 B260:B265 B117:B118 B334:B339 B185:B190 B341:B359 B368:B369 B274:B298">
    <cfRule type="duplicateValues" dxfId="4" priority="19"/>
  </conditionalFormatting>
  <conditionalFormatting sqref="B333">
    <cfRule type="duplicateValues" dxfId="3" priority="3"/>
  </conditionalFormatting>
  <conditionalFormatting sqref="B340">
    <cfRule type="duplicateValues" dxfId="2" priority="1"/>
  </conditionalFormatting>
  <conditionalFormatting sqref="B360:C367">
    <cfRule type="duplicateValues" dxfId="1" priority="21"/>
  </conditionalFormatting>
  <conditionalFormatting sqref="B370:C370">
    <cfRule type="duplicateValues" dxfId="0" priority="20"/>
  </conditionalFormatting>
  <hyperlinks>
    <hyperlink ref="B286" r:id="rId1" display="http://www.retecsa.com.ni/" xr:uid="{DD36A17D-8A92-4B99-A89A-40D780B16527}"/>
  </hyperlinks>
  <pageMargins left="0.7" right="0.7" top="0.75" bottom="0.75" header="0.3" footer="0.3"/>
  <pageSetup orientation="portrait" horizontalDpi="1200" verticalDpi="12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12</vt:i4>
      </vt:variant>
      <vt:variant>
        <vt:lpstr>Rangos con nombre</vt:lpstr>
      </vt:variant>
      <vt:variant>
        <vt:i4>99</vt:i4>
      </vt:variant>
    </vt:vector>
  </HeadingPairs>
  <TitlesOfParts>
    <vt:vector size="111" baseType="lpstr">
      <vt:lpstr>General</vt:lpstr>
      <vt:lpstr>Calibración</vt:lpstr>
      <vt:lpstr>+ONA_kg</vt:lpstr>
      <vt:lpstr>+ONA_lb&amp;kg</vt:lpstr>
      <vt:lpstr>+ONA_kg&amp;lb</vt:lpstr>
      <vt:lpstr>-ONA_lb&amp;kg</vt:lpstr>
      <vt:lpstr>-ONA_kg</vt:lpstr>
      <vt:lpstr>BD Patron</vt:lpstr>
      <vt:lpstr>kU(E)</vt:lpstr>
      <vt:lpstr>CMC</vt:lpstr>
      <vt:lpstr>Etiqueta</vt:lpstr>
      <vt:lpstr>BD Clientes</vt:lpstr>
      <vt:lpstr>BalanzaCode</vt:lpstr>
      <vt:lpstr>BalanzaExact</vt:lpstr>
      <vt:lpstr>BalanzaIncertid1</vt:lpstr>
      <vt:lpstr>BalanzaIncertid2</vt:lpstr>
      <vt:lpstr>BalanzaMarca</vt:lpstr>
      <vt:lpstr>BalanzaModelo</vt:lpstr>
      <vt:lpstr>BalanzaRango1</vt:lpstr>
      <vt:lpstr>BalanzaRango2</vt:lpstr>
      <vt:lpstr>BalanzaResol1</vt:lpstr>
      <vt:lpstr>BalanzaResol2</vt:lpstr>
      <vt:lpstr>BalanzaSerie</vt:lpstr>
      <vt:lpstr>BalanzaTipo</vt:lpstr>
      <vt:lpstr>CertCode</vt:lpstr>
      <vt:lpstr>CertDate</vt:lpstr>
      <vt:lpstr>CertHR</vt:lpstr>
      <vt:lpstr>CertHRIncerti</vt:lpstr>
      <vt:lpstr>CertNum</vt:lpstr>
      <vt:lpstr>CertPres</vt:lpstr>
      <vt:lpstr>CertPresIncert</vt:lpstr>
      <vt:lpstr>CertTempC</vt:lpstr>
      <vt:lpstr>CertTempIncerti</vt:lpstr>
      <vt:lpstr>Clases_masas</vt:lpstr>
      <vt:lpstr>ClientAdr</vt:lpstr>
      <vt:lpstr>ClientName</vt:lpstr>
      <vt:lpstr>ClientPlace</vt:lpstr>
      <vt:lpstr>decim</vt:lpstr>
      <vt:lpstr>deltaMconv</vt:lpstr>
      <vt:lpstr>deltaT</vt:lpstr>
      <vt:lpstr>ecc_error_max</vt:lpstr>
      <vt:lpstr>gramo</vt:lpstr>
      <vt:lpstr>kilogramo</vt:lpstr>
      <vt:lpstr>libra</vt:lpstr>
      <vt:lpstr>MnomDeltaT</vt:lpstr>
      <vt:lpstr>num</vt:lpstr>
      <vt:lpstr>'+ONA_kg&amp;lb'!Patrons_List</vt:lpstr>
      <vt:lpstr>'+ONA_lb&amp;kg'!Patrons_List</vt:lpstr>
      <vt:lpstr>'-ONA_kg'!Patrons_List</vt:lpstr>
      <vt:lpstr>'-ONA_lb&amp;kg'!Patrons_List</vt:lpstr>
      <vt:lpstr>Patrons_List</vt:lpstr>
      <vt:lpstr>punto1</vt:lpstr>
      <vt:lpstr>punto10</vt:lpstr>
      <vt:lpstr>punto2</vt:lpstr>
      <vt:lpstr>punto3</vt:lpstr>
      <vt:lpstr>punto4</vt:lpstr>
      <vt:lpstr>punto5</vt:lpstr>
      <vt:lpstr>punto6</vt:lpstr>
      <vt:lpstr>punto7</vt:lpstr>
      <vt:lpstr>punto8</vt:lpstr>
      <vt:lpstr>punto9</vt:lpstr>
      <vt:lpstr>PuntoEcc</vt:lpstr>
      <vt:lpstr>PuntoRep</vt:lpstr>
      <vt:lpstr>RngLinealidad</vt:lpstr>
      <vt:lpstr>sigma_b1</vt:lpstr>
      <vt:lpstr>sigma_b10</vt:lpstr>
      <vt:lpstr>sigma_b2</vt:lpstr>
      <vt:lpstr>sigma_b3</vt:lpstr>
      <vt:lpstr>sigma_b4</vt:lpstr>
      <vt:lpstr>sigma_b5</vt:lpstr>
      <vt:lpstr>sigma_b6</vt:lpstr>
      <vt:lpstr>sigma_b7</vt:lpstr>
      <vt:lpstr>sigma_b8</vt:lpstr>
      <vt:lpstr>sigma_b9</vt:lpstr>
      <vt:lpstr>sigma_c1</vt:lpstr>
      <vt:lpstr>sigma_c10</vt:lpstr>
      <vt:lpstr>sigma_c2</vt:lpstr>
      <vt:lpstr>sigma_c3</vt:lpstr>
      <vt:lpstr>sigma_c4</vt:lpstr>
      <vt:lpstr>sigma_c5</vt:lpstr>
      <vt:lpstr>sigma_c6</vt:lpstr>
      <vt:lpstr>sigma_c7</vt:lpstr>
      <vt:lpstr>sigma_c8</vt:lpstr>
      <vt:lpstr>sigma_c9</vt:lpstr>
      <vt:lpstr>sigma_conv1</vt:lpstr>
      <vt:lpstr>sigma_conv10</vt:lpstr>
      <vt:lpstr>sigma_conv2</vt:lpstr>
      <vt:lpstr>sigma_conv3</vt:lpstr>
      <vt:lpstr>sigma_conv4</vt:lpstr>
      <vt:lpstr>sigma_conv5</vt:lpstr>
      <vt:lpstr>sigma_conv6</vt:lpstr>
      <vt:lpstr>sigma_conv7</vt:lpstr>
      <vt:lpstr>sigma_conv8</vt:lpstr>
      <vt:lpstr>sigma_conv9</vt:lpstr>
      <vt:lpstr>sigma_D1</vt:lpstr>
      <vt:lpstr>sigma_D10</vt:lpstr>
      <vt:lpstr>sigma_D2</vt:lpstr>
      <vt:lpstr>sigma_D3</vt:lpstr>
      <vt:lpstr>sigma_D4</vt:lpstr>
      <vt:lpstr>sigma_D5</vt:lpstr>
      <vt:lpstr>sigma_D6</vt:lpstr>
      <vt:lpstr>sigma_D7</vt:lpstr>
      <vt:lpstr>sigma_D8</vt:lpstr>
      <vt:lpstr>sigma_D9</vt:lpstr>
      <vt:lpstr>switch</vt:lpstr>
      <vt:lpstr>tolerancia</vt:lpstr>
      <vt:lpstr>u_ecc</vt:lpstr>
      <vt:lpstr>u_rep</vt:lpstr>
      <vt:lpstr>UnidadEscala</vt:lpstr>
      <vt:lpstr>UnidadPatron</vt:lpstr>
      <vt:lpstr>Vnominal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FRANCISCO JAVIER GARCIA CALIX</dc:creator>
  <cp:lastModifiedBy>FRANCISCO JAVIER GARCIA CALIX</cp:lastModifiedBy>
  <dcterms:created xsi:type="dcterms:W3CDTF">2024-07-10T21:53:37Z</dcterms:created>
  <dcterms:modified xsi:type="dcterms:W3CDTF">2024-07-24T20:26:38Z</dcterms:modified>
</cp:coreProperties>
</file>